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
    </mc:Choice>
  </mc:AlternateContent>
  <bookViews>
    <workbookView xWindow="2805" yWindow="0" windowWidth="19560" windowHeight="7965" tabRatio="770"/>
  </bookViews>
  <sheets>
    <sheet name="1A_Consol PPMP" sheetId="4" r:id="rId1"/>
    <sheet name="Ref_ICT" sheetId="8" r:id="rId2"/>
    <sheet name="1B_PPMP CSE" sheetId="5" r:id="rId3"/>
    <sheet name="Ref_PCSDS APP draft" sheetId="1" r:id="rId4"/>
    <sheet name="Ref_Vehicles" sheetId="9" r:id="rId5"/>
    <sheet name="Ref_Budget per Obj" sheetId="10" r:id="rId6"/>
    <sheet name="Guide to APP" sheetId="2" r:id="rId7"/>
    <sheet name="1C_Specs" sheetId="6" r:id="rId8"/>
    <sheet name="2_Travel Plan" sheetId="7" r:id="rId9"/>
    <sheet name="data_validation" sheetId="3" state="hidden" r:id="rId10"/>
  </sheets>
  <externalReferences>
    <externalReference r:id="rId11"/>
    <externalReference r:id="rId12"/>
    <externalReference r:id="rId13"/>
    <externalReference r:id="rId14"/>
  </externalReferences>
  <definedNames>
    <definedName name="_xlnm.Print_Area" localSheetId="2">'1B_PPMP CSE'!$A$1:$AA$964</definedName>
    <definedName name="_xlnm.Print_Area" localSheetId="1">Ref_ICT!$A$1:$O$164</definedName>
    <definedName name="_xlnm.Print_Area" localSheetId="3">'Ref_PCSDS APP draft'!$A$1:$AR$57</definedName>
    <definedName name="_xlnm.Print_Titles" localSheetId="0">'1A_Consol PPMP'!$8:$9</definedName>
    <definedName name="_xlnm.Print_Titles" localSheetId="2">'1B_PPMP CSE'!$30:$31</definedName>
    <definedName name="_xlnm.Print_Titles" localSheetId="5">'Ref_Budget per Obj'!$10:$12</definedName>
    <definedName name="_xlnm.Print_Titles" localSheetId="1">Ref_ICT!$4:$5</definedName>
  </definedNames>
  <calcPr calcId="162913"/>
</workbook>
</file>

<file path=xl/calcChain.xml><?xml version="1.0" encoding="utf-8"?>
<calcChain xmlns="http://schemas.openxmlformats.org/spreadsheetml/2006/main">
  <c r="W725" i="5" l="1"/>
  <c r="X725" i="5" s="1"/>
  <c r="V725" i="5"/>
  <c r="U725" i="5"/>
  <c r="T725" i="5"/>
  <c r="Q725" i="5"/>
  <c r="P725" i="5"/>
  <c r="O725" i="5"/>
  <c r="R725" i="5" s="1"/>
  <c r="S725" i="5" s="1"/>
  <c r="L725" i="5"/>
  <c r="K725" i="5"/>
  <c r="M725" i="5" s="1"/>
  <c r="J725" i="5"/>
  <c r="H725" i="5"/>
  <c r="I725" i="5" s="1"/>
  <c r="S112" i="5"/>
  <c r="W112" i="5"/>
  <c r="R112" i="5"/>
  <c r="M112" i="5"/>
  <c r="Y112" i="5" s="1"/>
  <c r="AA112" i="5" s="1"/>
  <c r="W131" i="5"/>
  <c r="X131" i="5" s="1"/>
  <c r="R131" i="5"/>
  <c r="S131" i="5" s="1"/>
  <c r="M131" i="5"/>
  <c r="N131" i="5" s="1"/>
  <c r="H131" i="5"/>
  <c r="I131" i="5" s="1"/>
  <c r="H40" i="5"/>
  <c r="M40" i="5"/>
  <c r="R40" i="5"/>
  <c r="W40" i="5"/>
  <c r="Y40" i="5"/>
  <c r="Z40" i="5"/>
  <c r="X40" i="5" s="1"/>
  <c r="H41" i="5"/>
  <c r="M41" i="5"/>
  <c r="R41" i="5"/>
  <c r="W41" i="5"/>
  <c r="Y41" i="5"/>
  <c r="Z41" i="5"/>
  <c r="H42" i="5"/>
  <c r="M42" i="5"/>
  <c r="R42" i="5"/>
  <c r="W42" i="5"/>
  <c r="Z42" i="5"/>
  <c r="I42" i="5" s="1"/>
  <c r="H38" i="5"/>
  <c r="M38" i="5"/>
  <c r="R38" i="5"/>
  <c r="Y38" i="5" s="1"/>
  <c r="W38" i="5"/>
  <c r="Z38" i="5"/>
  <c r="I38" i="5" s="1"/>
  <c r="H36" i="5"/>
  <c r="M36" i="5"/>
  <c r="R36" i="5"/>
  <c r="W36" i="5"/>
  <c r="Z36" i="5"/>
  <c r="N36" i="5" s="1"/>
  <c r="W130" i="5"/>
  <c r="R130" i="5"/>
  <c r="S130" i="5" s="1"/>
  <c r="M130" i="5"/>
  <c r="H130" i="5"/>
  <c r="N725" i="5" l="1"/>
  <c r="Y725" i="5"/>
  <c r="AA725" i="5" s="1"/>
  <c r="X42" i="5"/>
  <c r="N42" i="5"/>
  <c r="X41" i="5"/>
  <c r="N112" i="5"/>
  <c r="X112" i="5"/>
  <c r="I112" i="5"/>
  <c r="Y131" i="5"/>
  <c r="AA131" i="5" s="1"/>
  <c r="S41" i="5"/>
  <c r="AA40" i="5"/>
  <c r="N40" i="5"/>
  <c r="AA38" i="5"/>
  <c r="N41" i="5"/>
  <c r="S40" i="5"/>
  <c r="AA41" i="5"/>
  <c r="I41" i="5"/>
  <c r="I40" i="5"/>
  <c r="Y42" i="5"/>
  <c r="AA42" i="5" s="1"/>
  <c r="S42" i="5"/>
  <c r="X38" i="5"/>
  <c r="N38" i="5"/>
  <c r="S38" i="5"/>
  <c r="I36" i="5"/>
  <c r="S36" i="5"/>
  <c r="Y36" i="5"/>
  <c r="AA36" i="5" s="1"/>
  <c r="X36" i="5"/>
  <c r="Y130" i="5"/>
  <c r="AA130" i="5" s="1"/>
  <c r="N130" i="5"/>
  <c r="X130" i="5"/>
  <c r="I130" i="5"/>
  <c r="V764" i="5"/>
  <c r="U764" i="5"/>
  <c r="T764" i="5"/>
  <c r="Q764" i="5"/>
  <c r="P764" i="5"/>
  <c r="O764" i="5"/>
  <c r="L764" i="5"/>
  <c r="K764" i="5"/>
  <c r="J764" i="5"/>
  <c r="H764" i="5"/>
  <c r="W129" i="5"/>
  <c r="X129" i="5" s="1"/>
  <c r="R129" i="5"/>
  <c r="S129" i="5" s="1"/>
  <c r="M129" i="5"/>
  <c r="N129" i="5" s="1"/>
  <c r="H129" i="5"/>
  <c r="I129" i="5" s="1"/>
  <c r="W116" i="5"/>
  <c r="X116" i="5" s="1"/>
  <c r="R116" i="5"/>
  <c r="M116" i="5"/>
  <c r="H116" i="5"/>
  <c r="Z718" i="5"/>
  <c r="V718" i="5"/>
  <c r="U718" i="5"/>
  <c r="T718" i="5"/>
  <c r="Q718" i="5"/>
  <c r="P718" i="5"/>
  <c r="O718" i="5"/>
  <c r="L718" i="5"/>
  <c r="K718" i="5"/>
  <c r="J718" i="5"/>
  <c r="G718" i="5"/>
  <c r="H718" i="5" s="1"/>
  <c r="W764" i="5" l="1"/>
  <c r="X764" i="5" s="1"/>
  <c r="M718" i="5"/>
  <c r="N718" i="5" s="1"/>
  <c r="R764" i="5"/>
  <c r="S764" i="5" s="1"/>
  <c r="R718" i="5"/>
  <c r="S718" i="5" s="1"/>
  <c r="W718" i="5"/>
  <c r="X718" i="5" s="1"/>
  <c r="M764" i="5"/>
  <c r="N764" i="5" s="1"/>
  <c r="Y116" i="5"/>
  <c r="AA116" i="5" s="1"/>
  <c r="I764" i="5"/>
  <c r="Y129" i="5"/>
  <c r="AA129" i="5" s="1"/>
  <c r="I116" i="5"/>
  <c r="S116" i="5"/>
  <c r="N116" i="5"/>
  <c r="I718" i="5"/>
  <c r="Y718" i="5" l="1"/>
  <c r="AA718" i="5" s="1"/>
  <c r="Y764" i="5"/>
  <c r="AA764" i="5" s="1"/>
  <c r="W128" i="5"/>
  <c r="R128" i="5"/>
  <c r="S128" i="5" s="1"/>
  <c r="M128" i="5"/>
  <c r="H128" i="5"/>
  <c r="Z763" i="5"/>
  <c r="V763" i="5"/>
  <c r="U763" i="5"/>
  <c r="T763" i="5"/>
  <c r="Q763" i="5"/>
  <c r="P763" i="5"/>
  <c r="O763" i="5"/>
  <c r="L763" i="5"/>
  <c r="K763" i="5"/>
  <c r="J763" i="5"/>
  <c r="H763" i="5"/>
  <c r="H383" i="5"/>
  <c r="R763" i="5" l="1"/>
  <c r="S763" i="5" s="1"/>
  <c r="Y128" i="5"/>
  <c r="AA128" i="5" s="1"/>
  <c r="N128" i="5"/>
  <c r="X128" i="5"/>
  <c r="I128" i="5"/>
  <c r="M763" i="5"/>
  <c r="N763" i="5" s="1"/>
  <c r="W763" i="5"/>
  <c r="X763" i="5" s="1"/>
  <c r="I763" i="5"/>
  <c r="AN41" i="10"/>
  <c r="AM41" i="10"/>
  <c r="AL41" i="10"/>
  <c r="AK41" i="10"/>
  <c r="AJ41" i="10"/>
  <c r="AI41" i="10"/>
  <c r="AH41" i="10"/>
  <c r="AG41" i="10"/>
  <c r="AF41" i="10"/>
  <c r="AE41" i="10"/>
  <c r="AD41" i="10"/>
  <c r="AC41" i="10"/>
  <c r="AB41" i="10"/>
  <c r="AA41" i="10"/>
  <c r="Z41" i="10"/>
  <c r="Y41" i="10"/>
  <c r="X41" i="10"/>
  <c r="W41" i="10"/>
  <c r="V41" i="10"/>
  <c r="U41" i="10"/>
  <c r="T41" i="10"/>
  <c r="S41" i="10"/>
  <c r="R41" i="10"/>
  <c r="Q41" i="10"/>
  <c r="P41" i="10"/>
  <c r="O41" i="10"/>
  <c r="N41" i="10"/>
  <c r="M41" i="10"/>
  <c r="L41" i="10"/>
  <c r="J41" i="10"/>
  <c r="I41" i="10"/>
  <c r="H41" i="10"/>
  <c r="G41" i="10"/>
  <c r="E41" i="10"/>
  <c r="D41" i="10"/>
  <c r="C41" i="10"/>
  <c r="AO39" i="10"/>
  <c r="AP39" i="10" s="1"/>
  <c r="AO38" i="10"/>
  <c r="F38" i="10"/>
  <c r="AP38" i="10" s="1"/>
  <c r="AO36" i="10"/>
  <c r="AP36" i="10" s="1"/>
  <c r="AO35" i="10"/>
  <c r="F35" i="10"/>
  <c r="AP35" i="10" s="1"/>
  <c r="AO33" i="10"/>
  <c r="AP33" i="10" s="1"/>
  <c r="AO32" i="10"/>
  <c r="F32" i="10"/>
  <c r="AP32" i="10" s="1"/>
  <c r="AO30" i="10"/>
  <c r="AP30" i="10" s="1"/>
  <c r="AO29" i="10"/>
  <c r="F29" i="10"/>
  <c r="AP29" i="10" s="1"/>
  <c r="AO27" i="10"/>
  <c r="AP27" i="10" s="1"/>
  <c r="AP26" i="10"/>
  <c r="AO26" i="10"/>
  <c r="AO25" i="10"/>
  <c r="F25" i="10"/>
  <c r="AP25" i="10" s="1"/>
  <c r="AO23" i="10"/>
  <c r="AP23" i="10" s="1"/>
  <c r="AO22" i="10"/>
  <c r="AP22" i="10" s="1"/>
  <c r="K22" i="10"/>
  <c r="AO21" i="10"/>
  <c r="AP21" i="10" s="1"/>
  <c r="AO20" i="10"/>
  <c r="F20" i="10"/>
  <c r="AP20" i="10" s="1"/>
  <c r="AO18" i="10"/>
  <c r="AP18" i="10" s="1"/>
  <c r="K17" i="10"/>
  <c r="AO17" i="10" s="1"/>
  <c r="F17" i="10"/>
  <c r="AP17" i="10" s="1"/>
  <c r="K15" i="10"/>
  <c r="K41" i="10" s="1"/>
  <c r="F15" i="10"/>
  <c r="AO13" i="10"/>
  <c r="F13" i="10"/>
  <c r="AP13" i="10" s="1"/>
  <c r="L160" i="8"/>
  <c r="H160" i="8"/>
  <c r="D160" i="8"/>
  <c r="J158" i="8"/>
  <c r="N151" i="8"/>
  <c r="O151" i="8" s="1"/>
  <c r="C151" i="8"/>
  <c r="O150" i="8"/>
  <c r="N150" i="8"/>
  <c r="N149" i="8"/>
  <c r="O149" i="8" s="1"/>
  <c r="C149" i="8"/>
  <c r="N148" i="8"/>
  <c r="O148" i="8" s="1"/>
  <c r="C148" i="8"/>
  <c r="O147" i="8"/>
  <c r="N147" i="8"/>
  <c r="C147" i="8"/>
  <c r="N146" i="8"/>
  <c r="O146" i="8" s="1"/>
  <c r="C146" i="8"/>
  <c r="N145" i="8"/>
  <c r="C145" i="8"/>
  <c r="O145" i="8" s="1"/>
  <c r="N144" i="8"/>
  <c r="O144" i="8" s="1"/>
  <c r="C144" i="8"/>
  <c r="N143" i="8"/>
  <c r="C143" i="8"/>
  <c r="O143" i="8" s="1"/>
  <c r="N142" i="8"/>
  <c r="O142" i="8" s="1"/>
  <c r="C142" i="8"/>
  <c r="N141" i="8"/>
  <c r="O141" i="8" s="1"/>
  <c r="C141" i="8"/>
  <c r="L152" i="8" s="1"/>
  <c r="L163" i="8" s="1"/>
  <c r="N140" i="8"/>
  <c r="O140" i="8" s="1"/>
  <c r="O152" i="8" s="1"/>
  <c r="C140" i="8"/>
  <c r="F152" i="8" s="1"/>
  <c r="F163" i="8" s="1"/>
  <c r="F138" i="8"/>
  <c r="F162" i="8" s="1"/>
  <c r="N137" i="8"/>
  <c r="O137" i="8" s="1"/>
  <c r="N136" i="8"/>
  <c r="O136" i="8" s="1"/>
  <c r="C136" i="8"/>
  <c r="O135" i="8"/>
  <c r="N135" i="8"/>
  <c r="O134" i="8"/>
  <c r="N134" i="8"/>
  <c r="N133" i="8"/>
  <c r="C133" i="8"/>
  <c r="L138" i="8" s="1"/>
  <c r="L162" i="8" s="1"/>
  <c r="N132" i="8"/>
  <c r="O132" i="8" s="1"/>
  <c r="N131" i="8"/>
  <c r="O131" i="8" s="1"/>
  <c r="N130" i="8"/>
  <c r="O130" i="8" s="1"/>
  <c r="N129" i="8"/>
  <c r="O129" i="8" s="1"/>
  <c r="N128" i="8"/>
  <c r="O128" i="8" s="1"/>
  <c r="N127" i="8"/>
  <c r="O127" i="8" s="1"/>
  <c r="N126" i="8"/>
  <c r="O126" i="8" s="1"/>
  <c r="N125" i="8"/>
  <c r="O125" i="8" s="1"/>
  <c r="M123" i="8"/>
  <c r="M161" i="8" s="1"/>
  <c r="E123" i="8"/>
  <c r="E161" i="8" s="1"/>
  <c r="N122" i="8"/>
  <c r="O122" i="8" s="1"/>
  <c r="N121" i="8"/>
  <c r="O121" i="8" s="1"/>
  <c r="N120" i="8"/>
  <c r="O120" i="8" s="1"/>
  <c r="N119" i="8"/>
  <c r="O119" i="8" s="1"/>
  <c r="C119" i="8"/>
  <c r="N118" i="8"/>
  <c r="C118" i="8"/>
  <c r="K123" i="8" s="1"/>
  <c r="K161" i="8" s="1"/>
  <c r="N117" i="8"/>
  <c r="O117" i="8" s="1"/>
  <c r="N116" i="8"/>
  <c r="O116" i="8" s="1"/>
  <c r="N115" i="8"/>
  <c r="O115" i="8" s="1"/>
  <c r="N114" i="8"/>
  <c r="O114" i="8" s="1"/>
  <c r="N113" i="8"/>
  <c r="O113" i="8" s="1"/>
  <c r="N112" i="8"/>
  <c r="O112" i="8" s="1"/>
  <c r="M110" i="8"/>
  <c r="M160" i="8" s="1"/>
  <c r="L110" i="8"/>
  <c r="K110" i="8"/>
  <c r="K160" i="8" s="1"/>
  <c r="J110" i="8"/>
  <c r="J160" i="8" s="1"/>
  <c r="I110" i="8"/>
  <c r="I160" i="8" s="1"/>
  <c r="H110" i="8"/>
  <c r="G110" i="8"/>
  <c r="G160" i="8" s="1"/>
  <c r="F110" i="8"/>
  <c r="F160" i="8" s="1"/>
  <c r="E110" i="8"/>
  <c r="E160" i="8" s="1"/>
  <c r="D110" i="8"/>
  <c r="O110" i="8" s="1"/>
  <c r="O109" i="8"/>
  <c r="N109" i="8"/>
  <c r="O108" i="8"/>
  <c r="N108" i="8"/>
  <c r="O107" i="8"/>
  <c r="N107" i="8"/>
  <c r="O106" i="8"/>
  <c r="N106" i="8"/>
  <c r="O105" i="8"/>
  <c r="N105" i="8"/>
  <c r="O104" i="8"/>
  <c r="N104" i="8"/>
  <c r="O103" i="8"/>
  <c r="N103" i="8"/>
  <c r="O102" i="8"/>
  <c r="N102" i="8"/>
  <c r="O101" i="8"/>
  <c r="N101" i="8"/>
  <c r="O100" i="8"/>
  <c r="N100" i="8"/>
  <c r="O99" i="8"/>
  <c r="N99" i="8"/>
  <c r="O98" i="8"/>
  <c r="N98" i="8"/>
  <c r="O97" i="8"/>
  <c r="N97" i="8"/>
  <c r="O96" i="8"/>
  <c r="N96" i="8"/>
  <c r="N95" i="8"/>
  <c r="O95" i="8" s="1"/>
  <c r="O94" i="8"/>
  <c r="N94" i="8"/>
  <c r="O93" i="8"/>
  <c r="N93" i="8"/>
  <c r="O92" i="8"/>
  <c r="N92" i="8"/>
  <c r="N91" i="8"/>
  <c r="O91" i="8" s="1"/>
  <c r="O90" i="8"/>
  <c r="N90" i="8"/>
  <c r="O89" i="8"/>
  <c r="N89" i="8"/>
  <c r="O88" i="8"/>
  <c r="N88" i="8"/>
  <c r="N87" i="8"/>
  <c r="O87" i="8" s="1"/>
  <c r="O86" i="8"/>
  <c r="N86" i="8"/>
  <c r="O85" i="8"/>
  <c r="N85" i="8"/>
  <c r="O84" i="8"/>
  <c r="N84" i="8"/>
  <c r="N83" i="8"/>
  <c r="O83" i="8" s="1"/>
  <c r="O82" i="8"/>
  <c r="N82" i="8"/>
  <c r="O81" i="8"/>
  <c r="N81" i="8"/>
  <c r="O80" i="8"/>
  <c r="N80" i="8"/>
  <c r="N79" i="8"/>
  <c r="O79" i="8" s="1"/>
  <c r="O78" i="8"/>
  <c r="N78" i="8"/>
  <c r="O77" i="8"/>
  <c r="N77" i="8"/>
  <c r="O76" i="8"/>
  <c r="N76" i="8"/>
  <c r="N75" i="8"/>
  <c r="O75" i="8" s="1"/>
  <c r="O74" i="8"/>
  <c r="N74" i="8"/>
  <c r="O73" i="8"/>
  <c r="N73" i="8"/>
  <c r="O72" i="8"/>
  <c r="N72" i="8"/>
  <c r="N71" i="8"/>
  <c r="O71" i="8" s="1"/>
  <c r="O70" i="8"/>
  <c r="N70" i="8"/>
  <c r="O69" i="8"/>
  <c r="N69" i="8"/>
  <c r="O68" i="8"/>
  <c r="N68" i="8"/>
  <c r="N67" i="8"/>
  <c r="O67" i="8" s="1"/>
  <c r="O66" i="8"/>
  <c r="N66" i="8"/>
  <c r="O65" i="8"/>
  <c r="N65" i="8"/>
  <c r="O64" i="8"/>
  <c r="N64" i="8"/>
  <c r="L62" i="8"/>
  <c r="L159" i="8" s="1"/>
  <c r="H62" i="8"/>
  <c r="H159" i="8" s="1"/>
  <c r="D62" i="8"/>
  <c r="O61" i="8"/>
  <c r="N61" i="8"/>
  <c r="O60" i="8"/>
  <c r="N60" i="8"/>
  <c r="N59" i="8"/>
  <c r="O59" i="8" s="1"/>
  <c r="O58" i="8"/>
  <c r="N58" i="8"/>
  <c r="C58" i="8"/>
  <c r="F62" i="8" s="1"/>
  <c r="F159" i="8" s="1"/>
  <c r="N57" i="8"/>
  <c r="O57" i="8" s="1"/>
  <c r="N56" i="8"/>
  <c r="O56" i="8" s="1"/>
  <c r="N55" i="8"/>
  <c r="O55" i="8" s="1"/>
  <c r="M53" i="8"/>
  <c r="M158" i="8" s="1"/>
  <c r="L53" i="8"/>
  <c r="L158" i="8" s="1"/>
  <c r="K53" i="8"/>
  <c r="J53" i="8"/>
  <c r="I53" i="8"/>
  <c r="H53" i="8"/>
  <c r="H158" i="8" s="1"/>
  <c r="G53" i="8"/>
  <c r="G158" i="8" s="1"/>
  <c r="F53" i="8"/>
  <c r="F158" i="8" s="1"/>
  <c r="E53" i="8"/>
  <c r="E158" i="8" s="1"/>
  <c r="D53" i="8"/>
  <c r="O53" i="8" s="1"/>
  <c r="P52" i="8" s="1"/>
  <c r="N52" i="8"/>
  <c r="O52" i="8" s="1"/>
  <c r="N51" i="8"/>
  <c r="O51" i="8" s="1"/>
  <c r="N50" i="8"/>
  <c r="O50" i="8" s="1"/>
  <c r="N49" i="8"/>
  <c r="O49" i="8" s="1"/>
  <c r="N48" i="8"/>
  <c r="O48" i="8" s="1"/>
  <c r="N47" i="8"/>
  <c r="O47" i="8" s="1"/>
  <c r="N46" i="8"/>
  <c r="O46" i="8" s="1"/>
  <c r="N45" i="8"/>
  <c r="O45" i="8" s="1"/>
  <c r="N44" i="8"/>
  <c r="O44" i="8" s="1"/>
  <c r="N43" i="8"/>
  <c r="O43" i="8" s="1"/>
  <c r="N42" i="8"/>
  <c r="O42" i="8" s="1"/>
  <c r="N41" i="8"/>
  <c r="O41" i="8" s="1"/>
  <c r="N40" i="8"/>
  <c r="O40" i="8" s="1"/>
  <c r="N39" i="8"/>
  <c r="O39" i="8" s="1"/>
  <c r="N38" i="8"/>
  <c r="O38" i="8" s="1"/>
  <c r="N37" i="8"/>
  <c r="O37" i="8" s="1"/>
  <c r="N36" i="8"/>
  <c r="O36" i="8" s="1"/>
  <c r="N35" i="8"/>
  <c r="O35" i="8" s="1"/>
  <c r="N34" i="8"/>
  <c r="O34" i="8" s="1"/>
  <c r="N33" i="8"/>
  <c r="O33" i="8" s="1"/>
  <c r="N32" i="8"/>
  <c r="O32" i="8" s="1"/>
  <c r="N31" i="8"/>
  <c r="O31" i="8" s="1"/>
  <c r="N30" i="8"/>
  <c r="O30" i="8" s="1"/>
  <c r="N29" i="8"/>
  <c r="O29" i="8" s="1"/>
  <c r="N28" i="8"/>
  <c r="O28" i="8" s="1"/>
  <c r="N27" i="8"/>
  <c r="O27" i="8" s="1"/>
  <c r="N26" i="8"/>
  <c r="O26" i="8" s="1"/>
  <c r="N25" i="8"/>
  <c r="O25" i="8" s="1"/>
  <c r="N24" i="8"/>
  <c r="O24" i="8" s="1"/>
  <c r="N23" i="8"/>
  <c r="O23" i="8" s="1"/>
  <c r="N22" i="8"/>
  <c r="O22" i="8" s="1"/>
  <c r="N21" i="8"/>
  <c r="O21" i="8" s="1"/>
  <c r="N20" i="8"/>
  <c r="O20" i="8" s="1"/>
  <c r="N19" i="8"/>
  <c r="O19" i="8" s="1"/>
  <c r="N18" i="8"/>
  <c r="O18" i="8" s="1"/>
  <c r="N17" i="8"/>
  <c r="O17" i="8" s="1"/>
  <c r="N16" i="8"/>
  <c r="O16" i="8" s="1"/>
  <c r="N15" i="8"/>
  <c r="O15" i="8" s="1"/>
  <c r="N14" i="8"/>
  <c r="O14" i="8" s="1"/>
  <c r="N13" i="8"/>
  <c r="O13" i="8" s="1"/>
  <c r="N12" i="8"/>
  <c r="O12" i="8" s="1"/>
  <c r="N11" i="8"/>
  <c r="O11" i="8" s="1"/>
  <c r="N10" i="8"/>
  <c r="O10" i="8" s="1"/>
  <c r="N9" i="8"/>
  <c r="O9" i="8" s="1"/>
  <c r="N8" i="8"/>
  <c r="O8" i="8" s="1"/>
  <c r="N7" i="8"/>
  <c r="O7" i="8" s="1"/>
  <c r="Y763" i="5" l="1"/>
  <c r="AA763" i="5" s="1"/>
  <c r="AO15" i="10"/>
  <c r="AO41" i="10" s="1"/>
  <c r="F41" i="10"/>
  <c r="F164" i="8"/>
  <c r="N160" i="8"/>
  <c r="G62" i="8"/>
  <c r="G159" i="8" s="1"/>
  <c r="G164" i="8" s="1"/>
  <c r="D123" i="8"/>
  <c r="D161" i="8" s="1"/>
  <c r="N161" i="8" s="1"/>
  <c r="L123" i="8"/>
  <c r="L161" i="8" s="1"/>
  <c r="L164" i="8" s="1"/>
  <c r="E138" i="8"/>
  <c r="E162" i="8" s="1"/>
  <c r="M138" i="8"/>
  <c r="M162" i="8" s="1"/>
  <c r="G152" i="8"/>
  <c r="G163" i="8" s="1"/>
  <c r="I158" i="8"/>
  <c r="H152" i="8"/>
  <c r="H163" i="8" s="1"/>
  <c r="I62" i="8"/>
  <c r="I159" i="8" s="1"/>
  <c r="F123" i="8"/>
  <c r="F161" i="8" s="1"/>
  <c r="G138" i="8"/>
  <c r="G162" i="8" s="1"/>
  <c r="I152" i="8"/>
  <c r="I163" i="8" s="1"/>
  <c r="K158" i="8"/>
  <c r="J62" i="8"/>
  <c r="J159" i="8" s="1"/>
  <c r="J164" i="8" s="1"/>
  <c r="G123" i="8"/>
  <c r="G161" i="8" s="1"/>
  <c r="H138" i="8"/>
  <c r="H162" i="8" s="1"/>
  <c r="J152" i="8"/>
  <c r="J163" i="8" s="1"/>
  <c r="D158" i="8"/>
  <c r="K62" i="8"/>
  <c r="K159" i="8" s="1"/>
  <c r="H123" i="8"/>
  <c r="H161" i="8" s="1"/>
  <c r="H164" i="8" s="1"/>
  <c r="I138" i="8"/>
  <c r="I162" i="8" s="1"/>
  <c r="K152" i="8"/>
  <c r="K163" i="8" s="1"/>
  <c r="O118" i="8"/>
  <c r="O123" i="8" s="1"/>
  <c r="P122" i="8" s="1"/>
  <c r="I123" i="8"/>
  <c r="I161" i="8" s="1"/>
  <c r="O133" i="8"/>
  <c r="J138" i="8"/>
  <c r="J162" i="8" s="1"/>
  <c r="D152" i="8"/>
  <c r="D163" i="8" s="1"/>
  <c r="E62" i="8"/>
  <c r="E159" i="8" s="1"/>
  <c r="E164" i="8" s="1"/>
  <c r="M62" i="8"/>
  <c r="J123" i="8"/>
  <c r="J161" i="8" s="1"/>
  <c r="K138" i="8"/>
  <c r="K162" i="8" s="1"/>
  <c r="E152" i="8"/>
  <c r="E163" i="8" s="1"/>
  <c r="M152" i="8"/>
  <c r="M163" i="8" s="1"/>
  <c r="D159" i="8"/>
  <c r="D138" i="8"/>
  <c r="AP15" i="10" l="1"/>
  <c r="AP41" i="10" s="1"/>
  <c r="M159" i="8"/>
  <c r="M164" i="8" s="1"/>
  <c r="M153" i="8"/>
  <c r="E153" i="8"/>
  <c r="D162" i="8"/>
  <c r="N162" i="8" s="1"/>
  <c r="O138" i="8"/>
  <c r="N163" i="8"/>
  <c r="K164" i="8"/>
  <c r="I164" i="8"/>
  <c r="N159" i="8"/>
  <c r="F153" i="8"/>
  <c r="L153" i="8"/>
  <c r="D164" i="8"/>
  <c r="N158" i="8"/>
  <c r="D153" i="8"/>
  <c r="K153" i="8"/>
  <c r="O62" i="8"/>
  <c r="P61" i="8" s="1"/>
  <c r="G153" i="8"/>
  <c r="I153" i="8"/>
  <c r="J153" i="8"/>
  <c r="H153" i="8"/>
  <c r="C127" i="4"/>
  <c r="D35" i="7"/>
  <c r="C35" i="7"/>
  <c r="B35" i="7"/>
  <c r="D34" i="7"/>
  <c r="C34" i="7"/>
  <c r="B34" i="7"/>
  <c r="D32" i="7"/>
  <c r="C32" i="7"/>
  <c r="B32" i="7"/>
  <c r="D31" i="7"/>
  <c r="C31" i="7"/>
  <c r="B31" i="7"/>
  <c r="D30" i="7"/>
  <c r="C30" i="7"/>
  <c r="B30" i="7"/>
  <c r="Z19" i="7"/>
  <c r="AA19" i="7" s="1"/>
  <c r="U19" i="7"/>
  <c r="K19" i="7"/>
  <c r="J19" i="7"/>
  <c r="U18" i="7"/>
  <c r="Z18" i="7" s="1"/>
  <c r="AA18" i="7" s="1"/>
  <c r="K18" i="7"/>
  <c r="J18" i="7"/>
  <c r="Z17" i="7"/>
  <c r="AA17" i="7" s="1"/>
  <c r="U17" i="7"/>
  <c r="K17" i="7"/>
  <c r="J17" i="7"/>
  <c r="U16" i="7"/>
  <c r="Z16" i="7" s="1"/>
  <c r="AA16" i="7" s="1"/>
  <c r="K16" i="7"/>
  <c r="J16" i="7"/>
  <c r="AA15" i="7"/>
  <c r="Z15" i="7"/>
  <c r="U15" i="7"/>
  <c r="K15" i="7"/>
  <c r="J15" i="7"/>
  <c r="U14" i="7"/>
  <c r="Z14" i="7" s="1"/>
  <c r="AA14" i="7" s="1"/>
  <c r="K14" i="7"/>
  <c r="J14" i="7"/>
  <c r="Z13" i="7"/>
  <c r="AA13" i="7" s="1"/>
  <c r="U13" i="7"/>
  <c r="K13" i="7"/>
  <c r="J13" i="7"/>
  <c r="AA12" i="7"/>
  <c r="Z12" i="7"/>
  <c r="U12" i="7"/>
  <c r="K12" i="7"/>
  <c r="J12" i="7"/>
  <c r="Z11" i="7"/>
  <c r="AA11" i="7" s="1"/>
  <c r="U11" i="7"/>
  <c r="K11" i="7"/>
  <c r="J11" i="7"/>
  <c r="U10" i="7"/>
  <c r="Z10" i="7" s="1"/>
  <c r="AA10" i="7" s="1"/>
  <c r="K10" i="7"/>
  <c r="J10" i="7"/>
  <c r="Z9" i="7"/>
  <c r="AA9" i="7" s="1"/>
  <c r="U9" i="7"/>
  <c r="K9" i="7"/>
  <c r="J9" i="7"/>
  <c r="U8" i="7"/>
  <c r="Z8" i="7" s="1"/>
  <c r="AA8" i="7" s="1"/>
  <c r="K8" i="7"/>
  <c r="J8" i="7"/>
  <c r="AA7" i="7"/>
  <c r="Z7" i="7"/>
  <c r="U7" i="7"/>
  <c r="K7" i="7"/>
  <c r="J7" i="7"/>
  <c r="U6" i="7"/>
  <c r="Z6" i="7" s="1"/>
  <c r="AA6" i="7" s="1"/>
  <c r="K6" i="7"/>
  <c r="J6" i="7"/>
  <c r="W952" i="5"/>
  <c r="R952" i="5"/>
  <c r="M952" i="5"/>
  <c r="H952" i="5"/>
  <c r="W924" i="5"/>
  <c r="R924" i="5"/>
  <c r="M924" i="5"/>
  <c r="H924" i="5"/>
  <c r="Z923" i="5"/>
  <c r="W923" i="5"/>
  <c r="R923" i="5"/>
  <c r="M923" i="5"/>
  <c r="H923" i="5"/>
  <c r="W922" i="5"/>
  <c r="R922" i="5"/>
  <c r="M922" i="5"/>
  <c r="H922" i="5"/>
  <c r="Z921" i="5"/>
  <c r="W921" i="5"/>
  <c r="R921" i="5"/>
  <c r="M921" i="5"/>
  <c r="H921" i="5"/>
  <c r="I921" i="5" s="1"/>
  <c r="Z920" i="5"/>
  <c r="W920" i="5"/>
  <c r="R920" i="5"/>
  <c r="M920" i="5"/>
  <c r="H920" i="5"/>
  <c r="Z919" i="5"/>
  <c r="W919" i="5"/>
  <c r="X919" i="5" s="1"/>
  <c r="R919" i="5"/>
  <c r="S919" i="5" s="1"/>
  <c r="M919" i="5"/>
  <c r="N919" i="5" s="1"/>
  <c r="H919" i="5"/>
  <c r="I919" i="5" s="1"/>
  <c r="Z918" i="5"/>
  <c r="W918" i="5"/>
  <c r="R918" i="5"/>
  <c r="S918" i="5" s="1"/>
  <c r="M918" i="5"/>
  <c r="H918" i="5"/>
  <c r="I918" i="5" s="1"/>
  <c r="Z917" i="5"/>
  <c r="W917" i="5"/>
  <c r="R917" i="5"/>
  <c r="M917" i="5"/>
  <c r="H917" i="5"/>
  <c r="Z916" i="5"/>
  <c r="W916" i="5"/>
  <c r="R916" i="5"/>
  <c r="S916" i="5" s="1"/>
  <c r="M916" i="5"/>
  <c r="H916" i="5"/>
  <c r="I916" i="5" s="1"/>
  <c r="Z915" i="5"/>
  <c r="W915" i="5"/>
  <c r="R915" i="5"/>
  <c r="M915" i="5"/>
  <c r="H915" i="5"/>
  <c r="W914" i="5"/>
  <c r="R914" i="5"/>
  <c r="M914" i="5"/>
  <c r="H914" i="5"/>
  <c r="Z913" i="5"/>
  <c r="W913" i="5"/>
  <c r="R913" i="5"/>
  <c r="M913" i="5"/>
  <c r="H913" i="5"/>
  <c r="Z912" i="5"/>
  <c r="W912" i="5"/>
  <c r="R912" i="5"/>
  <c r="M912" i="5"/>
  <c r="H912" i="5"/>
  <c r="W911" i="5"/>
  <c r="R911" i="5"/>
  <c r="M911" i="5"/>
  <c r="H911" i="5"/>
  <c r="W910" i="5"/>
  <c r="R910" i="5"/>
  <c r="M910" i="5"/>
  <c r="H910" i="5"/>
  <c r="W909" i="5"/>
  <c r="R909" i="5"/>
  <c r="M909" i="5"/>
  <c r="H909" i="5"/>
  <c r="W908" i="5"/>
  <c r="R908" i="5"/>
  <c r="M908" i="5"/>
  <c r="H908" i="5"/>
  <c r="W907" i="5"/>
  <c r="R907" i="5"/>
  <c r="M907" i="5"/>
  <c r="H907" i="5"/>
  <c r="W906" i="5"/>
  <c r="R906" i="5"/>
  <c r="M906" i="5"/>
  <c r="H906" i="5"/>
  <c r="W905" i="5"/>
  <c r="R905" i="5"/>
  <c r="M905" i="5"/>
  <c r="H905" i="5"/>
  <c r="Z904" i="5"/>
  <c r="W904" i="5"/>
  <c r="R904" i="5"/>
  <c r="M904" i="5"/>
  <c r="H904" i="5"/>
  <c r="W903" i="5"/>
  <c r="R903" i="5"/>
  <c r="M903" i="5"/>
  <c r="H903" i="5"/>
  <c r="W902" i="5"/>
  <c r="R902" i="5"/>
  <c r="M902" i="5"/>
  <c r="H902" i="5"/>
  <c r="Z901" i="5"/>
  <c r="W901" i="5"/>
  <c r="R901" i="5"/>
  <c r="M901" i="5"/>
  <c r="H901" i="5"/>
  <c r="I901" i="5" s="1"/>
  <c r="Z900" i="5"/>
  <c r="W900" i="5"/>
  <c r="R900" i="5"/>
  <c r="M900" i="5"/>
  <c r="H900" i="5"/>
  <c r="I900" i="5" s="1"/>
  <c r="Z899" i="5"/>
  <c r="W899" i="5"/>
  <c r="R899" i="5"/>
  <c r="M899" i="5"/>
  <c r="H899" i="5"/>
  <c r="W898" i="5"/>
  <c r="R898" i="5"/>
  <c r="M898" i="5"/>
  <c r="H898" i="5"/>
  <c r="Z897" i="5"/>
  <c r="W897" i="5"/>
  <c r="R897" i="5"/>
  <c r="S897" i="5" s="1"/>
  <c r="L897" i="5"/>
  <c r="M897" i="5" s="1"/>
  <c r="H897" i="5"/>
  <c r="Z896" i="5"/>
  <c r="W896" i="5"/>
  <c r="R896" i="5"/>
  <c r="M896" i="5"/>
  <c r="H896" i="5"/>
  <c r="I896" i="5" s="1"/>
  <c r="Z895" i="5"/>
  <c r="W895" i="5"/>
  <c r="R895" i="5"/>
  <c r="M895" i="5"/>
  <c r="H895" i="5"/>
  <c r="Z894" i="5"/>
  <c r="W894" i="5"/>
  <c r="R894" i="5"/>
  <c r="M894" i="5"/>
  <c r="H894" i="5"/>
  <c r="W893" i="5"/>
  <c r="R893" i="5"/>
  <c r="M893" i="5"/>
  <c r="H893" i="5"/>
  <c r="Z892" i="5"/>
  <c r="W892" i="5"/>
  <c r="R892" i="5"/>
  <c r="M892" i="5"/>
  <c r="H892" i="5"/>
  <c r="W891" i="5"/>
  <c r="R891" i="5"/>
  <c r="M891" i="5"/>
  <c r="H891" i="5"/>
  <c r="Z890" i="5"/>
  <c r="W890" i="5"/>
  <c r="R890" i="5"/>
  <c r="S890" i="5" s="1"/>
  <c r="M890" i="5"/>
  <c r="H890" i="5"/>
  <c r="Z889" i="5"/>
  <c r="W889" i="5"/>
  <c r="R889" i="5"/>
  <c r="M889" i="5"/>
  <c r="H889" i="5"/>
  <c r="W888" i="5"/>
  <c r="R888" i="5"/>
  <c r="M888" i="5"/>
  <c r="H888" i="5"/>
  <c r="Z887" i="5"/>
  <c r="W887" i="5"/>
  <c r="R887" i="5"/>
  <c r="M887" i="5"/>
  <c r="H887" i="5"/>
  <c r="Z880" i="5"/>
  <c r="V880" i="5"/>
  <c r="U880" i="5"/>
  <c r="T880" i="5"/>
  <c r="Q880" i="5"/>
  <c r="P880" i="5"/>
  <c r="O880" i="5"/>
  <c r="R880" i="5" s="1"/>
  <c r="S880" i="5" s="1"/>
  <c r="L880" i="5"/>
  <c r="K880" i="5"/>
  <c r="J880" i="5"/>
  <c r="G880" i="5"/>
  <c r="E880" i="5"/>
  <c r="W879" i="5"/>
  <c r="X879" i="5" s="1"/>
  <c r="R879" i="5"/>
  <c r="S879" i="5" s="1"/>
  <c r="M879" i="5"/>
  <c r="N879" i="5" s="1"/>
  <c r="H879" i="5"/>
  <c r="I879" i="5" s="1"/>
  <c r="Z878" i="5"/>
  <c r="W878" i="5"/>
  <c r="X878" i="5" s="1"/>
  <c r="R878" i="5"/>
  <c r="S878" i="5" s="1"/>
  <c r="M878" i="5"/>
  <c r="H878" i="5"/>
  <c r="I878" i="5" s="1"/>
  <c r="W877" i="5"/>
  <c r="X877" i="5" s="1"/>
  <c r="S877" i="5"/>
  <c r="R877" i="5"/>
  <c r="M877" i="5"/>
  <c r="N877" i="5" s="1"/>
  <c r="H877" i="5"/>
  <c r="I877" i="5" s="1"/>
  <c r="Z876" i="5"/>
  <c r="W876" i="5"/>
  <c r="R876" i="5"/>
  <c r="M876" i="5"/>
  <c r="H876" i="5"/>
  <c r="Z875" i="5"/>
  <c r="V875" i="5"/>
  <c r="U875" i="5"/>
  <c r="T875" i="5"/>
  <c r="Q875" i="5"/>
  <c r="P875" i="5"/>
  <c r="O875" i="5"/>
  <c r="L875" i="5"/>
  <c r="K875" i="5"/>
  <c r="J875" i="5"/>
  <c r="G875" i="5"/>
  <c r="F875" i="5"/>
  <c r="Z874" i="5"/>
  <c r="V874" i="5"/>
  <c r="U874" i="5"/>
  <c r="T874" i="5"/>
  <c r="Q874" i="5"/>
  <c r="P874" i="5"/>
  <c r="L874" i="5"/>
  <c r="K874" i="5"/>
  <c r="J874" i="5"/>
  <c r="F874" i="5"/>
  <c r="H874" i="5" s="1"/>
  <c r="W873" i="5"/>
  <c r="R873" i="5"/>
  <c r="M873" i="5"/>
  <c r="H873" i="5"/>
  <c r="W872" i="5"/>
  <c r="R872" i="5"/>
  <c r="M872" i="5"/>
  <c r="H872" i="5"/>
  <c r="W871" i="5"/>
  <c r="R871" i="5"/>
  <c r="M871" i="5"/>
  <c r="H871" i="5"/>
  <c r="W870" i="5"/>
  <c r="R870" i="5"/>
  <c r="M870" i="5"/>
  <c r="H870" i="5"/>
  <c r="Z869" i="5"/>
  <c r="V869" i="5"/>
  <c r="U869" i="5"/>
  <c r="T869" i="5"/>
  <c r="Q869" i="5"/>
  <c r="P869" i="5"/>
  <c r="O869" i="5"/>
  <c r="L869" i="5"/>
  <c r="K869" i="5"/>
  <c r="J869" i="5"/>
  <c r="G869" i="5"/>
  <c r="F869" i="5"/>
  <c r="W868" i="5"/>
  <c r="R868" i="5"/>
  <c r="M868" i="5"/>
  <c r="W867" i="5"/>
  <c r="R867" i="5"/>
  <c r="M867" i="5"/>
  <c r="W866" i="5"/>
  <c r="R866" i="5"/>
  <c r="M866" i="5"/>
  <c r="H866" i="5"/>
  <c r="W865" i="5"/>
  <c r="R865" i="5"/>
  <c r="M865" i="5"/>
  <c r="H865" i="5"/>
  <c r="W864" i="5"/>
  <c r="R864" i="5"/>
  <c r="M864" i="5"/>
  <c r="H864" i="5"/>
  <c r="W863" i="5"/>
  <c r="R863" i="5"/>
  <c r="M863" i="5"/>
  <c r="H863" i="5"/>
  <c r="W862" i="5"/>
  <c r="R862" i="5"/>
  <c r="M862" i="5"/>
  <c r="H862" i="5"/>
  <c r="W861" i="5"/>
  <c r="R861" i="5"/>
  <c r="M861" i="5"/>
  <c r="H861" i="5"/>
  <c r="Z860" i="5"/>
  <c r="V860" i="5"/>
  <c r="U860" i="5"/>
  <c r="T860" i="5"/>
  <c r="Q860" i="5"/>
  <c r="P860" i="5"/>
  <c r="O860" i="5"/>
  <c r="L860" i="5"/>
  <c r="K860" i="5"/>
  <c r="J860" i="5"/>
  <c r="G860" i="5"/>
  <c r="F860" i="5"/>
  <c r="Z859" i="5"/>
  <c r="W859" i="5"/>
  <c r="X859" i="5" s="1"/>
  <c r="R859" i="5"/>
  <c r="M859" i="5"/>
  <c r="N859" i="5" s="1"/>
  <c r="H859" i="5"/>
  <c r="I859" i="5" s="1"/>
  <c r="Z858" i="5"/>
  <c r="W858" i="5"/>
  <c r="R858" i="5"/>
  <c r="S858" i="5" s="1"/>
  <c r="M858" i="5"/>
  <c r="H858" i="5"/>
  <c r="I858" i="5" s="1"/>
  <c r="Z857" i="5"/>
  <c r="W857" i="5"/>
  <c r="R857" i="5"/>
  <c r="M857" i="5"/>
  <c r="H857" i="5"/>
  <c r="Z856" i="5"/>
  <c r="W856" i="5"/>
  <c r="R856" i="5"/>
  <c r="M856" i="5"/>
  <c r="H856" i="5"/>
  <c r="Z855" i="5"/>
  <c r="V855" i="5"/>
  <c r="U855" i="5"/>
  <c r="Q855" i="5"/>
  <c r="P855" i="5"/>
  <c r="O855" i="5"/>
  <c r="L855" i="5"/>
  <c r="K855" i="5"/>
  <c r="G855" i="5"/>
  <c r="F855" i="5"/>
  <c r="H855" i="5" s="1"/>
  <c r="W854" i="5"/>
  <c r="R854" i="5"/>
  <c r="M854" i="5"/>
  <c r="H854" i="5"/>
  <c r="W853" i="5"/>
  <c r="R853" i="5"/>
  <c r="M853" i="5"/>
  <c r="H853" i="5"/>
  <c r="W852" i="5"/>
  <c r="R852" i="5"/>
  <c r="M852" i="5"/>
  <c r="H852" i="5"/>
  <c r="W851" i="5"/>
  <c r="R851" i="5"/>
  <c r="M851" i="5"/>
  <c r="H851" i="5"/>
  <c r="Z850" i="5"/>
  <c r="W850" i="5"/>
  <c r="R850" i="5"/>
  <c r="M850" i="5"/>
  <c r="H850" i="5"/>
  <c r="Z849" i="5"/>
  <c r="W849" i="5"/>
  <c r="R849" i="5"/>
  <c r="M849" i="5"/>
  <c r="H849" i="5"/>
  <c r="Z848" i="5"/>
  <c r="W848" i="5"/>
  <c r="X848" i="5" s="1"/>
  <c r="R848" i="5"/>
  <c r="M848" i="5"/>
  <c r="N848" i="5" s="1"/>
  <c r="H848" i="5"/>
  <c r="Z847" i="5"/>
  <c r="W847" i="5"/>
  <c r="R847" i="5"/>
  <c r="M847" i="5"/>
  <c r="H847" i="5"/>
  <c r="Z846" i="5"/>
  <c r="V846" i="5"/>
  <c r="U846" i="5"/>
  <c r="Q846" i="5"/>
  <c r="P846" i="5"/>
  <c r="O846" i="5"/>
  <c r="L846" i="5"/>
  <c r="K846" i="5"/>
  <c r="M846" i="5" s="1"/>
  <c r="G846" i="5"/>
  <c r="F846" i="5"/>
  <c r="Z845" i="5"/>
  <c r="V845" i="5"/>
  <c r="U845" i="5"/>
  <c r="T845" i="5"/>
  <c r="Q845" i="5"/>
  <c r="P845" i="5"/>
  <c r="O845" i="5"/>
  <c r="L845" i="5"/>
  <c r="K845" i="5"/>
  <c r="G845" i="5"/>
  <c r="F845" i="5"/>
  <c r="W844" i="5"/>
  <c r="R844" i="5"/>
  <c r="M844" i="5"/>
  <c r="H844" i="5"/>
  <c r="W843" i="5"/>
  <c r="R843" i="5"/>
  <c r="M843" i="5"/>
  <c r="H843" i="5"/>
  <c r="W842" i="5"/>
  <c r="R842" i="5"/>
  <c r="M842" i="5"/>
  <c r="H842" i="5"/>
  <c r="W841" i="5"/>
  <c r="R841" i="5"/>
  <c r="M841" i="5"/>
  <c r="H841" i="5"/>
  <c r="W840" i="5"/>
  <c r="X840" i="5" s="1"/>
  <c r="R840" i="5"/>
  <c r="S840" i="5" s="1"/>
  <c r="N840" i="5"/>
  <c r="M840" i="5"/>
  <c r="H840" i="5"/>
  <c r="Z839" i="5"/>
  <c r="W839" i="5"/>
  <c r="R839" i="5"/>
  <c r="M839" i="5"/>
  <c r="H839" i="5"/>
  <c r="W838" i="5"/>
  <c r="X838" i="5" s="1"/>
  <c r="R838" i="5"/>
  <c r="S838" i="5" s="1"/>
  <c r="M838" i="5"/>
  <c r="N838" i="5" s="1"/>
  <c r="H838" i="5"/>
  <c r="I838" i="5" s="1"/>
  <c r="W837" i="5"/>
  <c r="X837" i="5" s="1"/>
  <c r="R837" i="5"/>
  <c r="S837" i="5" s="1"/>
  <c r="M837" i="5"/>
  <c r="N837" i="5" s="1"/>
  <c r="H837" i="5"/>
  <c r="I837" i="5" s="1"/>
  <c r="Z836" i="5"/>
  <c r="W836" i="5"/>
  <c r="R836" i="5"/>
  <c r="M836" i="5"/>
  <c r="H836" i="5"/>
  <c r="I836" i="5" s="1"/>
  <c r="Z835" i="5"/>
  <c r="W835" i="5"/>
  <c r="R835" i="5"/>
  <c r="M835" i="5"/>
  <c r="H835" i="5"/>
  <c r="I835" i="5" s="1"/>
  <c r="Z834" i="5"/>
  <c r="W834" i="5"/>
  <c r="R834" i="5"/>
  <c r="M834" i="5"/>
  <c r="H834" i="5"/>
  <c r="Z833" i="5"/>
  <c r="W833" i="5"/>
  <c r="R833" i="5"/>
  <c r="M833" i="5"/>
  <c r="H833" i="5"/>
  <c r="I833" i="5" s="1"/>
  <c r="Z832" i="5"/>
  <c r="W832" i="5"/>
  <c r="R832" i="5"/>
  <c r="M832" i="5"/>
  <c r="H832" i="5"/>
  <c r="W831" i="5"/>
  <c r="R831" i="5"/>
  <c r="M831" i="5"/>
  <c r="H831" i="5"/>
  <c r="Z830" i="5"/>
  <c r="W830" i="5"/>
  <c r="R830" i="5"/>
  <c r="S830" i="5" s="1"/>
  <c r="N830" i="5"/>
  <c r="M830" i="5"/>
  <c r="H830" i="5"/>
  <c r="Z829" i="5"/>
  <c r="W829" i="5"/>
  <c r="R829" i="5"/>
  <c r="M829" i="5"/>
  <c r="H829" i="5"/>
  <c r="I829" i="5" s="1"/>
  <c r="Z828" i="5"/>
  <c r="W828" i="5"/>
  <c r="R828" i="5"/>
  <c r="M828" i="5"/>
  <c r="H828" i="5"/>
  <c r="I828" i="5" s="1"/>
  <c r="Z827" i="5"/>
  <c r="V827" i="5"/>
  <c r="U827" i="5"/>
  <c r="T827" i="5"/>
  <c r="Q827" i="5"/>
  <c r="P827" i="5"/>
  <c r="O827" i="5"/>
  <c r="L827" i="5"/>
  <c r="K827" i="5"/>
  <c r="J827" i="5"/>
  <c r="G827" i="5"/>
  <c r="F827" i="5"/>
  <c r="E827" i="5"/>
  <c r="Z826" i="5"/>
  <c r="W826" i="5"/>
  <c r="R826" i="5"/>
  <c r="M826" i="5"/>
  <c r="H826" i="5"/>
  <c r="I826" i="5" s="1"/>
  <c r="Z825" i="5"/>
  <c r="W825" i="5"/>
  <c r="X825" i="5" s="1"/>
  <c r="R825" i="5"/>
  <c r="M825" i="5"/>
  <c r="H825" i="5"/>
  <c r="I825" i="5" s="1"/>
  <c r="Z824" i="5"/>
  <c r="W824" i="5"/>
  <c r="R824" i="5"/>
  <c r="M824" i="5"/>
  <c r="H824" i="5"/>
  <c r="Z823" i="5"/>
  <c r="W823" i="5"/>
  <c r="R823" i="5"/>
  <c r="S823" i="5" s="1"/>
  <c r="M823" i="5"/>
  <c r="N823" i="5" s="1"/>
  <c r="H823" i="5"/>
  <c r="I823" i="5" s="1"/>
  <c r="Z822" i="5"/>
  <c r="W822" i="5"/>
  <c r="R822" i="5"/>
  <c r="M822" i="5"/>
  <c r="H822" i="5"/>
  <c r="Z821" i="5"/>
  <c r="W821" i="5"/>
  <c r="R821" i="5"/>
  <c r="M821" i="5"/>
  <c r="N821" i="5" s="1"/>
  <c r="H821" i="5"/>
  <c r="W820" i="5"/>
  <c r="R820" i="5"/>
  <c r="M820" i="5"/>
  <c r="H820" i="5"/>
  <c r="W819" i="5"/>
  <c r="R819" i="5"/>
  <c r="M819" i="5"/>
  <c r="H819" i="5"/>
  <c r="W818" i="5"/>
  <c r="R818" i="5"/>
  <c r="M818" i="5"/>
  <c r="H818" i="5"/>
  <c r="W817" i="5"/>
  <c r="X817" i="5" s="1"/>
  <c r="R817" i="5"/>
  <c r="S817" i="5" s="1"/>
  <c r="M817" i="5"/>
  <c r="N817" i="5" s="1"/>
  <c r="H817" i="5"/>
  <c r="I817" i="5" s="1"/>
  <c r="W816" i="5"/>
  <c r="X816" i="5" s="1"/>
  <c r="R816" i="5"/>
  <c r="S816" i="5" s="1"/>
  <c r="M816" i="5"/>
  <c r="N816" i="5" s="1"/>
  <c r="H816" i="5"/>
  <c r="I816" i="5" s="1"/>
  <c r="Z815" i="5"/>
  <c r="W815" i="5"/>
  <c r="R815" i="5"/>
  <c r="M815" i="5"/>
  <c r="H815" i="5"/>
  <c r="I815" i="5" s="1"/>
  <c r="Z814" i="5"/>
  <c r="W814" i="5"/>
  <c r="R814" i="5"/>
  <c r="M814" i="5"/>
  <c r="H814" i="5"/>
  <c r="I814" i="5" s="1"/>
  <c r="Z813" i="5"/>
  <c r="W813" i="5"/>
  <c r="R813" i="5"/>
  <c r="M813" i="5"/>
  <c r="H813" i="5"/>
  <c r="Z812" i="5"/>
  <c r="W812" i="5"/>
  <c r="R812" i="5"/>
  <c r="M812" i="5"/>
  <c r="H812" i="5"/>
  <c r="Z811" i="5"/>
  <c r="W811" i="5"/>
  <c r="R811" i="5"/>
  <c r="M811" i="5"/>
  <c r="H811" i="5"/>
  <c r="Z810" i="5"/>
  <c r="W810" i="5"/>
  <c r="R810" i="5"/>
  <c r="M810" i="5"/>
  <c r="H810" i="5"/>
  <c r="Z761" i="5"/>
  <c r="V761" i="5"/>
  <c r="U761" i="5"/>
  <c r="T761" i="5"/>
  <c r="Q761" i="5"/>
  <c r="P761" i="5"/>
  <c r="O761" i="5"/>
  <c r="L761" i="5"/>
  <c r="K761" i="5"/>
  <c r="J761" i="5"/>
  <c r="H761" i="5"/>
  <c r="Z760" i="5"/>
  <c r="W760" i="5"/>
  <c r="R760" i="5"/>
  <c r="M760" i="5"/>
  <c r="N760" i="5" s="1"/>
  <c r="H760" i="5"/>
  <c r="V759" i="5"/>
  <c r="U759" i="5"/>
  <c r="T759" i="5"/>
  <c r="W759" i="5" s="1"/>
  <c r="Q759" i="5"/>
  <c r="P759" i="5"/>
  <c r="O759" i="5"/>
  <c r="R759" i="5" s="1"/>
  <c r="L759" i="5"/>
  <c r="K759" i="5"/>
  <c r="J759" i="5"/>
  <c r="M759" i="5" s="1"/>
  <c r="H759" i="5"/>
  <c r="Z758" i="5"/>
  <c r="V758" i="5"/>
  <c r="U758" i="5"/>
  <c r="T758" i="5"/>
  <c r="Q758" i="5"/>
  <c r="P758" i="5"/>
  <c r="O758" i="5"/>
  <c r="L758" i="5"/>
  <c r="K758" i="5"/>
  <c r="J758" i="5"/>
  <c r="G758" i="5"/>
  <c r="F758" i="5"/>
  <c r="Z757" i="5"/>
  <c r="V757" i="5"/>
  <c r="U757" i="5"/>
  <c r="T757" i="5"/>
  <c r="Q757" i="5"/>
  <c r="P757" i="5"/>
  <c r="O757" i="5"/>
  <c r="L757" i="5"/>
  <c r="K757" i="5"/>
  <c r="J757" i="5"/>
  <c r="G757" i="5"/>
  <c r="F757" i="5"/>
  <c r="W756" i="5"/>
  <c r="R756" i="5"/>
  <c r="M756" i="5"/>
  <c r="H756" i="5"/>
  <c r="W755" i="5"/>
  <c r="R755" i="5"/>
  <c r="M755" i="5"/>
  <c r="H755" i="5"/>
  <c r="W754" i="5"/>
  <c r="R754" i="5"/>
  <c r="M754" i="5"/>
  <c r="H754" i="5"/>
  <c r="V753" i="5"/>
  <c r="U753" i="5"/>
  <c r="T753" i="5"/>
  <c r="W753" i="5" s="1"/>
  <c r="Q753" i="5"/>
  <c r="P753" i="5"/>
  <c r="O753" i="5"/>
  <c r="R753" i="5" s="1"/>
  <c r="L753" i="5"/>
  <c r="K753" i="5"/>
  <c r="J753" i="5"/>
  <c r="M753" i="5" s="1"/>
  <c r="H753" i="5"/>
  <c r="V752" i="5"/>
  <c r="U752" i="5"/>
  <c r="T752" i="5"/>
  <c r="W752" i="5" s="1"/>
  <c r="Q752" i="5"/>
  <c r="P752" i="5"/>
  <c r="O752" i="5"/>
  <c r="R752" i="5" s="1"/>
  <c r="L752" i="5"/>
  <c r="K752" i="5"/>
  <c r="J752" i="5"/>
  <c r="M752" i="5" s="1"/>
  <c r="H752" i="5"/>
  <c r="Z751" i="5"/>
  <c r="W751" i="5"/>
  <c r="R751" i="5"/>
  <c r="M751" i="5"/>
  <c r="H751" i="5"/>
  <c r="I751" i="5" s="1"/>
  <c r="Z750" i="5"/>
  <c r="V750" i="5"/>
  <c r="U750" i="5"/>
  <c r="T750" i="5"/>
  <c r="Q750" i="5"/>
  <c r="P750" i="5"/>
  <c r="O750" i="5"/>
  <c r="L750" i="5"/>
  <c r="K750" i="5"/>
  <c r="J750" i="5"/>
  <c r="G750" i="5"/>
  <c r="F750" i="5"/>
  <c r="Z749" i="5"/>
  <c r="W749" i="5"/>
  <c r="R749" i="5"/>
  <c r="M749" i="5"/>
  <c r="H749" i="5"/>
  <c r="I749" i="5" s="1"/>
  <c r="V748" i="5"/>
  <c r="U748" i="5"/>
  <c r="T748" i="5"/>
  <c r="Q748" i="5"/>
  <c r="P748" i="5"/>
  <c r="O748" i="5"/>
  <c r="L748" i="5"/>
  <c r="K748" i="5"/>
  <c r="J748" i="5"/>
  <c r="E748" i="5"/>
  <c r="H748" i="5" s="1"/>
  <c r="Z747" i="5"/>
  <c r="W747" i="5"/>
  <c r="R747" i="5"/>
  <c r="M747" i="5"/>
  <c r="H747" i="5"/>
  <c r="I747" i="5" s="1"/>
  <c r="Z746" i="5"/>
  <c r="V746" i="5"/>
  <c r="U746" i="5"/>
  <c r="T746" i="5"/>
  <c r="Q746" i="5"/>
  <c r="P746" i="5"/>
  <c r="O746" i="5"/>
  <c r="L746" i="5"/>
  <c r="K746" i="5"/>
  <c r="J746" i="5"/>
  <c r="F746" i="5"/>
  <c r="H746" i="5" s="1"/>
  <c r="Z745" i="5"/>
  <c r="V745" i="5"/>
  <c r="U745" i="5"/>
  <c r="T745" i="5"/>
  <c r="Q745" i="5"/>
  <c r="P745" i="5"/>
  <c r="O745" i="5"/>
  <c r="L745" i="5"/>
  <c r="K745" i="5"/>
  <c r="J745" i="5"/>
  <c r="G745" i="5"/>
  <c r="F745" i="5"/>
  <c r="Z744" i="5"/>
  <c r="V744" i="5"/>
  <c r="U744" i="5"/>
  <c r="T744" i="5"/>
  <c r="Q744" i="5"/>
  <c r="P744" i="5"/>
  <c r="O744" i="5"/>
  <c r="L744" i="5"/>
  <c r="K744" i="5"/>
  <c r="J744" i="5"/>
  <c r="G744" i="5"/>
  <c r="F744" i="5"/>
  <c r="Z743" i="5"/>
  <c r="W743" i="5"/>
  <c r="R743" i="5"/>
  <c r="M743" i="5"/>
  <c r="H743" i="5"/>
  <c r="I743" i="5" s="1"/>
  <c r="Z742" i="5"/>
  <c r="V742" i="5"/>
  <c r="U742" i="5"/>
  <c r="T742" i="5"/>
  <c r="Q742" i="5"/>
  <c r="P742" i="5"/>
  <c r="O742" i="5"/>
  <c r="L742" i="5"/>
  <c r="K742" i="5"/>
  <c r="J742" i="5"/>
  <c r="G742" i="5"/>
  <c r="H742" i="5" s="1"/>
  <c r="Z741" i="5"/>
  <c r="W741" i="5"/>
  <c r="R741" i="5"/>
  <c r="M741" i="5"/>
  <c r="H741" i="5"/>
  <c r="Z740" i="5"/>
  <c r="V740" i="5"/>
  <c r="U740" i="5"/>
  <c r="T740" i="5"/>
  <c r="Q740" i="5"/>
  <c r="P740" i="5"/>
  <c r="O740" i="5"/>
  <c r="L740" i="5"/>
  <c r="K740" i="5"/>
  <c r="J740" i="5"/>
  <c r="F740" i="5"/>
  <c r="H740" i="5" s="1"/>
  <c r="Z739" i="5"/>
  <c r="W739" i="5"/>
  <c r="R739" i="5"/>
  <c r="M739" i="5"/>
  <c r="H739" i="5"/>
  <c r="I739" i="5" s="1"/>
  <c r="Z738" i="5"/>
  <c r="W738" i="5"/>
  <c r="R738" i="5"/>
  <c r="M738" i="5"/>
  <c r="H738" i="5"/>
  <c r="I738" i="5" s="1"/>
  <c r="Z737" i="5"/>
  <c r="V737" i="5"/>
  <c r="U737" i="5"/>
  <c r="T737" i="5"/>
  <c r="Q737" i="5"/>
  <c r="P737" i="5"/>
  <c r="O737" i="5"/>
  <c r="L737" i="5"/>
  <c r="K737" i="5"/>
  <c r="J737" i="5"/>
  <c r="F737" i="5"/>
  <c r="H737" i="5" s="1"/>
  <c r="Z732" i="5"/>
  <c r="W732" i="5"/>
  <c r="R732" i="5"/>
  <c r="M732" i="5"/>
  <c r="H732" i="5"/>
  <c r="W731" i="5"/>
  <c r="X731" i="5" s="1"/>
  <c r="R731" i="5"/>
  <c r="S731" i="5" s="1"/>
  <c r="M731" i="5"/>
  <c r="N731" i="5" s="1"/>
  <c r="H731" i="5"/>
  <c r="W730" i="5"/>
  <c r="R730" i="5"/>
  <c r="M730" i="5"/>
  <c r="H730" i="5"/>
  <c r="Z729" i="5"/>
  <c r="W729" i="5"/>
  <c r="R729" i="5"/>
  <c r="M729" i="5"/>
  <c r="H729" i="5"/>
  <c r="I729" i="5" s="1"/>
  <c r="W728" i="5"/>
  <c r="R728" i="5"/>
  <c r="M728" i="5"/>
  <c r="H728" i="5"/>
  <c r="W727" i="5"/>
  <c r="R727" i="5"/>
  <c r="M727" i="5"/>
  <c r="H727" i="5"/>
  <c r="W726" i="5"/>
  <c r="R726" i="5"/>
  <c r="M726" i="5"/>
  <c r="H726" i="5"/>
  <c r="V724" i="5"/>
  <c r="U724" i="5"/>
  <c r="T724" i="5"/>
  <c r="Q724" i="5"/>
  <c r="P724" i="5"/>
  <c r="O724" i="5"/>
  <c r="L724" i="5"/>
  <c r="K724" i="5"/>
  <c r="J724" i="5"/>
  <c r="H724" i="5"/>
  <c r="I724" i="5" s="1"/>
  <c r="Z723" i="5"/>
  <c r="V723" i="5"/>
  <c r="U723" i="5"/>
  <c r="T723" i="5"/>
  <c r="Q723" i="5"/>
  <c r="P723" i="5"/>
  <c r="O723" i="5"/>
  <c r="L723" i="5"/>
  <c r="K723" i="5"/>
  <c r="J723" i="5"/>
  <c r="H723" i="5"/>
  <c r="W722" i="5"/>
  <c r="R722" i="5"/>
  <c r="M722" i="5"/>
  <c r="H722" i="5"/>
  <c r="Z721" i="5"/>
  <c r="W721" i="5"/>
  <c r="R721" i="5"/>
  <c r="M721" i="5"/>
  <c r="H721" i="5"/>
  <c r="I721" i="5" s="1"/>
  <c r="Z720" i="5"/>
  <c r="W720" i="5"/>
  <c r="R720" i="5"/>
  <c r="M720" i="5"/>
  <c r="H720" i="5"/>
  <c r="I720" i="5" s="1"/>
  <c r="W719" i="5"/>
  <c r="R719" i="5"/>
  <c r="M719" i="5"/>
  <c r="H719" i="5"/>
  <c r="Z717" i="5"/>
  <c r="V717" i="5"/>
  <c r="U717" i="5"/>
  <c r="T717" i="5"/>
  <c r="Q717" i="5"/>
  <c r="P717" i="5"/>
  <c r="O717" i="5"/>
  <c r="L717" i="5"/>
  <c r="K717" i="5"/>
  <c r="J717" i="5"/>
  <c r="H717" i="5"/>
  <c r="Z716" i="5"/>
  <c r="V716" i="5"/>
  <c r="U716" i="5"/>
  <c r="T716" i="5"/>
  <c r="Q716" i="5"/>
  <c r="P716" i="5"/>
  <c r="O716" i="5"/>
  <c r="L716" i="5"/>
  <c r="K716" i="5"/>
  <c r="J716" i="5"/>
  <c r="E716" i="5"/>
  <c r="Z715" i="5"/>
  <c r="V715" i="5"/>
  <c r="U715" i="5"/>
  <c r="T715" i="5"/>
  <c r="Q715" i="5"/>
  <c r="P715" i="5"/>
  <c r="O715" i="5"/>
  <c r="L715" i="5"/>
  <c r="K715" i="5"/>
  <c r="J715" i="5"/>
  <c r="E715" i="5"/>
  <c r="H715" i="5" s="1"/>
  <c r="W714" i="5"/>
  <c r="R714" i="5"/>
  <c r="M714" i="5"/>
  <c r="H714" i="5"/>
  <c r="W713" i="5"/>
  <c r="R713" i="5"/>
  <c r="M713" i="5"/>
  <c r="H713" i="5"/>
  <c r="W712" i="5"/>
  <c r="R712" i="5"/>
  <c r="M712" i="5"/>
  <c r="H712" i="5"/>
  <c r="W711" i="5"/>
  <c r="R711" i="5"/>
  <c r="M711" i="5"/>
  <c r="H711" i="5"/>
  <c r="Z710" i="5"/>
  <c r="W710" i="5"/>
  <c r="X710" i="5" s="1"/>
  <c r="R710" i="5"/>
  <c r="M710" i="5"/>
  <c r="H710" i="5"/>
  <c r="I710" i="5" s="1"/>
  <c r="Z709" i="5"/>
  <c r="W709" i="5"/>
  <c r="R709" i="5"/>
  <c r="M709" i="5"/>
  <c r="H709" i="5"/>
  <c r="W708" i="5"/>
  <c r="R708" i="5"/>
  <c r="M708" i="5"/>
  <c r="H708" i="5"/>
  <c r="Z707" i="5"/>
  <c r="V707" i="5"/>
  <c r="U707" i="5"/>
  <c r="T707" i="5"/>
  <c r="Q707" i="5"/>
  <c r="P707" i="5"/>
  <c r="O707" i="5"/>
  <c r="L707" i="5"/>
  <c r="K707" i="5"/>
  <c r="J707" i="5"/>
  <c r="G707" i="5"/>
  <c r="E707" i="5"/>
  <c r="Z706" i="5"/>
  <c r="W706" i="5"/>
  <c r="R706" i="5"/>
  <c r="M706" i="5"/>
  <c r="H706" i="5"/>
  <c r="W705" i="5"/>
  <c r="R705" i="5"/>
  <c r="M705" i="5"/>
  <c r="H705" i="5"/>
  <c r="W704" i="5"/>
  <c r="R704" i="5"/>
  <c r="M704" i="5"/>
  <c r="H704" i="5"/>
  <c r="Z703" i="5"/>
  <c r="W703" i="5"/>
  <c r="R703" i="5"/>
  <c r="M703" i="5"/>
  <c r="H703" i="5"/>
  <c r="Z702" i="5"/>
  <c r="W702" i="5"/>
  <c r="X702" i="5" s="1"/>
  <c r="R702" i="5"/>
  <c r="M702" i="5"/>
  <c r="H702" i="5"/>
  <c r="Z701" i="5"/>
  <c r="W701" i="5"/>
  <c r="R701" i="5"/>
  <c r="M701" i="5"/>
  <c r="H701" i="5"/>
  <c r="Z700" i="5"/>
  <c r="V700" i="5"/>
  <c r="U700" i="5"/>
  <c r="T700" i="5"/>
  <c r="Q700" i="5"/>
  <c r="P700" i="5"/>
  <c r="O700" i="5"/>
  <c r="L700" i="5"/>
  <c r="K700" i="5"/>
  <c r="J700" i="5"/>
  <c r="G700" i="5"/>
  <c r="E700" i="5"/>
  <c r="Z699" i="5"/>
  <c r="V699" i="5"/>
  <c r="U699" i="5"/>
  <c r="T699" i="5"/>
  <c r="Q699" i="5"/>
  <c r="P699" i="5"/>
  <c r="O699" i="5"/>
  <c r="L699" i="5"/>
  <c r="K699" i="5"/>
  <c r="J699" i="5"/>
  <c r="E699" i="5"/>
  <c r="H699" i="5" s="1"/>
  <c r="W698" i="5"/>
  <c r="R698" i="5"/>
  <c r="M698" i="5"/>
  <c r="H698" i="5"/>
  <c r="Z697" i="5"/>
  <c r="V697" i="5"/>
  <c r="U697" i="5"/>
  <c r="T697" i="5"/>
  <c r="Q697" i="5"/>
  <c r="P697" i="5"/>
  <c r="O697" i="5"/>
  <c r="L697" i="5"/>
  <c r="K697" i="5"/>
  <c r="J697" i="5"/>
  <c r="G697" i="5"/>
  <c r="E697" i="5"/>
  <c r="Z696" i="5"/>
  <c r="W696" i="5"/>
  <c r="R696" i="5"/>
  <c r="M696" i="5"/>
  <c r="H696" i="5"/>
  <c r="I696" i="5" s="1"/>
  <c r="Z695" i="5"/>
  <c r="W695" i="5"/>
  <c r="R695" i="5"/>
  <c r="M695" i="5"/>
  <c r="H695" i="5"/>
  <c r="I695" i="5" s="1"/>
  <c r="W694" i="5"/>
  <c r="R694" i="5"/>
  <c r="M694" i="5"/>
  <c r="H694" i="5"/>
  <c r="W693" i="5"/>
  <c r="R693" i="5"/>
  <c r="M693" i="5"/>
  <c r="H693" i="5"/>
  <c r="W692" i="5"/>
  <c r="R692" i="5"/>
  <c r="M692" i="5"/>
  <c r="H692" i="5"/>
  <c r="W691" i="5"/>
  <c r="R691" i="5"/>
  <c r="M691" i="5"/>
  <c r="H691" i="5"/>
  <c r="W690" i="5"/>
  <c r="R690" i="5"/>
  <c r="M690" i="5"/>
  <c r="H690" i="5"/>
  <c r="W689" i="5"/>
  <c r="R689" i="5"/>
  <c r="M689" i="5"/>
  <c r="H689" i="5"/>
  <c r="Z688" i="5"/>
  <c r="W688" i="5"/>
  <c r="R688" i="5"/>
  <c r="M688" i="5"/>
  <c r="H688" i="5"/>
  <c r="W683" i="5"/>
  <c r="R683" i="5"/>
  <c r="M683" i="5"/>
  <c r="H683" i="5"/>
  <c r="W682" i="5"/>
  <c r="R682" i="5"/>
  <c r="M682" i="5"/>
  <c r="H682" i="5"/>
  <c r="Z681" i="5"/>
  <c r="W681" i="5"/>
  <c r="R681" i="5"/>
  <c r="M681" i="5"/>
  <c r="H681" i="5"/>
  <c r="W677" i="5"/>
  <c r="R677" i="5"/>
  <c r="M677" i="5"/>
  <c r="H677" i="5"/>
  <c r="W676" i="5"/>
  <c r="R676" i="5"/>
  <c r="M676" i="5"/>
  <c r="H676" i="5"/>
  <c r="Z675" i="5"/>
  <c r="W675" i="5"/>
  <c r="R675" i="5"/>
  <c r="M675" i="5"/>
  <c r="H675" i="5"/>
  <c r="Z674" i="5"/>
  <c r="W674" i="5"/>
  <c r="R674" i="5"/>
  <c r="M674" i="5"/>
  <c r="H674" i="5"/>
  <c r="Z673" i="5"/>
  <c r="W673" i="5"/>
  <c r="R673" i="5"/>
  <c r="M673" i="5"/>
  <c r="H673" i="5"/>
  <c r="W668" i="5"/>
  <c r="R668" i="5"/>
  <c r="M668" i="5"/>
  <c r="H668" i="5"/>
  <c r="W667" i="5"/>
  <c r="X667" i="5" s="1"/>
  <c r="R667" i="5"/>
  <c r="S667" i="5" s="1"/>
  <c r="M667" i="5"/>
  <c r="N667" i="5" s="1"/>
  <c r="H667" i="5"/>
  <c r="Z666" i="5"/>
  <c r="W666" i="5"/>
  <c r="R666" i="5"/>
  <c r="M666" i="5"/>
  <c r="H666" i="5"/>
  <c r="Z665" i="5"/>
  <c r="W665" i="5"/>
  <c r="R665" i="5"/>
  <c r="M665" i="5"/>
  <c r="H665" i="5"/>
  <c r="I665" i="5" s="1"/>
  <c r="W664" i="5"/>
  <c r="R664" i="5"/>
  <c r="M664" i="5"/>
  <c r="H664" i="5"/>
  <c r="Z663" i="5"/>
  <c r="V663" i="5"/>
  <c r="U663" i="5"/>
  <c r="T663" i="5"/>
  <c r="Q663" i="5"/>
  <c r="P663" i="5"/>
  <c r="O663" i="5"/>
  <c r="L663" i="5"/>
  <c r="K663" i="5"/>
  <c r="J663" i="5"/>
  <c r="G663" i="5"/>
  <c r="E663" i="5"/>
  <c r="Z662" i="5"/>
  <c r="V662" i="5"/>
  <c r="U662" i="5"/>
  <c r="T662" i="5"/>
  <c r="Q662" i="5"/>
  <c r="P662" i="5"/>
  <c r="O662" i="5"/>
  <c r="L662" i="5"/>
  <c r="K662" i="5"/>
  <c r="J662" i="5"/>
  <c r="G662" i="5"/>
  <c r="F662" i="5"/>
  <c r="W661" i="5"/>
  <c r="R661" i="5"/>
  <c r="M661" i="5"/>
  <c r="H661" i="5"/>
  <c r="Z660" i="5"/>
  <c r="W660" i="5"/>
  <c r="R660" i="5"/>
  <c r="M660" i="5"/>
  <c r="H660" i="5"/>
  <c r="I660" i="5" s="1"/>
  <c r="Z659" i="5"/>
  <c r="V659" i="5"/>
  <c r="U659" i="5"/>
  <c r="T659" i="5"/>
  <c r="Q659" i="5"/>
  <c r="P659" i="5"/>
  <c r="O659" i="5"/>
  <c r="L659" i="5"/>
  <c r="K659" i="5"/>
  <c r="J659" i="5"/>
  <c r="G659" i="5"/>
  <c r="F659" i="5"/>
  <c r="Z658" i="5"/>
  <c r="W658" i="5"/>
  <c r="Q658" i="5"/>
  <c r="R658" i="5" s="1"/>
  <c r="S658" i="5" s="1"/>
  <c r="M658" i="5"/>
  <c r="H658" i="5"/>
  <c r="W657" i="5"/>
  <c r="R657" i="5"/>
  <c r="M657" i="5"/>
  <c r="H657" i="5"/>
  <c r="W656" i="5"/>
  <c r="R656" i="5"/>
  <c r="M656" i="5"/>
  <c r="H656" i="5"/>
  <c r="Z655" i="5"/>
  <c r="V655" i="5"/>
  <c r="W655" i="5" s="1"/>
  <c r="R655" i="5"/>
  <c r="M655" i="5"/>
  <c r="H655" i="5"/>
  <c r="I655" i="5" s="1"/>
  <c r="W654" i="5"/>
  <c r="R654" i="5"/>
  <c r="M654" i="5"/>
  <c r="H654" i="5"/>
  <c r="W653" i="5"/>
  <c r="R653" i="5"/>
  <c r="M653" i="5"/>
  <c r="H653" i="5"/>
  <c r="W652" i="5"/>
  <c r="R652" i="5"/>
  <c r="M652" i="5"/>
  <c r="H652" i="5"/>
  <c r="Z651" i="5"/>
  <c r="W651" i="5"/>
  <c r="R651" i="5"/>
  <c r="M651" i="5"/>
  <c r="H651" i="5"/>
  <c r="Z650" i="5"/>
  <c r="V650" i="5"/>
  <c r="U650" i="5"/>
  <c r="T650" i="5"/>
  <c r="Q650" i="5"/>
  <c r="P650" i="5"/>
  <c r="O650" i="5"/>
  <c r="L650" i="5"/>
  <c r="K650" i="5"/>
  <c r="J650" i="5"/>
  <c r="F650" i="5"/>
  <c r="E650" i="5"/>
  <c r="Z649" i="5"/>
  <c r="W649" i="5"/>
  <c r="R649" i="5"/>
  <c r="M649" i="5"/>
  <c r="H649" i="5"/>
  <c r="I649" i="5" s="1"/>
  <c r="Z648" i="5"/>
  <c r="W648" i="5"/>
  <c r="R648" i="5"/>
  <c r="M648" i="5"/>
  <c r="I648" i="5"/>
  <c r="H648" i="5"/>
  <c r="Z647" i="5"/>
  <c r="V647" i="5"/>
  <c r="U647" i="5"/>
  <c r="T647" i="5"/>
  <c r="Q647" i="5"/>
  <c r="P647" i="5"/>
  <c r="O647" i="5"/>
  <c r="L647" i="5"/>
  <c r="K647" i="5"/>
  <c r="J647" i="5"/>
  <c r="G647" i="5"/>
  <c r="E647" i="5"/>
  <c r="W646" i="5"/>
  <c r="R646" i="5"/>
  <c r="M646" i="5"/>
  <c r="H646" i="5"/>
  <c r="Z645" i="5"/>
  <c r="W645" i="5"/>
  <c r="Q645" i="5"/>
  <c r="R645" i="5" s="1"/>
  <c r="M645" i="5"/>
  <c r="H645" i="5"/>
  <c r="I645" i="5" s="1"/>
  <c r="Z644" i="5"/>
  <c r="W644" i="5"/>
  <c r="R644" i="5"/>
  <c r="M644" i="5"/>
  <c r="H644" i="5"/>
  <c r="Z643" i="5"/>
  <c r="X643" i="5" s="1"/>
  <c r="W643" i="5"/>
  <c r="R643" i="5"/>
  <c r="M643" i="5"/>
  <c r="H643" i="5"/>
  <c r="I643" i="5" s="1"/>
  <c r="W642" i="5"/>
  <c r="R642" i="5"/>
  <c r="M642" i="5"/>
  <c r="H642" i="5"/>
  <c r="W641" i="5"/>
  <c r="R641" i="5"/>
  <c r="M641" i="5"/>
  <c r="H641" i="5"/>
  <c r="Z640" i="5"/>
  <c r="V640" i="5"/>
  <c r="U640" i="5"/>
  <c r="T640" i="5"/>
  <c r="Q640" i="5"/>
  <c r="P640" i="5"/>
  <c r="O640" i="5"/>
  <c r="L640" i="5"/>
  <c r="K640" i="5"/>
  <c r="J640" i="5"/>
  <c r="G640" i="5"/>
  <c r="F640" i="5"/>
  <c r="Z639" i="5"/>
  <c r="V639" i="5"/>
  <c r="U639" i="5"/>
  <c r="T639" i="5"/>
  <c r="Q639" i="5"/>
  <c r="P639" i="5"/>
  <c r="O639" i="5"/>
  <c r="L639" i="5"/>
  <c r="K639" i="5"/>
  <c r="J639" i="5"/>
  <c r="G639" i="5"/>
  <c r="F639" i="5"/>
  <c r="Z638" i="5"/>
  <c r="W638" i="5"/>
  <c r="R638" i="5"/>
  <c r="M638" i="5"/>
  <c r="H638" i="5"/>
  <c r="Z637" i="5"/>
  <c r="W637" i="5"/>
  <c r="R637" i="5"/>
  <c r="M637" i="5"/>
  <c r="H637" i="5"/>
  <c r="I637" i="5" s="1"/>
  <c r="Z636" i="5"/>
  <c r="W636" i="5"/>
  <c r="R636" i="5"/>
  <c r="M636" i="5"/>
  <c r="H636" i="5"/>
  <c r="Z635" i="5"/>
  <c r="W635" i="5"/>
  <c r="R635" i="5"/>
  <c r="M635" i="5"/>
  <c r="H635" i="5"/>
  <c r="I635" i="5" s="1"/>
  <c r="Z634" i="5"/>
  <c r="W634" i="5"/>
  <c r="R634" i="5"/>
  <c r="S634" i="5" s="1"/>
  <c r="M634" i="5"/>
  <c r="N634" i="5" s="1"/>
  <c r="H634" i="5"/>
  <c r="I634" i="5" s="1"/>
  <c r="Z633" i="5"/>
  <c r="V633" i="5"/>
  <c r="U633" i="5"/>
  <c r="T633" i="5"/>
  <c r="Q633" i="5"/>
  <c r="P633" i="5"/>
  <c r="O633" i="5"/>
  <c r="L633" i="5"/>
  <c r="K633" i="5"/>
  <c r="J633" i="5"/>
  <c r="F633" i="5"/>
  <c r="E633" i="5"/>
  <c r="Z632" i="5"/>
  <c r="W632" i="5"/>
  <c r="R632" i="5"/>
  <c r="S632" i="5" s="1"/>
  <c r="M632" i="5"/>
  <c r="H632" i="5"/>
  <c r="Z631" i="5"/>
  <c r="S631" i="5" s="1"/>
  <c r="W631" i="5"/>
  <c r="R631" i="5"/>
  <c r="M631" i="5"/>
  <c r="H631" i="5"/>
  <c r="Z630" i="5"/>
  <c r="W630" i="5"/>
  <c r="R630" i="5"/>
  <c r="M630" i="5"/>
  <c r="H630" i="5"/>
  <c r="I630" i="5" s="1"/>
  <c r="Z629" i="5"/>
  <c r="V629" i="5"/>
  <c r="U629" i="5"/>
  <c r="T629" i="5"/>
  <c r="Q629" i="5"/>
  <c r="P629" i="5"/>
  <c r="O629" i="5"/>
  <c r="L629" i="5"/>
  <c r="K629" i="5"/>
  <c r="J629" i="5"/>
  <c r="G629" i="5"/>
  <c r="F629" i="5"/>
  <c r="Z628" i="5"/>
  <c r="W628" i="5"/>
  <c r="R628" i="5"/>
  <c r="M628" i="5"/>
  <c r="H628" i="5"/>
  <c r="Z627" i="5"/>
  <c r="W627" i="5"/>
  <c r="R627" i="5"/>
  <c r="M627" i="5"/>
  <c r="H627" i="5"/>
  <c r="Z626" i="5"/>
  <c r="W626" i="5"/>
  <c r="R626" i="5"/>
  <c r="M626" i="5"/>
  <c r="H626" i="5"/>
  <c r="Z625" i="5"/>
  <c r="W625" i="5"/>
  <c r="R625" i="5"/>
  <c r="M625" i="5"/>
  <c r="H625" i="5"/>
  <c r="I625" i="5" s="1"/>
  <c r="W624" i="5"/>
  <c r="R624" i="5"/>
  <c r="M624" i="5"/>
  <c r="H624" i="5"/>
  <c r="W623" i="5"/>
  <c r="R623" i="5"/>
  <c r="M623" i="5"/>
  <c r="H623" i="5"/>
  <c r="W622" i="5"/>
  <c r="R622" i="5"/>
  <c r="M622" i="5"/>
  <c r="H622" i="5"/>
  <c r="W621" i="5"/>
  <c r="R621" i="5"/>
  <c r="M621" i="5"/>
  <c r="H621" i="5"/>
  <c r="Z620" i="5"/>
  <c r="W620" i="5"/>
  <c r="X620" i="5" s="1"/>
  <c r="R620" i="5"/>
  <c r="S620" i="5" s="1"/>
  <c r="M620" i="5"/>
  <c r="H620" i="5"/>
  <c r="I620" i="5" s="1"/>
  <c r="Z619" i="5"/>
  <c r="W619" i="5"/>
  <c r="R619" i="5"/>
  <c r="M619" i="5"/>
  <c r="H619" i="5"/>
  <c r="Z618" i="5"/>
  <c r="W618" i="5"/>
  <c r="R618" i="5"/>
  <c r="M618" i="5"/>
  <c r="H618" i="5"/>
  <c r="Z617" i="5"/>
  <c r="W617" i="5"/>
  <c r="R617" i="5"/>
  <c r="M617" i="5"/>
  <c r="H617" i="5"/>
  <c r="I617" i="5" s="1"/>
  <c r="Z616" i="5"/>
  <c r="W616" i="5"/>
  <c r="R616" i="5"/>
  <c r="M616" i="5"/>
  <c r="H616" i="5"/>
  <c r="W615" i="5"/>
  <c r="R615" i="5"/>
  <c r="M615" i="5"/>
  <c r="H615" i="5"/>
  <c r="W614" i="5"/>
  <c r="R614" i="5"/>
  <c r="M614" i="5"/>
  <c r="H614" i="5"/>
  <c r="Z613" i="5"/>
  <c r="V613" i="5"/>
  <c r="U613" i="5"/>
  <c r="T613" i="5"/>
  <c r="Q613" i="5"/>
  <c r="P613" i="5"/>
  <c r="O613" i="5"/>
  <c r="L613" i="5"/>
  <c r="K613" i="5"/>
  <c r="J613" i="5"/>
  <c r="G613" i="5"/>
  <c r="F613" i="5"/>
  <c r="Z612" i="5"/>
  <c r="W612" i="5"/>
  <c r="R612" i="5"/>
  <c r="M612" i="5"/>
  <c r="H612" i="5"/>
  <c r="I612" i="5" s="1"/>
  <c r="Z611" i="5"/>
  <c r="V611" i="5"/>
  <c r="U611" i="5"/>
  <c r="T611" i="5"/>
  <c r="Q611" i="5"/>
  <c r="P611" i="5"/>
  <c r="O611" i="5"/>
  <c r="L611" i="5"/>
  <c r="K611" i="5"/>
  <c r="J611" i="5"/>
  <c r="G611" i="5"/>
  <c r="F611" i="5"/>
  <c r="W610" i="5"/>
  <c r="R610" i="5"/>
  <c r="M610" i="5"/>
  <c r="H610" i="5"/>
  <c r="Z609" i="5"/>
  <c r="V609" i="5"/>
  <c r="U609" i="5"/>
  <c r="T609" i="5"/>
  <c r="Q609" i="5"/>
  <c r="P609" i="5"/>
  <c r="O609" i="5"/>
  <c r="L609" i="5"/>
  <c r="K609" i="5"/>
  <c r="J609" i="5"/>
  <c r="G609" i="5"/>
  <c r="F609" i="5"/>
  <c r="W608" i="5"/>
  <c r="R608" i="5"/>
  <c r="M608" i="5"/>
  <c r="H608" i="5"/>
  <c r="Z607" i="5"/>
  <c r="W607" i="5"/>
  <c r="R607" i="5"/>
  <c r="M607" i="5"/>
  <c r="H607" i="5"/>
  <c r="Z606" i="5"/>
  <c r="W606" i="5"/>
  <c r="R606" i="5"/>
  <c r="M606" i="5"/>
  <c r="H606" i="5"/>
  <c r="I606" i="5" s="1"/>
  <c r="Z605" i="5"/>
  <c r="W605" i="5"/>
  <c r="R605" i="5"/>
  <c r="S605" i="5" s="1"/>
  <c r="M605" i="5"/>
  <c r="H605" i="5"/>
  <c r="Z604" i="5"/>
  <c r="W604" i="5"/>
  <c r="R604" i="5"/>
  <c r="M604" i="5"/>
  <c r="H604" i="5"/>
  <c r="W603" i="5"/>
  <c r="R603" i="5"/>
  <c r="M603" i="5"/>
  <c r="H603" i="5"/>
  <c r="W599" i="5"/>
  <c r="R599" i="5"/>
  <c r="M599" i="5"/>
  <c r="H599" i="5"/>
  <c r="W598" i="5"/>
  <c r="R598" i="5"/>
  <c r="M598" i="5"/>
  <c r="H598" i="5"/>
  <c r="W597" i="5"/>
  <c r="R597" i="5"/>
  <c r="M597" i="5"/>
  <c r="H597" i="5"/>
  <c r="W596" i="5"/>
  <c r="R596" i="5"/>
  <c r="M596" i="5"/>
  <c r="H596" i="5"/>
  <c r="Z580" i="5"/>
  <c r="W580" i="5"/>
  <c r="R580" i="5"/>
  <c r="M580" i="5"/>
  <c r="H580" i="5"/>
  <c r="Z579" i="5"/>
  <c r="W579" i="5"/>
  <c r="R579" i="5"/>
  <c r="M579" i="5"/>
  <c r="H579" i="5"/>
  <c r="Z578" i="5"/>
  <c r="V578" i="5"/>
  <c r="U578" i="5"/>
  <c r="T578" i="5"/>
  <c r="Q578" i="5"/>
  <c r="P578" i="5"/>
  <c r="O578" i="5"/>
  <c r="L578" i="5"/>
  <c r="K578" i="5"/>
  <c r="J578" i="5"/>
  <c r="G578" i="5"/>
  <c r="F578" i="5"/>
  <c r="Z577" i="5"/>
  <c r="X577" i="5" s="1"/>
  <c r="R577" i="5"/>
  <c r="M577" i="5"/>
  <c r="H577" i="5"/>
  <c r="Z576" i="5"/>
  <c r="W576" i="5"/>
  <c r="R576" i="5"/>
  <c r="M576" i="5"/>
  <c r="H576" i="5"/>
  <c r="Z575" i="5"/>
  <c r="W575" i="5"/>
  <c r="R575" i="5"/>
  <c r="M575" i="5"/>
  <c r="H575" i="5"/>
  <c r="W574" i="5"/>
  <c r="R574" i="5"/>
  <c r="M574" i="5"/>
  <c r="Z573" i="5"/>
  <c r="T573" i="5"/>
  <c r="W573" i="5" s="1"/>
  <c r="O573" i="5"/>
  <c r="R573" i="5" s="1"/>
  <c r="M573" i="5"/>
  <c r="H573" i="5"/>
  <c r="Z572" i="5"/>
  <c r="I572" i="5" s="1"/>
  <c r="W572" i="5"/>
  <c r="R572" i="5"/>
  <c r="M572" i="5"/>
  <c r="Z571" i="5"/>
  <c r="W571" i="5"/>
  <c r="R571" i="5"/>
  <c r="M571" i="5"/>
  <c r="H571" i="5"/>
  <c r="Z570" i="5"/>
  <c r="W570" i="5"/>
  <c r="R570" i="5"/>
  <c r="M570" i="5"/>
  <c r="H570" i="5"/>
  <c r="Z569" i="5"/>
  <c r="W569" i="5"/>
  <c r="R569" i="5"/>
  <c r="M569" i="5"/>
  <c r="H569" i="5"/>
  <c r="Z568" i="5"/>
  <c r="W568" i="5"/>
  <c r="R568" i="5"/>
  <c r="M568" i="5"/>
  <c r="H568" i="5"/>
  <c r="W562" i="5"/>
  <c r="R562" i="5"/>
  <c r="M562" i="5"/>
  <c r="H562" i="5"/>
  <c r="Z561" i="5"/>
  <c r="W561" i="5"/>
  <c r="R561" i="5"/>
  <c r="M561" i="5"/>
  <c r="H561" i="5"/>
  <c r="Z560" i="5"/>
  <c r="W560" i="5"/>
  <c r="R560" i="5"/>
  <c r="M560" i="5"/>
  <c r="H560" i="5"/>
  <c r="I560" i="5" s="1"/>
  <c r="Z559" i="5"/>
  <c r="W559" i="5"/>
  <c r="X559" i="5" s="1"/>
  <c r="R559" i="5"/>
  <c r="S559" i="5" s="1"/>
  <c r="M559" i="5"/>
  <c r="H559" i="5"/>
  <c r="W558" i="5"/>
  <c r="R558" i="5"/>
  <c r="M558" i="5"/>
  <c r="H558" i="5"/>
  <c r="W557" i="5"/>
  <c r="R557" i="5"/>
  <c r="M557" i="5"/>
  <c r="H557" i="5"/>
  <c r="Z556" i="5"/>
  <c r="U556" i="5"/>
  <c r="T556" i="5"/>
  <c r="P556" i="5"/>
  <c r="O556" i="5"/>
  <c r="R556" i="5" s="1"/>
  <c r="S556" i="5" s="1"/>
  <c r="K556" i="5"/>
  <c r="J556" i="5"/>
  <c r="F556" i="5"/>
  <c r="W555" i="5"/>
  <c r="R555" i="5"/>
  <c r="M555" i="5"/>
  <c r="H555" i="5"/>
  <c r="W554" i="5"/>
  <c r="R554" i="5"/>
  <c r="M554" i="5"/>
  <c r="H554" i="5"/>
  <c r="Z553" i="5"/>
  <c r="W553" i="5"/>
  <c r="R553" i="5"/>
  <c r="M553" i="5"/>
  <c r="H553" i="5"/>
  <c r="Z552" i="5"/>
  <c r="W552" i="5"/>
  <c r="R552" i="5"/>
  <c r="M552" i="5"/>
  <c r="H552" i="5"/>
  <c r="Z551" i="5"/>
  <c r="W551" i="5"/>
  <c r="R551" i="5"/>
  <c r="M551" i="5"/>
  <c r="H551" i="5"/>
  <c r="Z550" i="5"/>
  <c r="V550" i="5"/>
  <c r="U550" i="5"/>
  <c r="T550" i="5"/>
  <c r="Q550" i="5"/>
  <c r="P550" i="5"/>
  <c r="O550" i="5"/>
  <c r="K550" i="5"/>
  <c r="J550" i="5"/>
  <c r="F550" i="5"/>
  <c r="E550" i="5"/>
  <c r="Z549" i="5"/>
  <c r="V549" i="5"/>
  <c r="U549" i="5"/>
  <c r="T549" i="5"/>
  <c r="Q549" i="5"/>
  <c r="P549" i="5"/>
  <c r="O549" i="5"/>
  <c r="L549" i="5"/>
  <c r="K549" i="5"/>
  <c r="J549" i="5"/>
  <c r="F549" i="5"/>
  <c r="E549" i="5"/>
  <c r="Z548" i="5"/>
  <c r="V548" i="5"/>
  <c r="U548" i="5"/>
  <c r="Q548" i="5"/>
  <c r="R548" i="5" s="1"/>
  <c r="K548" i="5"/>
  <c r="M548" i="5" s="1"/>
  <c r="H548" i="5"/>
  <c r="Z547" i="5"/>
  <c r="W547" i="5"/>
  <c r="R547" i="5"/>
  <c r="M547" i="5"/>
  <c r="H547" i="5"/>
  <c r="I547" i="5" s="1"/>
  <c r="Z546" i="5"/>
  <c r="W546" i="5"/>
  <c r="R546" i="5"/>
  <c r="M546" i="5"/>
  <c r="H546" i="5"/>
  <c r="I546" i="5" s="1"/>
  <c r="Z545" i="5"/>
  <c r="V545" i="5"/>
  <c r="U545" i="5"/>
  <c r="T545" i="5"/>
  <c r="Q545" i="5"/>
  <c r="O545" i="5"/>
  <c r="K545" i="5"/>
  <c r="J545" i="5"/>
  <c r="E545" i="5"/>
  <c r="H545" i="5" s="1"/>
  <c r="Z544" i="5"/>
  <c r="W544" i="5"/>
  <c r="R544" i="5"/>
  <c r="M544" i="5"/>
  <c r="H544" i="5"/>
  <c r="Z543" i="5"/>
  <c r="W543" i="5"/>
  <c r="R543" i="5"/>
  <c r="M543" i="5"/>
  <c r="H543" i="5"/>
  <c r="Z542" i="5"/>
  <c r="V542" i="5"/>
  <c r="U542" i="5"/>
  <c r="T542" i="5"/>
  <c r="Q542" i="5"/>
  <c r="O542" i="5"/>
  <c r="K542" i="5"/>
  <c r="J542" i="5"/>
  <c r="E542" i="5"/>
  <c r="H542" i="5" s="1"/>
  <c r="Z541" i="5"/>
  <c r="W541" i="5"/>
  <c r="R541" i="5"/>
  <c r="M541" i="5"/>
  <c r="H541" i="5"/>
  <c r="Z540" i="5"/>
  <c r="W540" i="5"/>
  <c r="R540" i="5"/>
  <c r="M540" i="5"/>
  <c r="H540" i="5"/>
  <c r="I540" i="5" s="1"/>
  <c r="Z539" i="5"/>
  <c r="W539" i="5"/>
  <c r="R539" i="5"/>
  <c r="M539" i="5"/>
  <c r="H539" i="5"/>
  <c r="Z538" i="5"/>
  <c r="W538" i="5"/>
  <c r="R538" i="5"/>
  <c r="M538" i="5"/>
  <c r="H538" i="5"/>
  <c r="I538" i="5" s="1"/>
  <c r="Z537" i="5"/>
  <c r="W537" i="5"/>
  <c r="R537" i="5"/>
  <c r="M537" i="5"/>
  <c r="H537" i="5"/>
  <c r="Z536" i="5"/>
  <c r="W536" i="5"/>
  <c r="R536" i="5"/>
  <c r="M536" i="5"/>
  <c r="H536" i="5"/>
  <c r="W535" i="5"/>
  <c r="R535" i="5"/>
  <c r="M535" i="5"/>
  <c r="H535" i="5"/>
  <c r="Z534" i="5"/>
  <c r="W534" i="5"/>
  <c r="R534" i="5"/>
  <c r="M534" i="5"/>
  <c r="H534" i="5"/>
  <c r="W533" i="5"/>
  <c r="R533" i="5"/>
  <c r="M533" i="5"/>
  <c r="H533" i="5"/>
  <c r="Z532" i="5"/>
  <c r="N532" i="5" s="1"/>
  <c r="W532" i="5"/>
  <c r="R532" i="5"/>
  <c r="H532" i="5"/>
  <c r="W531" i="5"/>
  <c r="R531" i="5"/>
  <c r="M531" i="5"/>
  <c r="H531" i="5"/>
  <c r="Z530" i="5"/>
  <c r="W530" i="5"/>
  <c r="R530" i="5"/>
  <c r="M530" i="5"/>
  <c r="H530" i="5"/>
  <c r="Z529" i="5"/>
  <c r="U529" i="5"/>
  <c r="T529" i="5"/>
  <c r="P529" i="5"/>
  <c r="K529" i="5"/>
  <c r="M529" i="5" s="1"/>
  <c r="N529" i="5" s="1"/>
  <c r="H529" i="5"/>
  <c r="W528" i="5"/>
  <c r="R528" i="5"/>
  <c r="M528" i="5"/>
  <c r="H528" i="5"/>
  <c r="Z527" i="5"/>
  <c r="W527" i="5"/>
  <c r="R527" i="5"/>
  <c r="M527" i="5"/>
  <c r="H527" i="5"/>
  <c r="W526" i="5"/>
  <c r="R526" i="5"/>
  <c r="S526" i="5" s="1"/>
  <c r="N526" i="5"/>
  <c r="H526" i="5"/>
  <c r="I526" i="5" s="1"/>
  <c r="W525" i="5"/>
  <c r="R525" i="5"/>
  <c r="M525" i="5"/>
  <c r="H525" i="5"/>
  <c r="Z524" i="5"/>
  <c r="W524" i="5"/>
  <c r="R524" i="5"/>
  <c r="M524" i="5"/>
  <c r="H524" i="5"/>
  <c r="Z523" i="5"/>
  <c r="W523" i="5"/>
  <c r="R523" i="5"/>
  <c r="M523" i="5"/>
  <c r="H523" i="5"/>
  <c r="Z522" i="5"/>
  <c r="W522" i="5"/>
  <c r="R522" i="5"/>
  <c r="M522" i="5"/>
  <c r="H522" i="5"/>
  <c r="Z521" i="5"/>
  <c r="W521" i="5"/>
  <c r="R521" i="5"/>
  <c r="M521" i="5"/>
  <c r="H521" i="5"/>
  <c r="Z520" i="5"/>
  <c r="V520" i="5"/>
  <c r="U520" i="5"/>
  <c r="T520" i="5"/>
  <c r="Q520" i="5"/>
  <c r="P520" i="5"/>
  <c r="O520" i="5"/>
  <c r="L520" i="5"/>
  <c r="K520" i="5"/>
  <c r="J520" i="5"/>
  <c r="G520" i="5"/>
  <c r="F520" i="5"/>
  <c r="Z519" i="5"/>
  <c r="I519" i="5" s="1"/>
  <c r="V519" i="5"/>
  <c r="U519" i="5"/>
  <c r="T519" i="5"/>
  <c r="Q519" i="5"/>
  <c r="P519" i="5"/>
  <c r="O519" i="5"/>
  <c r="L519" i="5"/>
  <c r="K519" i="5"/>
  <c r="J519" i="5"/>
  <c r="G519" i="5"/>
  <c r="E519" i="5"/>
  <c r="W518" i="5"/>
  <c r="R518" i="5"/>
  <c r="M518" i="5"/>
  <c r="H518" i="5"/>
  <c r="W517" i="5"/>
  <c r="R517" i="5"/>
  <c r="M517" i="5"/>
  <c r="H517" i="5"/>
  <c r="Z516" i="5"/>
  <c r="V516" i="5"/>
  <c r="U516" i="5"/>
  <c r="T516" i="5"/>
  <c r="Q516" i="5"/>
  <c r="P516" i="5"/>
  <c r="O516" i="5"/>
  <c r="K516" i="5"/>
  <c r="J516" i="5"/>
  <c r="G516" i="5"/>
  <c r="F516" i="5"/>
  <c r="E516" i="5"/>
  <c r="W512" i="5"/>
  <c r="R512" i="5"/>
  <c r="M512" i="5"/>
  <c r="H512" i="5"/>
  <c r="W511" i="5"/>
  <c r="R511" i="5"/>
  <c r="M511" i="5"/>
  <c r="H511" i="5"/>
  <c r="R510" i="5"/>
  <c r="M510" i="5"/>
  <c r="H510" i="5"/>
  <c r="W509" i="5"/>
  <c r="R509" i="5"/>
  <c r="M509" i="5"/>
  <c r="H509" i="5"/>
  <c r="R508" i="5"/>
  <c r="M508" i="5"/>
  <c r="H508" i="5"/>
  <c r="R507" i="5"/>
  <c r="M507" i="5"/>
  <c r="H507" i="5"/>
  <c r="W506" i="5"/>
  <c r="R506" i="5"/>
  <c r="M506" i="5"/>
  <c r="H506" i="5"/>
  <c r="W505" i="5"/>
  <c r="R505" i="5"/>
  <c r="M505" i="5"/>
  <c r="H505" i="5"/>
  <c r="Y504" i="5"/>
  <c r="W500" i="5"/>
  <c r="X500" i="5" s="1"/>
  <c r="R500" i="5"/>
  <c r="S500" i="5" s="1"/>
  <c r="M500" i="5"/>
  <c r="N500" i="5" s="1"/>
  <c r="H500" i="5"/>
  <c r="W499" i="5"/>
  <c r="X499" i="5" s="1"/>
  <c r="R499" i="5"/>
  <c r="S499" i="5" s="1"/>
  <c r="M499" i="5"/>
  <c r="N499" i="5" s="1"/>
  <c r="H499" i="5"/>
  <c r="I499" i="5" s="1"/>
  <c r="W498" i="5"/>
  <c r="X498" i="5" s="1"/>
  <c r="R498" i="5"/>
  <c r="S498" i="5" s="1"/>
  <c r="M498" i="5"/>
  <c r="N498" i="5" s="1"/>
  <c r="H498" i="5"/>
  <c r="I498" i="5" s="1"/>
  <c r="W497" i="5"/>
  <c r="X497" i="5" s="1"/>
  <c r="R497" i="5"/>
  <c r="S497" i="5" s="1"/>
  <c r="M497" i="5"/>
  <c r="N497" i="5" s="1"/>
  <c r="H497" i="5"/>
  <c r="I497" i="5" s="1"/>
  <c r="W496" i="5"/>
  <c r="X496" i="5" s="1"/>
  <c r="R496" i="5"/>
  <c r="S496" i="5" s="1"/>
  <c r="M496" i="5"/>
  <c r="N496" i="5" s="1"/>
  <c r="H496" i="5"/>
  <c r="I496" i="5" s="1"/>
  <c r="W495" i="5"/>
  <c r="X495" i="5" s="1"/>
  <c r="R495" i="5"/>
  <c r="S495" i="5" s="1"/>
  <c r="M495" i="5"/>
  <c r="N495" i="5" s="1"/>
  <c r="H495" i="5"/>
  <c r="W494" i="5"/>
  <c r="X494" i="5" s="1"/>
  <c r="R494" i="5"/>
  <c r="S494" i="5" s="1"/>
  <c r="M494" i="5"/>
  <c r="N494" i="5" s="1"/>
  <c r="H494" i="5"/>
  <c r="I494" i="5" s="1"/>
  <c r="W493" i="5"/>
  <c r="X493" i="5" s="1"/>
  <c r="R493" i="5"/>
  <c r="S493" i="5" s="1"/>
  <c r="M493" i="5"/>
  <c r="N493" i="5" s="1"/>
  <c r="H493" i="5"/>
  <c r="I493" i="5" s="1"/>
  <c r="W492" i="5"/>
  <c r="X492" i="5" s="1"/>
  <c r="R492" i="5"/>
  <c r="S492" i="5" s="1"/>
  <c r="M492" i="5"/>
  <c r="N492" i="5" s="1"/>
  <c r="H492" i="5"/>
  <c r="I492" i="5" s="1"/>
  <c r="W491" i="5"/>
  <c r="X491" i="5" s="1"/>
  <c r="R491" i="5"/>
  <c r="S491" i="5" s="1"/>
  <c r="M491" i="5"/>
  <c r="N491" i="5" s="1"/>
  <c r="H491" i="5"/>
  <c r="W490" i="5"/>
  <c r="X490" i="5" s="1"/>
  <c r="R490" i="5"/>
  <c r="S490" i="5" s="1"/>
  <c r="M490" i="5"/>
  <c r="N490" i="5" s="1"/>
  <c r="H490" i="5"/>
  <c r="I490" i="5" s="1"/>
  <c r="W489" i="5"/>
  <c r="X489" i="5" s="1"/>
  <c r="R489" i="5"/>
  <c r="S489" i="5" s="1"/>
  <c r="M489" i="5"/>
  <c r="N489" i="5" s="1"/>
  <c r="H489" i="5"/>
  <c r="I489" i="5" s="1"/>
  <c r="W488" i="5"/>
  <c r="X488" i="5" s="1"/>
  <c r="R488" i="5"/>
  <c r="S488" i="5" s="1"/>
  <c r="M488" i="5"/>
  <c r="N488" i="5" s="1"/>
  <c r="H488" i="5"/>
  <c r="I488" i="5" s="1"/>
  <c r="W487" i="5"/>
  <c r="X487" i="5" s="1"/>
  <c r="R487" i="5"/>
  <c r="S487" i="5" s="1"/>
  <c r="M487" i="5"/>
  <c r="N487" i="5" s="1"/>
  <c r="H487" i="5"/>
  <c r="W486" i="5"/>
  <c r="X486" i="5" s="1"/>
  <c r="R486" i="5"/>
  <c r="S486" i="5" s="1"/>
  <c r="M486" i="5"/>
  <c r="N486" i="5" s="1"/>
  <c r="H486" i="5"/>
  <c r="I486" i="5" s="1"/>
  <c r="W485" i="5"/>
  <c r="X485" i="5" s="1"/>
  <c r="R485" i="5"/>
  <c r="S485" i="5" s="1"/>
  <c r="M485" i="5"/>
  <c r="N485" i="5" s="1"/>
  <c r="H485" i="5"/>
  <c r="I485" i="5" s="1"/>
  <c r="W484" i="5"/>
  <c r="X484" i="5" s="1"/>
  <c r="R484" i="5"/>
  <c r="S484" i="5" s="1"/>
  <c r="M484" i="5"/>
  <c r="N484" i="5" s="1"/>
  <c r="H484" i="5"/>
  <c r="I484" i="5" s="1"/>
  <c r="W483" i="5"/>
  <c r="X483" i="5" s="1"/>
  <c r="R483" i="5"/>
  <c r="S483" i="5" s="1"/>
  <c r="M483" i="5"/>
  <c r="N483" i="5" s="1"/>
  <c r="H483" i="5"/>
  <c r="I483" i="5" s="1"/>
  <c r="W482" i="5"/>
  <c r="X482" i="5" s="1"/>
  <c r="R482" i="5"/>
  <c r="S482" i="5" s="1"/>
  <c r="M482" i="5"/>
  <c r="N482" i="5" s="1"/>
  <c r="H482" i="5"/>
  <c r="I482" i="5" s="1"/>
  <c r="W481" i="5"/>
  <c r="X481" i="5" s="1"/>
  <c r="R481" i="5"/>
  <c r="S481" i="5" s="1"/>
  <c r="M481" i="5"/>
  <c r="N481" i="5" s="1"/>
  <c r="H481" i="5"/>
  <c r="I481" i="5" s="1"/>
  <c r="W480" i="5"/>
  <c r="X480" i="5" s="1"/>
  <c r="R480" i="5"/>
  <c r="S480" i="5" s="1"/>
  <c r="M480" i="5"/>
  <c r="N480" i="5" s="1"/>
  <c r="H480" i="5"/>
  <c r="I480" i="5" s="1"/>
  <c r="W479" i="5"/>
  <c r="X479" i="5" s="1"/>
  <c r="R479" i="5"/>
  <c r="S479" i="5" s="1"/>
  <c r="M479" i="5"/>
  <c r="H479" i="5"/>
  <c r="I479" i="5" s="1"/>
  <c r="W478" i="5"/>
  <c r="X478" i="5" s="1"/>
  <c r="R478" i="5"/>
  <c r="S478" i="5" s="1"/>
  <c r="M478" i="5"/>
  <c r="N478" i="5" s="1"/>
  <c r="H478" i="5"/>
  <c r="I478" i="5" s="1"/>
  <c r="W477" i="5"/>
  <c r="X477" i="5" s="1"/>
  <c r="R477" i="5"/>
  <c r="S477" i="5" s="1"/>
  <c r="M477" i="5"/>
  <c r="N477" i="5" s="1"/>
  <c r="H477" i="5"/>
  <c r="I477" i="5" s="1"/>
  <c r="W476" i="5"/>
  <c r="X476" i="5" s="1"/>
  <c r="R476" i="5"/>
  <c r="S476" i="5" s="1"/>
  <c r="M476" i="5"/>
  <c r="N476" i="5" s="1"/>
  <c r="H476" i="5"/>
  <c r="I476" i="5" s="1"/>
  <c r="W475" i="5"/>
  <c r="X475" i="5" s="1"/>
  <c r="R475" i="5"/>
  <c r="S475" i="5" s="1"/>
  <c r="M475" i="5"/>
  <c r="N475" i="5" s="1"/>
  <c r="H475" i="5"/>
  <c r="W474" i="5"/>
  <c r="X474" i="5" s="1"/>
  <c r="R474" i="5"/>
  <c r="S474" i="5" s="1"/>
  <c r="M474" i="5"/>
  <c r="N474" i="5" s="1"/>
  <c r="H474" i="5"/>
  <c r="I474" i="5" s="1"/>
  <c r="W473" i="5"/>
  <c r="X473" i="5" s="1"/>
  <c r="R473" i="5"/>
  <c r="S473" i="5" s="1"/>
  <c r="M473" i="5"/>
  <c r="N473" i="5" s="1"/>
  <c r="H473" i="5"/>
  <c r="W472" i="5"/>
  <c r="X472" i="5" s="1"/>
  <c r="R472" i="5"/>
  <c r="S472" i="5" s="1"/>
  <c r="M472" i="5"/>
  <c r="N472" i="5" s="1"/>
  <c r="H472" i="5"/>
  <c r="W471" i="5"/>
  <c r="X471" i="5" s="1"/>
  <c r="R471" i="5"/>
  <c r="S471" i="5" s="1"/>
  <c r="M471" i="5"/>
  <c r="N471" i="5" s="1"/>
  <c r="H471" i="5"/>
  <c r="I471" i="5" s="1"/>
  <c r="W470" i="5"/>
  <c r="X470" i="5" s="1"/>
  <c r="R470" i="5"/>
  <c r="S470" i="5" s="1"/>
  <c r="M470" i="5"/>
  <c r="N470" i="5" s="1"/>
  <c r="H470" i="5"/>
  <c r="I470" i="5" s="1"/>
  <c r="W469" i="5"/>
  <c r="X469" i="5" s="1"/>
  <c r="R469" i="5"/>
  <c r="S469" i="5" s="1"/>
  <c r="M469" i="5"/>
  <c r="N469" i="5" s="1"/>
  <c r="H469" i="5"/>
  <c r="I469" i="5" s="1"/>
  <c r="W468" i="5"/>
  <c r="X468" i="5" s="1"/>
  <c r="R468" i="5"/>
  <c r="S468" i="5" s="1"/>
  <c r="M468" i="5"/>
  <c r="N468" i="5" s="1"/>
  <c r="H468" i="5"/>
  <c r="I468" i="5" s="1"/>
  <c r="W467" i="5"/>
  <c r="X467" i="5" s="1"/>
  <c r="R467" i="5"/>
  <c r="S467" i="5" s="1"/>
  <c r="M467" i="5"/>
  <c r="N467" i="5" s="1"/>
  <c r="H467" i="5"/>
  <c r="W466" i="5"/>
  <c r="X466" i="5" s="1"/>
  <c r="R466" i="5"/>
  <c r="S466" i="5" s="1"/>
  <c r="M466" i="5"/>
  <c r="N466" i="5" s="1"/>
  <c r="H466" i="5"/>
  <c r="I466" i="5" s="1"/>
  <c r="W465" i="5"/>
  <c r="X465" i="5" s="1"/>
  <c r="R465" i="5"/>
  <c r="S465" i="5" s="1"/>
  <c r="M465" i="5"/>
  <c r="N465" i="5" s="1"/>
  <c r="H465" i="5"/>
  <c r="I465" i="5" s="1"/>
  <c r="W464" i="5"/>
  <c r="X464" i="5" s="1"/>
  <c r="R464" i="5"/>
  <c r="S464" i="5" s="1"/>
  <c r="M464" i="5"/>
  <c r="N464" i="5" s="1"/>
  <c r="H464" i="5"/>
  <c r="I464" i="5" s="1"/>
  <c r="W463" i="5"/>
  <c r="X463" i="5" s="1"/>
  <c r="R463" i="5"/>
  <c r="S463" i="5" s="1"/>
  <c r="M463" i="5"/>
  <c r="N463" i="5" s="1"/>
  <c r="H463" i="5"/>
  <c r="W462" i="5"/>
  <c r="X462" i="5" s="1"/>
  <c r="R462" i="5"/>
  <c r="S462" i="5" s="1"/>
  <c r="M462" i="5"/>
  <c r="N462" i="5" s="1"/>
  <c r="H462" i="5"/>
  <c r="I462" i="5" s="1"/>
  <c r="W461" i="5"/>
  <c r="X461" i="5" s="1"/>
  <c r="R461" i="5"/>
  <c r="S461" i="5" s="1"/>
  <c r="M461" i="5"/>
  <c r="N461" i="5" s="1"/>
  <c r="H461" i="5"/>
  <c r="W460" i="5"/>
  <c r="X460" i="5" s="1"/>
  <c r="R460" i="5"/>
  <c r="S460" i="5" s="1"/>
  <c r="M460" i="5"/>
  <c r="N460" i="5" s="1"/>
  <c r="H460" i="5"/>
  <c r="I460" i="5" s="1"/>
  <c r="W459" i="5"/>
  <c r="X459" i="5" s="1"/>
  <c r="R459" i="5"/>
  <c r="S459" i="5" s="1"/>
  <c r="M459" i="5"/>
  <c r="N459" i="5" s="1"/>
  <c r="H459" i="5"/>
  <c r="W458" i="5"/>
  <c r="X458" i="5" s="1"/>
  <c r="R458" i="5"/>
  <c r="S458" i="5" s="1"/>
  <c r="M458" i="5"/>
  <c r="N458" i="5" s="1"/>
  <c r="H458" i="5"/>
  <c r="I458" i="5" s="1"/>
  <c r="W457" i="5"/>
  <c r="X457" i="5" s="1"/>
  <c r="R457" i="5"/>
  <c r="S457" i="5" s="1"/>
  <c r="M457" i="5"/>
  <c r="N457" i="5" s="1"/>
  <c r="H457" i="5"/>
  <c r="I457" i="5" s="1"/>
  <c r="W456" i="5"/>
  <c r="X456" i="5" s="1"/>
  <c r="R456" i="5"/>
  <c r="S456" i="5" s="1"/>
  <c r="M456" i="5"/>
  <c r="N456" i="5" s="1"/>
  <c r="H456" i="5"/>
  <c r="W455" i="5"/>
  <c r="X455" i="5" s="1"/>
  <c r="R455" i="5"/>
  <c r="S455" i="5" s="1"/>
  <c r="M455" i="5"/>
  <c r="N455" i="5" s="1"/>
  <c r="H455" i="5"/>
  <c r="W454" i="5"/>
  <c r="X454" i="5" s="1"/>
  <c r="R454" i="5"/>
  <c r="S454" i="5" s="1"/>
  <c r="M454" i="5"/>
  <c r="N454" i="5" s="1"/>
  <c r="H454" i="5"/>
  <c r="W453" i="5"/>
  <c r="X453" i="5" s="1"/>
  <c r="R453" i="5"/>
  <c r="S453" i="5" s="1"/>
  <c r="M453" i="5"/>
  <c r="N453" i="5" s="1"/>
  <c r="H453" i="5"/>
  <c r="W452" i="5"/>
  <c r="X452" i="5" s="1"/>
  <c r="R452" i="5"/>
  <c r="S452" i="5" s="1"/>
  <c r="M452" i="5"/>
  <c r="N452" i="5" s="1"/>
  <c r="H452" i="5"/>
  <c r="I452" i="5" s="1"/>
  <c r="W451" i="5"/>
  <c r="X451" i="5" s="1"/>
  <c r="R451" i="5"/>
  <c r="S451" i="5" s="1"/>
  <c r="M451" i="5"/>
  <c r="N451" i="5" s="1"/>
  <c r="H451" i="5"/>
  <c r="I451" i="5" s="1"/>
  <c r="W450" i="5"/>
  <c r="X450" i="5" s="1"/>
  <c r="R450" i="5"/>
  <c r="S450" i="5" s="1"/>
  <c r="M450" i="5"/>
  <c r="N450" i="5" s="1"/>
  <c r="H450" i="5"/>
  <c r="I450" i="5" s="1"/>
  <c r="W449" i="5"/>
  <c r="X449" i="5" s="1"/>
  <c r="R449" i="5"/>
  <c r="S449" i="5" s="1"/>
  <c r="M449" i="5"/>
  <c r="N449" i="5" s="1"/>
  <c r="H449" i="5"/>
  <c r="W448" i="5"/>
  <c r="X448" i="5" s="1"/>
  <c r="R448" i="5"/>
  <c r="M448" i="5"/>
  <c r="N448" i="5" s="1"/>
  <c r="H448" i="5"/>
  <c r="I448" i="5" s="1"/>
  <c r="W447" i="5"/>
  <c r="X447" i="5" s="1"/>
  <c r="R447" i="5"/>
  <c r="S447" i="5" s="1"/>
  <c r="M447" i="5"/>
  <c r="N447" i="5" s="1"/>
  <c r="H447" i="5"/>
  <c r="I447" i="5" s="1"/>
  <c r="W446" i="5"/>
  <c r="X446" i="5" s="1"/>
  <c r="R446" i="5"/>
  <c r="S446" i="5" s="1"/>
  <c r="M446" i="5"/>
  <c r="N446" i="5" s="1"/>
  <c r="H446" i="5"/>
  <c r="I446" i="5" s="1"/>
  <c r="W445" i="5"/>
  <c r="X445" i="5" s="1"/>
  <c r="R445" i="5"/>
  <c r="S445" i="5" s="1"/>
  <c r="M445" i="5"/>
  <c r="N445" i="5" s="1"/>
  <c r="H445" i="5"/>
  <c r="W444" i="5"/>
  <c r="X444" i="5" s="1"/>
  <c r="R444" i="5"/>
  <c r="S444" i="5" s="1"/>
  <c r="M444" i="5"/>
  <c r="N444" i="5" s="1"/>
  <c r="H444" i="5"/>
  <c r="W443" i="5"/>
  <c r="X443" i="5" s="1"/>
  <c r="R443" i="5"/>
  <c r="S443" i="5" s="1"/>
  <c r="M443" i="5"/>
  <c r="N443" i="5" s="1"/>
  <c r="H443" i="5"/>
  <c r="W442" i="5"/>
  <c r="X442" i="5" s="1"/>
  <c r="R442" i="5"/>
  <c r="S442" i="5" s="1"/>
  <c r="M442" i="5"/>
  <c r="N442" i="5" s="1"/>
  <c r="H442" i="5"/>
  <c r="W441" i="5"/>
  <c r="X441" i="5" s="1"/>
  <c r="R441" i="5"/>
  <c r="S441" i="5" s="1"/>
  <c r="M441" i="5"/>
  <c r="N441" i="5" s="1"/>
  <c r="H441" i="5"/>
  <c r="I441" i="5" s="1"/>
  <c r="W440" i="5"/>
  <c r="X440" i="5" s="1"/>
  <c r="R440" i="5"/>
  <c r="S440" i="5" s="1"/>
  <c r="M440" i="5"/>
  <c r="N440" i="5" s="1"/>
  <c r="H440" i="5"/>
  <c r="I440" i="5" s="1"/>
  <c r="W439" i="5"/>
  <c r="X439" i="5" s="1"/>
  <c r="R439" i="5"/>
  <c r="S439" i="5" s="1"/>
  <c r="M439" i="5"/>
  <c r="N439" i="5" s="1"/>
  <c r="H439" i="5"/>
  <c r="W438" i="5"/>
  <c r="X438" i="5" s="1"/>
  <c r="R438" i="5"/>
  <c r="S438" i="5" s="1"/>
  <c r="M438" i="5"/>
  <c r="N438" i="5" s="1"/>
  <c r="H438" i="5"/>
  <c r="W437" i="5"/>
  <c r="X437" i="5" s="1"/>
  <c r="R437" i="5"/>
  <c r="S437" i="5" s="1"/>
  <c r="M437" i="5"/>
  <c r="N437" i="5" s="1"/>
  <c r="H437" i="5"/>
  <c r="W436" i="5"/>
  <c r="X436" i="5" s="1"/>
  <c r="R436" i="5"/>
  <c r="S436" i="5" s="1"/>
  <c r="M436" i="5"/>
  <c r="N436" i="5" s="1"/>
  <c r="H436" i="5"/>
  <c r="I436" i="5" s="1"/>
  <c r="W435" i="5"/>
  <c r="X435" i="5" s="1"/>
  <c r="R435" i="5"/>
  <c r="S435" i="5" s="1"/>
  <c r="M435" i="5"/>
  <c r="N435" i="5" s="1"/>
  <c r="H435" i="5"/>
  <c r="I435" i="5" s="1"/>
  <c r="W434" i="5"/>
  <c r="X434" i="5" s="1"/>
  <c r="R434" i="5"/>
  <c r="S434" i="5" s="1"/>
  <c r="M434" i="5"/>
  <c r="N434" i="5" s="1"/>
  <c r="H434" i="5"/>
  <c r="I434" i="5" s="1"/>
  <c r="W433" i="5"/>
  <c r="X433" i="5" s="1"/>
  <c r="R433" i="5"/>
  <c r="S433" i="5" s="1"/>
  <c r="M433" i="5"/>
  <c r="N433" i="5" s="1"/>
  <c r="H433" i="5"/>
  <c r="I433" i="5" s="1"/>
  <c r="W432" i="5"/>
  <c r="X432" i="5" s="1"/>
  <c r="R432" i="5"/>
  <c r="S432" i="5" s="1"/>
  <c r="M432" i="5"/>
  <c r="N432" i="5" s="1"/>
  <c r="H432" i="5"/>
  <c r="I432" i="5" s="1"/>
  <c r="W431" i="5"/>
  <c r="X431" i="5" s="1"/>
  <c r="R431" i="5"/>
  <c r="S431" i="5" s="1"/>
  <c r="M431" i="5"/>
  <c r="N431" i="5" s="1"/>
  <c r="H431" i="5"/>
  <c r="I431" i="5" s="1"/>
  <c r="W430" i="5"/>
  <c r="X430" i="5" s="1"/>
  <c r="R430" i="5"/>
  <c r="S430" i="5" s="1"/>
  <c r="M430" i="5"/>
  <c r="N430" i="5" s="1"/>
  <c r="H430" i="5"/>
  <c r="I430" i="5" s="1"/>
  <c r="W429" i="5"/>
  <c r="X429" i="5" s="1"/>
  <c r="R429" i="5"/>
  <c r="S429" i="5" s="1"/>
  <c r="M429" i="5"/>
  <c r="N429" i="5" s="1"/>
  <c r="H429" i="5"/>
  <c r="I429" i="5" s="1"/>
  <c r="W428" i="5"/>
  <c r="X428" i="5" s="1"/>
  <c r="R428" i="5"/>
  <c r="S428" i="5" s="1"/>
  <c r="M428" i="5"/>
  <c r="N428" i="5" s="1"/>
  <c r="H428" i="5"/>
  <c r="I428" i="5" s="1"/>
  <c r="W427" i="5"/>
  <c r="X427" i="5" s="1"/>
  <c r="R427" i="5"/>
  <c r="S427" i="5" s="1"/>
  <c r="M427" i="5"/>
  <c r="N427" i="5" s="1"/>
  <c r="H427" i="5"/>
  <c r="W426" i="5"/>
  <c r="X426" i="5" s="1"/>
  <c r="R426" i="5"/>
  <c r="S426" i="5" s="1"/>
  <c r="M426" i="5"/>
  <c r="N426" i="5" s="1"/>
  <c r="H426" i="5"/>
  <c r="I426" i="5" s="1"/>
  <c r="W425" i="5"/>
  <c r="X425" i="5" s="1"/>
  <c r="R425" i="5"/>
  <c r="S425" i="5" s="1"/>
  <c r="M425" i="5"/>
  <c r="N425" i="5" s="1"/>
  <c r="H425" i="5"/>
  <c r="W424" i="5"/>
  <c r="X424" i="5" s="1"/>
  <c r="R424" i="5"/>
  <c r="S424" i="5" s="1"/>
  <c r="M424" i="5"/>
  <c r="N424" i="5" s="1"/>
  <c r="H424" i="5"/>
  <c r="I424" i="5" s="1"/>
  <c r="W423" i="5"/>
  <c r="X423" i="5" s="1"/>
  <c r="R423" i="5"/>
  <c r="S423" i="5" s="1"/>
  <c r="M423" i="5"/>
  <c r="H423" i="5"/>
  <c r="I423" i="5" s="1"/>
  <c r="W422" i="5"/>
  <c r="X422" i="5" s="1"/>
  <c r="R422" i="5"/>
  <c r="S422" i="5" s="1"/>
  <c r="M422" i="5"/>
  <c r="N422" i="5" s="1"/>
  <c r="H422" i="5"/>
  <c r="I422" i="5" s="1"/>
  <c r="W421" i="5"/>
  <c r="X421" i="5" s="1"/>
  <c r="R421" i="5"/>
  <c r="S421" i="5" s="1"/>
  <c r="M421" i="5"/>
  <c r="N421" i="5" s="1"/>
  <c r="H421" i="5"/>
  <c r="I421" i="5" s="1"/>
  <c r="W420" i="5"/>
  <c r="X420" i="5" s="1"/>
  <c r="R420" i="5"/>
  <c r="S420" i="5" s="1"/>
  <c r="M420" i="5"/>
  <c r="N420" i="5" s="1"/>
  <c r="H420" i="5"/>
  <c r="I420" i="5" s="1"/>
  <c r="W419" i="5"/>
  <c r="X419" i="5" s="1"/>
  <c r="R419" i="5"/>
  <c r="S419" i="5" s="1"/>
  <c r="M419" i="5"/>
  <c r="N419" i="5" s="1"/>
  <c r="H419" i="5"/>
  <c r="I419" i="5" s="1"/>
  <c r="W418" i="5"/>
  <c r="X418" i="5" s="1"/>
  <c r="R418" i="5"/>
  <c r="S418" i="5" s="1"/>
  <c r="M418" i="5"/>
  <c r="N418" i="5" s="1"/>
  <c r="H418" i="5"/>
  <c r="I418" i="5" s="1"/>
  <c r="W417" i="5"/>
  <c r="X417" i="5" s="1"/>
  <c r="R417" i="5"/>
  <c r="S417" i="5" s="1"/>
  <c r="M417" i="5"/>
  <c r="N417" i="5" s="1"/>
  <c r="H417" i="5"/>
  <c r="I417" i="5" s="1"/>
  <c r="W416" i="5"/>
  <c r="X416" i="5" s="1"/>
  <c r="R416" i="5"/>
  <c r="S416" i="5" s="1"/>
  <c r="M416" i="5"/>
  <c r="N416" i="5" s="1"/>
  <c r="H416" i="5"/>
  <c r="I416" i="5" s="1"/>
  <c r="W415" i="5"/>
  <c r="X415" i="5" s="1"/>
  <c r="R415" i="5"/>
  <c r="S415" i="5" s="1"/>
  <c r="M415" i="5"/>
  <c r="N415" i="5" s="1"/>
  <c r="H415" i="5"/>
  <c r="W414" i="5"/>
  <c r="X414" i="5" s="1"/>
  <c r="R414" i="5"/>
  <c r="S414" i="5" s="1"/>
  <c r="M414" i="5"/>
  <c r="N414" i="5" s="1"/>
  <c r="H414" i="5"/>
  <c r="I414" i="5" s="1"/>
  <c r="W413" i="5"/>
  <c r="X413" i="5" s="1"/>
  <c r="R413" i="5"/>
  <c r="S413" i="5" s="1"/>
  <c r="M413" i="5"/>
  <c r="N413" i="5" s="1"/>
  <c r="H413" i="5"/>
  <c r="I413" i="5" s="1"/>
  <c r="W412" i="5"/>
  <c r="X412" i="5" s="1"/>
  <c r="R412" i="5"/>
  <c r="S412" i="5" s="1"/>
  <c r="M412" i="5"/>
  <c r="N412" i="5" s="1"/>
  <c r="H412" i="5"/>
  <c r="I412" i="5" s="1"/>
  <c r="W411" i="5"/>
  <c r="X411" i="5" s="1"/>
  <c r="R411" i="5"/>
  <c r="S411" i="5" s="1"/>
  <c r="M411" i="5"/>
  <c r="N411" i="5" s="1"/>
  <c r="H411" i="5"/>
  <c r="I411" i="5" s="1"/>
  <c r="W410" i="5"/>
  <c r="X410" i="5" s="1"/>
  <c r="R410" i="5"/>
  <c r="S410" i="5" s="1"/>
  <c r="M410" i="5"/>
  <c r="N410" i="5" s="1"/>
  <c r="H410" i="5"/>
  <c r="I410" i="5" s="1"/>
  <c r="W409" i="5"/>
  <c r="X409" i="5" s="1"/>
  <c r="R409" i="5"/>
  <c r="S409" i="5" s="1"/>
  <c r="M409" i="5"/>
  <c r="N409" i="5" s="1"/>
  <c r="H409" i="5"/>
  <c r="I409" i="5" s="1"/>
  <c r="W403" i="5"/>
  <c r="X403" i="5" s="1"/>
  <c r="R403" i="5"/>
  <c r="S403" i="5" s="1"/>
  <c r="M403" i="5"/>
  <c r="N403" i="5" s="1"/>
  <c r="H403" i="5"/>
  <c r="I403" i="5" s="1"/>
  <c r="W402" i="5"/>
  <c r="X402" i="5" s="1"/>
  <c r="R402" i="5"/>
  <c r="S402" i="5" s="1"/>
  <c r="M402" i="5"/>
  <c r="N402" i="5" s="1"/>
  <c r="H402" i="5"/>
  <c r="I402" i="5" s="1"/>
  <c r="W398" i="5"/>
  <c r="X398" i="5" s="1"/>
  <c r="R398" i="5"/>
  <c r="S398" i="5" s="1"/>
  <c r="M398" i="5"/>
  <c r="N398" i="5" s="1"/>
  <c r="H398" i="5"/>
  <c r="I398" i="5" s="1"/>
  <c r="W397" i="5"/>
  <c r="X397" i="5" s="1"/>
  <c r="R397" i="5"/>
  <c r="S397" i="5" s="1"/>
  <c r="M397" i="5"/>
  <c r="N397" i="5" s="1"/>
  <c r="H397" i="5"/>
  <c r="I397" i="5" s="1"/>
  <c r="W396" i="5"/>
  <c r="X396" i="5" s="1"/>
  <c r="R396" i="5"/>
  <c r="S396" i="5" s="1"/>
  <c r="M396" i="5"/>
  <c r="N396" i="5" s="1"/>
  <c r="H396" i="5"/>
  <c r="I396" i="5" s="1"/>
  <c r="W395" i="5"/>
  <c r="X395" i="5" s="1"/>
  <c r="R395" i="5"/>
  <c r="S395" i="5" s="1"/>
  <c r="M395" i="5"/>
  <c r="N395" i="5" s="1"/>
  <c r="H395" i="5"/>
  <c r="I395" i="5" s="1"/>
  <c r="W391" i="5"/>
  <c r="X391" i="5" s="1"/>
  <c r="R391" i="5"/>
  <c r="S391" i="5" s="1"/>
  <c r="M391" i="5"/>
  <c r="N391" i="5" s="1"/>
  <c r="H391" i="5"/>
  <c r="I391" i="5" s="1"/>
  <c r="W389" i="5"/>
  <c r="X389" i="5" s="1"/>
  <c r="R389" i="5"/>
  <c r="S389" i="5" s="1"/>
  <c r="M389" i="5"/>
  <c r="N389" i="5" s="1"/>
  <c r="H389" i="5"/>
  <c r="I389" i="5" s="1"/>
  <c r="W388" i="5"/>
  <c r="X388" i="5" s="1"/>
  <c r="R388" i="5"/>
  <c r="S388" i="5" s="1"/>
  <c r="M388" i="5"/>
  <c r="N388" i="5" s="1"/>
  <c r="H388" i="5"/>
  <c r="I388" i="5" s="1"/>
  <c r="W387" i="5"/>
  <c r="X387" i="5" s="1"/>
  <c r="R387" i="5"/>
  <c r="S387" i="5" s="1"/>
  <c r="M387" i="5"/>
  <c r="N387" i="5" s="1"/>
  <c r="H387" i="5"/>
  <c r="W385" i="5"/>
  <c r="X385" i="5" s="1"/>
  <c r="R385" i="5"/>
  <c r="S385" i="5" s="1"/>
  <c r="M385" i="5"/>
  <c r="N385" i="5" s="1"/>
  <c r="H385" i="5"/>
  <c r="I385" i="5" s="1"/>
  <c r="W384" i="5"/>
  <c r="X384" i="5" s="1"/>
  <c r="R384" i="5"/>
  <c r="S384" i="5" s="1"/>
  <c r="M384" i="5"/>
  <c r="N384" i="5" s="1"/>
  <c r="H384" i="5"/>
  <c r="W383" i="5"/>
  <c r="X383" i="5" s="1"/>
  <c r="R383" i="5"/>
  <c r="S383" i="5" s="1"/>
  <c r="M383" i="5"/>
  <c r="N383" i="5" s="1"/>
  <c r="I383" i="5"/>
  <c r="W382" i="5"/>
  <c r="X382" i="5" s="1"/>
  <c r="R382" i="5"/>
  <c r="S382" i="5" s="1"/>
  <c r="M382" i="5"/>
  <c r="N382" i="5" s="1"/>
  <c r="H382" i="5"/>
  <c r="I382" i="5" s="1"/>
  <c r="W381" i="5"/>
  <c r="X381" i="5" s="1"/>
  <c r="R381" i="5"/>
  <c r="S381" i="5" s="1"/>
  <c r="M381" i="5"/>
  <c r="N381" i="5" s="1"/>
  <c r="H381" i="5"/>
  <c r="I381" i="5" s="1"/>
  <c r="W380" i="5"/>
  <c r="X380" i="5" s="1"/>
  <c r="R380" i="5"/>
  <c r="S380" i="5" s="1"/>
  <c r="M380" i="5"/>
  <c r="N380" i="5" s="1"/>
  <c r="H380" i="5"/>
  <c r="I380" i="5" s="1"/>
  <c r="W379" i="5"/>
  <c r="X379" i="5" s="1"/>
  <c r="R379" i="5"/>
  <c r="S379" i="5" s="1"/>
  <c r="M379" i="5"/>
  <c r="N379" i="5" s="1"/>
  <c r="H379" i="5"/>
  <c r="I379" i="5" s="1"/>
  <c r="W378" i="5"/>
  <c r="X378" i="5" s="1"/>
  <c r="R378" i="5"/>
  <c r="S378" i="5" s="1"/>
  <c r="M378" i="5"/>
  <c r="N378" i="5" s="1"/>
  <c r="H378" i="5"/>
  <c r="I378" i="5" s="1"/>
  <c r="W377" i="5"/>
  <c r="X377" i="5" s="1"/>
  <c r="R377" i="5"/>
  <c r="S377" i="5" s="1"/>
  <c r="M377" i="5"/>
  <c r="N377" i="5" s="1"/>
  <c r="H377" i="5"/>
  <c r="I377" i="5" s="1"/>
  <c r="W376" i="5"/>
  <c r="X376" i="5" s="1"/>
  <c r="R376" i="5"/>
  <c r="S376" i="5" s="1"/>
  <c r="M376" i="5"/>
  <c r="N376" i="5" s="1"/>
  <c r="H376" i="5"/>
  <c r="I376" i="5" s="1"/>
  <c r="W375" i="5"/>
  <c r="X375" i="5" s="1"/>
  <c r="R375" i="5"/>
  <c r="S375" i="5" s="1"/>
  <c r="M375" i="5"/>
  <c r="N375" i="5" s="1"/>
  <c r="H375" i="5"/>
  <c r="I375" i="5" s="1"/>
  <c r="W374" i="5"/>
  <c r="X374" i="5" s="1"/>
  <c r="R374" i="5"/>
  <c r="S374" i="5" s="1"/>
  <c r="M374" i="5"/>
  <c r="N374" i="5" s="1"/>
  <c r="H374" i="5"/>
  <c r="I374" i="5" s="1"/>
  <c r="W373" i="5"/>
  <c r="X373" i="5" s="1"/>
  <c r="R373" i="5"/>
  <c r="S373" i="5" s="1"/>
  <c r="M373" i="5"/>
  <c r="N373" i="5" s="1"/>
  <c r="H373" i="5"/>
  <c r="I373" i="5" s="1"/>
  <c r="W372" i="5"/>
  <c r="X372" i="5" s="1"/>
  <c r="R372" i="5"/>
  <c r="S372" i="5" s="1"/>
  <c r="M372" i="5"/>
  <c r="N372" i="5" s="1"/>
  <c r="H372" i="5"/>
  <c r="I372" i="5" s="1"/>
  <c r="W371" i="5"/>
  <c r="X371" i="5" s="1"/>
  <c r="R371" i="5"/>
  <c r="S371" i="5" s="1"/>
  <c r="M371" i="5"/>
  <c r="N371" i="5" s="1"/>
  <c r="H371" i="5"/>
  <c r="I371" i="5" s="1"/>
  <c r="W370" i="5"/>
  <c r="X370" i="5" s="1"/>
  <c r="R370" i="5"/>
  <c r="S370" i="5" s="1"/>
  <c r="M370" i="5"/>
  <c r="N370" i="5" s="1"/>
  <c r="H370" i="5"/>
  <c r="Z367" i="5"/>
  <c r="W367" i="5"/>
  <c r="R367" i="5"/>
  <c r="M367" i="5"/>
  <c r="H367" i="5"/>
  <c r="Z366" i="5"/>
  <c r="W366" i="5"/>
  <c r="R366" i="5"/>
  <c r="M366" i="5"/>
  <c r="H366" i="5"/>
  <c r="Z365" i="5"/>
  <c r="W365" i="5"/>
  <c r="R365" i="5"/>
  <c r="M365" i="5"/>
  <c r="H365" i="5"/>
  <c r="Z364" i="5"/>
  <c r="W364" i="5"/>
  <c r="R364" i="5"/>
  <c r="M364" i="5"/>
  <c r="H364" i="5"/>
  <c r="Z363" i="5"/>
  <c r="W363" i="5"/>
  <c r="R363" i="5"/>
  <c r="M363" i="5"/>
  <c r="H363" i="5"/>
  <c r="Z362" i="5"/>
  <c r="W362" i="5"/>
  <c r="R362" i="5"/>
  <c r="M362" i="5"/>
  <c r="H362" i="5"/>
  <c r="Z361" i="5"/>
  <c r="W361" i="5"/>
  <c r="R361" i="5"/>
  <c r="M361" i="5"/>
  <c r="H361" i="5"/>
  <c r="Z359" i="5"/>
  <c r="W359" i="5"/>
  <c r="R359" i="5"/>
  <c r="M359" i="5"/>
  <c r="H359" i="5"/>
  <c r="Z358" i="5"/>
  <c r="W358" i="5"/>
  <c r="R358" i="5"/>
  <c r="M358" i="5"/>
  <c r="H358" i="5"/>
  <c r="Z357" i="5"/>
  <c r="W357" i="5"/>
  <c r="R357" i="5"/>
  <c r="M357" i="5"/>
  <c r="H357" i="5"/>
  <c r="Z356" i="5"/>
  <c r="W356" i="5"/>
  <c r="R356" i="5"/>
  <c r="M356" i="5"/>
  <c r="H356" i="5"/>
  <c r="Z354" i="5"/>
  <c r="W354" i="5"/>
  <c r="R354" i="5"/>
  <c r="M354" i="5"/>
  <c r="H354" i="5"/>
  <c r="Z352" i="5"/>
  <c r="W352" i="5"/>
  <c r="R352" i="5"/>
  <c r="M352" i="5"/>
  <c r="H352" i="5"/>
  <c r="Z351" i="5"/>
  <c r="W351" i="5"/>
  <c r="R351" i="5"/>
  <c r="M351" i="5"/>
  <c r="H351" i="5"/>
  <c r="Z349" i="5"/>
  <c r="W349" i="5"/>
  <c r="R349" i="5"/>
  <c r="M349" i="5"/>
  <c r="H349" i="5"/>
  <c r="Z347" i="5"/>
  <c r="W347" i="5"/>
  <c r="R347" i="5"/>
  <c r="M347" i="5"/>
  <c r="H347" i="5"/>
  <c r="Z345" i="5"/>
  <c r="W345" i="5"/>
  <c r="R345" i="5"/>
  <c r="M345" i="5"/>
  <c r="H345" i="5"/>
  <c r="Z344" i="5"/>
  <c r="W344" i="5"/>
  <c r="R344" i="5"/>
  <c r="M344" i="5"/>
  <c r="H344" i="5"/>
  <c r="Z342" i="5"/>
  <c r="W342" i="5"/>
  <c r="R342" i="5"/>
  <c r="M342" i="5"/>
  <c r="H342" i="5"/>
  <c r="Z341" i="5"/>
  <c r="W341" i="5"/>
  <c r="R341" i="5"/>
  <c r="M341" i="5"/>
  <c r="H341" i="5"/>
  <c r="Z340" i="5"/>
  <c r="W340" i="5"/>
  <c r="R340" i="5"/>
  <c r="M340" i="5"/>
  <c r="H340" i="5"/>
  <c r="Z339" i="5"/>
  <c r="W339" i="5"/>
  <c r="R339" i="5"/>
  <c r="M339" i="5"/>
  <c r="H339" i="5"/>
  <c r="Z338" i="5"/>
  <c r="W338" i="5"/>
  <c r="R338" i="5"/>
  <c r="M338" i="5"/>
  <c r="H338" i="5"/>
  <c r="Z337" i="5"/>
  <c r="W337" i="5"/>
  <c r="R337" i="5"/>
  <c r="M337" i="5"/>
  <c r="H337" i="5"/>
  <c r="Z336" i="5"/>
  <c r="W336" i="5"/>
  <c r="R336" i="5"/>
  <c r="M336" i="5"/>
  <c r="H336" i="5"/>
  <c r="Z335" i="5"/>
  <c r="W335" i="5"/>
  <c r="R335" i="5"/>
  <c r="M335" i="5"/>
  <c r="H335" i="5"/>
  <c r="Z334" i="5"/>
  <c r="W334" i="5"/>
  <c r="R334" i="5"/>
  <c r="M334" i="5"/>
  <c r="H334" i="5"/>
  <c r="I334" i="5" s="1"/>
  <c r="Z333" i="5"/>
  <c r="W333" i="5"/>
  <c r="R333" i="5"/>
  <c r="M333" i="5"/>
  <c r="H333" i="5"/>
  <c r="Z332" i="5"/>
  <c r="W332" i="5"/>
  <c r="R332" i="5"/>
  <c r="M332" i="5"/>
  <c r="H332" i="5"/>
  <c r="Z331" i="5"/>
  <c r="W331" i="5"/>
  <c r="R331" i="5"/>
  <c r="M331" i="5"/>
  <c r="H331" i="5"/>
  <c r="Z330" i="5"/>
  <c r="W330" i="5"/>
  <c r="R330" i="5"/>
  <c r="M330" i="5"/>
  <c r="H330" i="5"/>
  <c r="Z329" i="5"/>
  <c r="W329" i="5"/>
  <c r="R329" i="5"/>
  <c r="M329" i="5"/>
  <c r="H329" i="5"/>
  <c r="Z328" i="5"/>
  <c r="W328" i="5"/>
  <c r="R328" i="5"/>
  <c r="M328" i="5"/>
  <c r="H328" i="5"/>
  <c r="Z327" i="5"/>
  <c r="W327" i="5"/>
  <c r="R327" i="5"/>
  <c r="M327" i="5"/>
  <c r="H327" i="5"/>
  <c r="Z326" i="5"/>
  <c r="W326" i="5"/>
  <c r="R326" i="5"/>
  <c r="M326" i="5"/>
  <c r="H326" i="5"/>
  <c r="Z325" i="5"/>
  <c r="W325" i="5"/>
  <c r="R325" i="5"/>
  <c r="M325" i="5"/>
  <c r="H325" i="5"/>
  <c r="Z324" i="5"/>
  <c r="W324" i="5"/>
  <c r="R324" i="5"/>
  <c r="M324" i="5"/>
  <c r="H324" i="5"/>
  <c r="Z323" i="5"/>
  <c r="W323" i="5"/>
  <c r="R323" i="5"/>
  <c r="M323" i="5"/>
  <c r="H323" i="5"/>
  <c r="Z322" i="5"/>
  <c r="W322" i="5"/>
  <c r="R322" i="5"/>
  <c r="M322" i="5"/>
  <c r="H322" i="5"/>
  <c r="Z321" i="5"/>
  <c r="W321" i="5"/>
  <c r="R321" i="5"/>
  <c r="M321" i="5"/>
  <c r="H321" i="5"/>
  <c r="Z320" i="5"/>
  <c r="W320" i="5"/>
  <c r="R320" i="5"/>
  <c r="M320" i="5"/>
  <c r="H320" i="5"/>
  <c r="Z319" i="5"/>
  <c r="W319" i="5"/>
  <c r="R319" i="5"/>
  <c r="M319" i="5"/>
  <c r="H319" i="5"/>
  <c r="Z318" i="5"/>
  <c r="W318" i="5"/>
  <c r="R318" i="5"/>
  <c r="M318" i="5"/>
  <c r="H318" i="5"/>
  <c r="Z317" i="5"/>
  <c r="W317" i="5"/>
  <c r="R317" i="5"/>
  <c r="M317" i="5"/>
  <c r="H317" i="5"/>
  <c r="Z316" i="5"/>
  <c r="W316" i="5"/>
  <c r="R316" i="5"/>
  <c r="M316" i="5"/>
  <c r="H316" i="5"/>
  <c r="Z315" i="5"/>
  <c r="W315" i="5"/>
  <c r="R315" i="5"/>
  <c r="M315" i="5"/>
  <c r="H315" i="5"/>
  <c r="Z314" i="5"/>
  <c r="W314" i="5"/>
  <c r="R314" i="5"/>
  <c r="M314" i="5"/>
  <c r="H314" i="5"/>
  <c r="Z313" i="5"/>
  <c r="W313" i="5"/>
  <c r="R313" i="5"/>
  <c r="M313" i="5"/>
  <c r="H313" i="5"/>
  <c r="Z312" i="5"/>
  <c r="W312" i="5"/>
  <c r="R312" i="5"/>
  <c r="M312" i="5"/>
  <c r="H312" i="5"/>
  <c r="Z311" i="5"/>
  <c r="W311" i="5"/>
  <c r="R311" i="5"/>
  <c r="M311" i="5"/>
  <c r="H311" i="5"/>
  <c r="Z310" i="5"/>
  <c r="W310" i="5"/>
  <c r="R310" i="5"/>
  <c r="M310" i="5"/>
  <c r="H310" i="5"/>
  <c r="Z309" i="5"/>
  <c r="W309" i="5"/>
  <c r="R309" i="5"/>
  <c r="M309" i="5"/>
  <c r="H309" i="5"/>
  <c r="Z308" i="5"/>
  <c r="W308" i="5"/>
  <c r="R308" i="5"/>
  <c r="M308" i="5"/>
  <c r="H308" i="5"/>
  <c r="Z307" i="5"/>
  <c r="W307" i="5"/>
  <c r="R307" i="5"/>
  <c r="M307" i="5"/>
  <c r="H307" i="5"/>
  <c r="Z306" i="5"/>
  <c r="W306" i="5"/>
  <c r="R306" i="5"/>
  <c r="M306" i="5"/>
  <c r="H306" i="5"/>
  <c r="Z305" i="5"/>
  <c r="W305" i="5"/>
  <c r="R305" i="5"/>
  <c r="M305" i="5"/>
  <c r="H305" i="5"/>
  <c r="Z304" i="5"/>
  <c r="W304" i="5"/>
  <c r="R304" i="5"/>
  <c r="M304" i="5"/>
  <c r="H304" i="5"/>
  <c r="Z303" i="5"/>
  <c r="W303" i="5"/>
  <c r="R303" i="5"/>
  <c r="M303" i="5"/>
  <c r="H303" i="5"/>
  <c r="Z302" i="5"/>
  <c r="W302" i="5"/>
  <c r="R302" i="5"/>
  <c r="M302" i="5"/>
  <c r="H302" i="5"/>
  <c r="Z301" i="5"/>
  <c r="W301" i="5"/>
  <c r="R301" i="5"/>
  <c r="M301" i="5"/>
  <c r="H301" i="5"/>
  <c r="Z300" i="5"/>
  <c r="W300" i="5"/>
  <c r="R300" i="5"/>
  <c r="M300" i="5"/>
  <c r="H300" i="5"/>
  <c r="Z299" i="5"/>
  <c r="W299" i="5"/>
  <c r="R299" i="5"/>
  <c r="M299" i="5"/>
  <c r="H299" i="5"/>
  <c r="Z298" i="5"/>
  <c r="W298" i="5"/>
  <c r="R298" i="5"/>
  <c r="M298" i="5"/>
  <c r="H298" i="5"/>
  <c r="Z297" i="5"/>
  <c r="W297" i="5"/>
  <c r="R297" i="5"/>
  <c r="M297" i="5"/>
  <c r="H297" i="5"/>
  <c r="Z296" i="5"/>
  <c r="W296" i="5"/>
  <c r="R296" i="5"/>
  <c r="M296" i="5"/>
  <c r="H296" i="5"/>
  <c r="Z295" i="5"/>
  <c r="W295" i="5"/>
  <c r="R295" i="5"/>
  <c r="M295" i="5"/>
  <c r="H295" i="5"/>
  <c r="Z294" i="5"/>
  <c r="W294" i="5"/>
  <c r="R294" i="5"/>
  <c r="M294" i="5"/>
  <c r="H294" i="5"/>
  <c r="I294" i="5" s="1"/>
  <c r="Z293" i="5"/>
  <c r="W293" i="5"/>
  <c r="R293" i="5"/>
  <c r="M293" i="5"/>
  <c r="H293" i="5"/>
  <c r="Z292" i="5"/>
  <c r="W292" i="5"/>
  <c r="R292" i="5"/>
  <c r="M292" i="5"/>
  <c r="H292" i="5"/>
  <c r="Z291" i="5"/>
  <c r="W291" i="5"/>
  <c r="R291" i="5"/>
  <c r="M291" i="5"/>
  <c r="H291" i="5"/>
  <c r="Z290" i="5"/>
  <c r="W290" i="5"/>
  <c r="R290" i="5"/>
  <c r="M290" i="5"/>
  <c r="H290" i="5"/>
  <c r="Z289" i="5"/>
  <c r="W289" i="5"/>
  <c r="R289" i="5"/>
  <c r="M289" i="5"/>
  <c r="H289" i="5"/>
  <c r="Z288" i="5"/>
  <c r="W288" i="5"/>
  <c r="R288" i="5"/>
  <c r="M288" i="5"/>
  <c r="H288" i="5"/>
  <c r="Z287" i="5"/>
  <c r="W287" i="5"/>
  <c r="R287" i="5"/>
  <c r="M287" i="5"/>
  <c r="H287" i="5"/>
  <c r="Z286" i="5"/>
  <c r="W286" i="5"/>
  <c r="R286" i="5"/>
  <c r="M286" i="5"/>
  <c r="H286" i="5"/>
  <c r="Z285" i="5"/>
  <c r="W285" i="5"/>
  <c r="R285" i="5"/>
  <c r="M285" i="5"/>
  <c r="H285" i="5"/>
  <c r="I285" i="5" s="1"/>
  <c r="Z284" i="5"/>
  <c r="W284" i="5"/>
  <c r="R284" i="5"/>
  <c r="M284" i="5"/>
  <c r="H284" i="5"/>
  <c r="Z283" i="5"/>
  <c r="W283" i="5"/>
  <c r="R283" i="5"/>
  <c r="M283" i="5"/>
  <c r="H283" i="5"/>
  <c r="Z282" i="5"/>
  <c r="W282" i="5"/>
  <c r="R282" i="5"/>
  <c r="M282" i="5"/>
  <c r="H282" i="5"/>
  <c r="Z281" i="5"/>
  <c r="W281" i="5"/>
  <c r="R281" i="5"/>
  <c r="M281" i="5"/>
  <c r="H281" i="5"/>
  <c r="Z280" i="5"/>
  <c r="W280" i="5"/>
  <c r="R280" i="5"/>
  <c r="M280" i="5"/>
  <c r="H280" i="5"/>
  <c r="Z279" i="5"/>
  <c r="W279" i="5"/>
  <c r="R279" i="5"/>
  <c r="M279" i="5"/>
  <c r="H279" i="5"/>
  <c r="Z278" i="5"/>
  <c r="W278" i="5"/>
  <c r="R278" i="5"/>
  <c r="M278" i="5"/>
  <c r="H278" i="5"/>
  <c r="Z277" i="5"/>
  <c r="W277" i="5"/>
  <c r="R277" i="5"/>
  <c r="M277" i="5"/>
  <c r="H277" i="5"/>
  <c r="Z276" i="5"/>
  <c r="W276" i="5"/>
  <c r="R276" i="5"/>
  <c r="M276" i="5"/>
  <c r="H276" i="5"/>
  <c r="Z275" i="5"/>
  <c r="W275" i="5"/>
  <c r="R275" i="5"/>
  <c r="M275" i="5"/>
  <c r="H275" i="5"/>
  <c r="Z274" i="5"/>
  <c r="W274" i="5"/>
  <c r="R274" i="5"/>
  <c r="M274" i="5"/>
  <c r="H274" i="5"/>
  <c r="Z273" i="5"/>
  <c r="W273" i="5"/>
  <c r="R273" i="5"/>
  <c r="M273" i="5"/>
  <c r="H273" i="5"/>
  <c r="Z272" i="5"/>
  <c r="W272" i="5"/>
  <c r="R272" i="5"/>
  <c r="M272" i="5"/>
  <c r="H272" i="5"/>
  <c r="Z271" i="5"/>
  <c r="W271" i="5"/>
  <c r="R271" i="5"/>
  <c r="M271" i="5"/>
  <c r="H271" i="5"/>
  <c r="Z270" i="5"/>
  <c r="W270" i="5"/>
  <c r="R270" i="5"/>
  <c r="M270" i="5"/>
  <c r="H270" i="5"/>
  <c r="Z269" i="5"/>
  <c r="W269" i="5"/>
  <c r="R269" i="5"/>
  <c r="M269" i="5"/>
  <c r="H269" i="5"/>
  <c r="Z268" i="5"/>
  <c r="W268" i="5"/>
  <c r="R268" i="5"/>
  <c r="M268" i="5"/>
  <c r="H268" i="5"/>
  <c r="Z267" i="5"/>
  <c r="W267" i="5"/>
  <c r="R267" i="5"/>
  <c r="M267" i="5"/>
  <c r="H267" i="5"/>
  <c r="Z266" i="5"/>
  <c r="W266" i="5"/>
  <c r="R266" i="5"/>
  <c r="M266" i="5"/>
  <c r="H266" i="5"/>
  <c r="Z265" i="5"/>
  <c r="W265" i="5"/>
  <c r="R265" i="5"/>
  <c r="M265" i="5"/>
  <c r="H265" i="5"/>
  <c r="Z264" i="5"/>
  <c r="W264" i="5"/>
  <c r="R264" i="5"/>
  <c r="M264" i="5"/>
  <c r="H264" i="5"/>
  <c r="Z263" i="5"/>
  <c r="W263" i="5"/>
  <c r="R263" i="5"/>
  <c r="M263" i="5"/>
  <c r="H263" i="5"/>
  <c r="Z262" i="5"/>
  <c r="W262" i="5"/>
  <c r="R262" i="5"/>
  <c r="M262" i="5"/>
  <c r="H262" i="5"/>
  <c r="Z261" i="5"/>
  <c r="W261" i="5"/>
  <c r="R261" i="5"/>
  <c r="M261" i="5"/>
  <c r="H261" i="5"/>
  <c r="Z260" i="5"/>
  <c r="W260" i="5"/>
  <c r="R260" i="5"/>
  <c r="M260" i="5"/>
  <c r="H260" i="5"/>
  <c r="Z259" i="5"/>
  <c r="W259" i="5"/>
  <c r="R259" i="5"/>
  <c r="M259" i="5"/>
  <c r="H259" i="5"/>
  <c r="Z258" i="5"/>
  <c r="W258" i="5"/>
  <c r="R258" i="5"/>
  <c r="M258" i="5"/>
  <c r="H258" i="5"/>
  <c r="Z257" i="5"/>
  <c r="W257" i="5"/>
  <c r="R257" i="5"/>
  <c r="M257" i="5"/>
  <c r="H257" i="5"/>
  <c r="Z256" i="5"/>
  <c r="W256" i="5"/>
  <c r="R256" i="5"/>
  <c r="M256" i="5"/>
  <c r="H256" i="5"/>
  <c r="Z255" i="5"/>
  <c r="W255" i="5"/>
  <c r="R255" i="5"/>
  <c r="M255" i="5"/>
  <c r="H255" i="5"/>
  <c r="Z254" i="5"/>
  <c r="W254" i="5"/>
  <c r="R254" i="5"/>
  <c r="M254" i="5"/>
  <c r="H254" i="5"/>
  <c r="Z253" i="5"/>
  <c r="W253" i="5"/>
  <c r="R253" i="5"/>
  <c r="M253" i="5"/>
  <c r="H253" i="5"/>
  <c r="Z252" i="5"/>
  <c r="W252" i="5"/>
  <c r="R252" i="5"/>
  <c r="M252" i="5"/>
  <c r="H252" i="5"/>
  <c r="Z251" i="5"/>
  <c r="W251" i="5"/>
  <c r="R251" i="5"/>
  <c r="M251" i="5"/>
  <c r="H251" i="5"/>
  <c r="Z250" i="5"/>
  <c r="W250" i="5"/>
  <c r="R250" i="5"/>
  <c r="M250" i="5"/>
  <c r="H250" i="5"/>
  <c r="Z249" i="5"/>
  <c r="W249" i="5"/>
  <c r="R249" i="5"/>
  <c r="M249" i="5"/>
  <c r="H249" i="5"/>
  <c r="Z248" i="5"/>
  <c r="W248" i="5"/>
  <c r="R248" i="5"/>
  <c r="M248" i="5"/>
  <c r="H248" i="5"/>
  <c r="Z247" i="5"/>
  <c r="W247" i="5"/>
  <c r="R247" i="5"/>
  <c r="M247" i="5"/>
  <c r="H247" i="5"/>
  <c r="Z246" i="5"/>
  <c r="W246" i="5"/>
  <c r="R246" i="5"/>
  <c r="M246" i="5"/>
  <c r="H246" i="5"/>
  <c r="Z245" i="5"/>
  <c r="W245" i="5"/>
  <c r="R245" i="5"/>
  <c r="M245" i="5"/>
  <c r="H245" i="5"/>
  <c r="Z244" i="5"/>
  <c r="W244" i="5"/>
  <c r="R244" i="5"/>
  <c r="M244" i="5"/>
  <c r="H244" i="5"/>
  <c r="Z243" i="5"/>
  <c r="W243" i="5"/>
  <c r="R243" i="5"/>
  <c r="M243" i="5"/>
  <c r="H243" i="5"/>
  <c r="Z242" i="5"/>
  <c r="W242" i="5"/>
  <c r="R242" i="5"/>
  <c r="M242" i="5"/>
  <c r="H242" i="5"/>
  <c r="Z241" i="5"/>
  <c r="W241" i="5"/>
  <c r="R241" i="5"/>
  <c r="M241" i="5"/>
  <c r="H241" i="5"/>
  <c r="Z240" i="5"/>
  <c r="W240" i="5"/>
  <c r="R240" i="5"/>
  <c r="M240" i="5"/>
  <c r="H240" i="5"/>
  <c r="Z239" i="5"/>
  <c r="W239" i="5"/>
  <c r="R239" i="5"/>
  <c r="M239" i="5"/>
  <c r="H239" i="5"/>
  <c r="Z238" i="5"/>
  <c r="W238" i="5"/>
  <c r="R238" i="5"/>
  <c r="M238" i="5"/>
  <c r="H238" i="5"/>
  <c r="Z237" i="5"/>
  <c r="W237" i="5"/>
  <c r="R237" i="5"/>
  <c r="M237" i="5"/>
  <c r="H237" i="5"/>
  <c r="Z236" i="5"/>
  <c r="W236" i="5"/>
  <c r="R236" i="5"/>
  <c r="M236" i="5"/>
  <c r="H236" i="5"/>
  <c r="Z235" i="5"/>
  <c r="W235" i="5"/>
  <c r="R235" i="5"/>
  <c r="M235" i="5"/>
  <c r="H235" i="5"/>
  <c r="Z234" i="5"/>
  <c r="W234" i="5"/>
  <c r="R234" i="5"/>
  <c r="M234" i="5"/>
  <c r="H234" i="5"/>
  <c r="Z233" i="5"/>
  <c r="W233" i="5"/>
  <c r="R233" i="5"/>
  <c r="M233" i="5"/>
  <c r="H233" i="5"/>
  <c r="Z232" i="5"/>
  <c r="W232" i="5"/>
  <c r="R232" i="5"/>
  <c r="M232" i="5"/>
  <c r="H232" i="5"/>
  <c r="Z231" i="5"/>
  <c r="W231" i="5"/>
  <c r="R231" i="5"/>
  <c r="M231" i="5"/>
  <c r="H231" i="5"/>
  <c r="Z230" i="5"/>
  <c r="W230" i="5"/>
  <c r="R230" i="5"/>
  <c r="M230" i="5"/>
  <c r="H230" i="5"/>
  <c r="Z229" i="5"/>
  <c r="W229" i="5"/>
  <c r="R229" i="5"/>
  <c r="M229" i="5"/>
  <c r="H229" i="5"/>
  <c r="Z228" i="5"/>
  <c r="W228" i="5"/>
  <c r="R228" i="5"/>
  <c r="M228" i="5"/>
  <c r="H228" i="5"/>
  <c r="Z227" i="5"/>
  <c r="W227" i="5"/>
  <c r="R227" i="5"/>
  <c r="M227" i="5"/>
  <c r="H227" i="5"/>
  <c r="Z226" i="5"/>
  <c r="W226" i="5"/>
  <c r="R226" i="5"/>
  <c r="M226" i="5"/>
  <c r="H226" i="5"/>
  <c r="Z225" i="5"/>
  <c r="W225" i="5"/>
  <c r="R225" i="5"/>
  <c r="M225" i="5"/>
  <c r="H225" i="5"/>
  <c r="Z224" i="5"/>
  <c r="W224" i="5"/>
  <c r="R224" i="5"/>
  <c r="M224" i="5"/>
  <c r="H224" i="5"/>
  <c r="Z223" i="5"/>
  <c r="W223" i="5"/>
  <c r="R223" i="5"/>
  <c r="M223" i="5"/>
  <c r="H223" i="5"/>
  <c r="Z222" i="5"/>
  <c r="W222" i="5"/>
  <c r="R222" i="5"/>
  <c r="M222" i="5"/>
  <c r="H222" i="5"/>
  <c r="Z221" i="5"/>
  <c r="W221" i="5"/>
  <c r="R221" i="5"/>
  <c r="M221" i="5"/>
  <c r="H221" i="5"/>
  <c r="Z220" i="5"/>
  <c r="W220" i="5"/>
  <c r="R220" i="5"/>
  <c r="M220" i="5"/>
  <c r="H220" i="5"/>
  <c r="Z219" i="5"/>
  <c r="W219" i="5"/>
  <c r="R219" i="5"/>
  <c r="M219" i="5"/>
  <c r="H219" i="5"/>
  <c r="Z218" i="5"/>
  <c r="W218" i="5"/>
  <c r="R218" i="5"/>
  <c r="M218" i="5"/>
  <c r="H218" i="5"/>
  <c r="Z217" i="5"/>
  <c r="W217" i="5"/>
  <c r="R217" i="5"/>
  <c r="M217" i="5"/>
  <c r="H217" i="5"/>
  <c r="Z216" i="5"/>
  <c r="W216" i="5"/>
  <c r="R216" i="5"/>
  <c r="M216" i="5"/>
  <c r="H216" i="5"/>
  <c r="Z215" i="5"/>
  <c r="W215" i="5"/>
  <c r="R215" i="5"/>
  <c r="M215" i="5"/>
  <c r="H215" i="5"/>
  <c r="Z214" i="5"/>
  <c r="W214" i="5"/>
  <c r="R214" i="5"/>
  <c r="M214" i="5"/>
  <c r="H214" i="5"/>
  <c r="Z213" i="5"/>
  <c r="W213" i="5"/>
  <c r="R213" i="5"/>
  <c r="M213" i="5"/>
  <c r="H213" i="5"/>
  <c r="Z212" i="5"/>
  <c r="W212" i="5"/>
  <c r="R212" i="5"/>
  <c r="M212" i="5"/>
  <c r="H212" i="5"/>
  <c r="Z211" i="5"/>
  <c r="W211" i="5"/>
  <c r="R211" i="5"/>
  <c r="M211" i="5"/>
  <c r="H211" i="5"/>
  <c r="Z210" i="5"/>
  <c r="W210" i="5"/>
  <c r="R210" i="5"/>
  <c r="M210" i="5"/>
  <c r="H210" i="5"/>
  <c r="Z209" i="5"/>
  <c r="W209" i="5"/>
  <c r="R209" i="5"/>
  <c r="M209" i="5"/>
  <c r="H209" i="5"/>
  <c r="Z208" i="5"/>
  <c r="W208" i="5"/>
  <c r="R208" i="5"/>
  <c r="M208" i="5"/>
  <c r="H208" i="5"/>
  <c r="Z207" i="5"/>
  <c r="W207" i="5"/>
  <c r="R207" i="5"/>
  <c r="M207" i="5"/>
  <c r="H207" i="5"/>
  <c r="Z206" i="5"/>
  <c r="W206" i="5"/>
  <c r="R206" i="5"/>
  <c r="M206" i="5"/>
  <c r="H206" i="5"/>
  <c r="Z205" i="5"/>
  <c r="W205" i="5"/>
  <c r="R205" i="5"/>
  <c r="M205" i="5"/>
  <c r="H205" i="5"/>
  <c r="Z204" i="5"/>
  <c r="W204" i="5"/>
  <c r="R204" i="5"/>
  <c r="M204" i="5"/>
  <c r="H204" i="5"/>
  <c r="Z203" i="5"/>
  <c r="W203" i="5"/>
  <c r="R203" i="5"/>
  <c r="M203" i="5"/>
  <c r="H203" i="5"/>
  <c r="Z202" i="5"/>
  <c r="W202" i="5"/>
  <c r="R202" i="5"/>
  <c r="M202" i="5"/>
  <c r="H202" i="5"/>
  <c r="Z201" i="5"/>
  <c r="W201" i="5"/>
  <c r="R201" i="5"/>
  <c r="M201" i="5"/>
  <c r="H201" i="5"/>
  <c r="Z200" i="5"/>
  <c r="W200" i="5"/>
  <c r="R200" i="5"/>
  <c r="M200" i="5"/>
  <c r="H200" i="5"/>
  <c r="Z199" i="5"/>
  <c r="W199" i="5"/>
  <c r="R199" i="5"/>
  <c r="M199" i="5"/>
  <c r="H199" i="5"/>
  <c r="Z198" i="5"/>
  <c r="W198" i="5"/>
  <c r="R198" i="5"/>
  <c r="M198" i="5"/>
  <c r="H198" i="5"/>
  <c r="Z197" i="5"/>
  <c r="W197" i="5"/>
  <c r="R197" i="5"/>
  <c r="M197" i="5"/>
  <c r="H197" i="5"/>
  <c r="Z196" i="5"/>
  <c r="W196" i="5"/>
  <c r="R196" i="5"/>
  <c r="M196" i="5"/>
  <c r="H196" i="5"/>
  <c r="Z195" i="5"/>
  <c r="W195" i="5"/>
  <c r="R195" i="5"/>
  <c r="M195" i="5"/>
  <c r="H195" i="5"/>
  <c r="Z194" i="5"/>
  <c r="W194" i="5"/>
  <c r="R194" i="5"/>
  <c r="M194" i="5"/>
  <c r="H194" i="5"/>
  <c r="Z193" i="5"/>
  <c r="W193" i="5"/>
  <c r="R193" i="5"/>
  <c r="M193" i="5"/>
  <c r="H193" i="5"/>
  <c r="Z192" i="5"/>
  <c r="W192" i="5"/>
  <c r="R192" i="5"/>
  <c r="M192" i="5"/>
  <c r="H192" i="5"/>
  <c r="Z191" i="5"/>
  <c r="W191" i="5"/>
  <c r="R191" i="5"/>
  <c r="M191" i="5"/>
  <c r="H191" i="5"/>
  <c r="Z189" i="5"/>
  <c r="W189" i="5"/>
  <c r="R189" i="5"/>
  <c r="M189" i="5"/>
  <c r="H189" i="5"/>
  <c r="Z188" i="5"/>
  <c r="W188" i="5"/>
  <c r="R188" i="5"/>
  <c r="M188" i="5"/>
  <c r="H188" i="5"/>
  <c r="Z187" i="5"/>
  <c r="W187" i="5"/>
  <c r="R187" i="5"/>
  <c r="M187" i="5"/>
  <c r="H187" i="5"/>
  <c r="Z186" i="5"/>
  <c r="W186" i="5"/>
  <c r="R186" i="5"/>
  <c r="M186" i="5"/>
  <c r="H186" i="5"/>
  <c r="Z185" i="5"/>
  <c r="W185" i="5"/>
  <c r="R185" i="5"/>
  <c r="M185" i="5"/>
  <c r="H185" i="5"/>
  <c r="Z184" i="5"/>
  <c r="W184" i="5"/>
  <c r="R184" i="5"/>
  <c r="M184" i="5"/>
  <c r="H184" i="5"/>
  <c r="Z183" i="5"/>
  <c r="W183" i="5"/>
  <c r="R183" i="5"/>
  <c r="M183" i="5"/>
  <c r="H183" i="5"/>
  <c r="Z182" i="5"/>
  <c r="W182" i="5"/>
  <c r="R182" i="5"/>
  <c r="M182" i="5"/>
  <c r="H182" i="5"/>
  <c r="Z181" i="5"/>
  <c r="W181" i="5"/>
  <c r="R181" i="5"/>
  <c r="M181" i="5"/>
  <c r="H181" i="5"/>
  <c r="Z180" i="5"/>
  <c r="W180" i="5"/>
  <c r="R180" i="5"/>
  <c r="M180" i="5"/>
  <c r="H180" i="5"/>
  <c r="Z179" i="5"/>
  <c r="W179" i="5"/>
  <c r="R179" i="5"/>
  <c r="M179" i="5"/>
  <c r="H179" i="5"/>
  <c r="Z178" i="5"/>
  <c r="W178" i="5"/>
  <c r="R178" i="5"/>
  <c r="M178" i="5"/>
  <c r="H178" i="5"/>
  <c r="Z177" i="5"/>
  <c r="W177" i="5"/>
  <c r="R177" i="5"/>
  <c r="M177" i="5"/>
  <c r="H177" i="5"/>
  <c r="Z176" i="5"/>
  <c r="W176" i="5"/>
  <c r="R176" i="5"/>
  <c r="M176" i="5"/>
  <c r="H176" i="5"/>
  <c r="Z175" i="5"/>
  <c r="W175" i="5"/>
  <c r="R175" i="5"/>
  <c r="M175" i="5"/>
  <c r="H175" i="5"/>
  <c r="Z174" i="5"/>
  <c r="W174" i="5"/>
  <c r="R174" i="5"/>
  <c r="M174" i="5"/>
  <c r="H174" i="5"/>
  <c r="Z173" i="5"/>
  <c r="W173" i="5"/>
  <c r="R173" i="5"/>
  <c r="M173" i="5"/>
  <c r="H173" i="5"/>
  <c r="Z172" i="5"/>
  <c r="W172" i="5"/>
  <c r="R172" i="5"/>
  <c r="M172" i="5"/>
  <c r="H172" i="5"/>
  <c r="Z171" i="5"/>
  <c r="W171" i="5"/>
  <c r="R171" i="5"/>
  <c r="M171" i="5"/>
  <c r="H171" i="5"/>
  <c r="Z170" i="5"/>
  <c r="W170" i="5"/>
  <c r="R170" i="5"/>
  <c r="M170" i="5"/>
  <c r="H170" i="5"/>
  <c r="Z169" i="5"/>
  <c r="W169" i="5"/>
  <c r="R169" i="5"/>
  <c r="M169" i="5"/>
  <c r="H169" i="5"/>
  <c r="Z168" i="5"/>
  <c r="W168" i="5"/>
  <c r="R168" i="5"/>
  <c r="M168" i="5"/>
  <c r="H168" i="5"/>
  <c r="Z167" i="5"/>
  <c r="W167" i="5"/>
  <c r="R167" i="5"/>
  <c r="M167" i="5"/>
  <c r="H167" i="5"/>
  <c r="Z166" i="5"/>
  <c r="W166" i="5"/>
  <c r="R166" i="5"/>
  <c r="M166" i="5"/>
  <c r="H166" i="5"/>
  <c r="Z165" i="5"/>
  <c r="W165" i="5"/>
  <c r="R165" i="5"/>
  <c r="M165" i="5"/>
  <c r="H165" i="5"/>
  <c r="Z164" i="5"/>
  <c r="W164" i="5"/>
  <c r="R164" i="5"/>
  <c r="M164" i="5"/>
  <c r="H164" i="5"/>
  <c r="Z163" i="5"/>
  <c r="W163" i="5"/>
  <c r="R163" i="5"/>
  <c r="M163" i="5"/>
  <c r="H163" i="5"/>
  <c r="Z162" i="5"/>
  <c r="W162" i="5"/>
  <c r="R162" i="5"/>
  <c r="M162" i="5"/>
  <c r="H162" i="5"/>
  <c r="Z161" i="5"/>
  <c r="W161" i="5"/>
  <c r="R161" i="5"/>
  <c r="M161" i="5"/>
  <c r="H161" i="5"/>
  <c r="Z160" i="5"/>
  <c r="W160" i="5"/>
  <c r="R160" i="5"/>
  <c r="M160" i="5"/>
  <c r="H160" i="5"/>
  <c r="Z159" i="5"/>
  <c r="W159" i="5"/>
  <c r="R159" i="5"/>
  <c r="M159" i="5"/>
  <c r="H159" i="5"/>
  <c r="Z158" i="5"/>
  <c r="W158" i="5"/>
  <c r="R158" i="5"/>
  <c r="M158" i="5"/>
  <c r="H158" i="5"/>
  <c r="Z157" i="5"/>
  <c r="W157" i="5"/>
  <c r="R157" i="5"/>
  <c r="M157" i="5"/>
  <c r="H157" i="5"/>
  <c r="Z156" i="5"/>
  <c r="W156" i="5"/>
  <c r="R156" i="5"/>
  <c r="M156" i="5"/>
  <c r="H156" i="5"/>
  <c r="Z155" i="5"/>
  <c r="W155" i="5"/>
  <c r="R155" i="5"/>
  <c r="M155" i="5"/>
  <c r="H155" i="5"/>
  <c r="Z154" i="5"/>
  <c r="W154" i="5"/>
  <c r="R154" i="5"/>
  <c r="M154" i="5"/>
  <c r="H154" i="5"/>
  <c r="Z153" i="5"/>
  <c r="W153" i="5"/>
  <c r="R153" i="5"/>
  <c r="M153" i="5"/>
  <c r="H153" i="5"/>
  <c r="Z152" i="5"/>
  <c r="W152" i="5"/>
  <c r="R152" i="5"/>
  <c r="M152" i="5"/>
  <c r="H152" i="5"/>
  <c r="Z151" i="5"/>
  <c r="W151" i="5"/>
  <c r="R151" i="5"/>
  <c r="M151" i="5"/>
  <c r="H151" i="5"/>
  <c r="Z150" i="5"/>
  <c r="W150" i="5"/>
  <c r="R150" i="5"/>
  <c r="M150" i="5"/>
  <c r="H150" i="5"/>
  <c r="Z149" i="5"/>
  <c r="W149" i="5"/>
  <c r="R149" i="5"/>
  <c r="M149" i="5"/>
  <c r="H149" i="5"/>
  <c r="Z148" i="5"/>
  <c r="W148" i="5"/>
  <c r="R148" i="5"/>
  <c r="M148" i="5"/>
  <c r="H148" i="5"/>
  <c r="Z147" i="5"/>
  <c r="W147" i="5"/>
  <c r="R147" i="5"/>
  <c r="M147" i="5"/>
  <c r="H147" i="5"/>
  <c r="Z146" i="5"/>
  <c r="W146" i="5"/>
  <c r="R146" i="5"/>
  <c r="M146" i="5"/>
  <c r="H146" i="5"/>
  <c r="Z145" i="5"/>
  <c r="W145" i="5"/>
  <c r="R145" i="5"/>
  <c r="M145" i="5"/>
  <c r="H145" i="5"/>
  <c r="Z144" i="5"/>
  <c r="W144" i="5"/>
  <c r="R144" i="5"/>
  <c r="M144" i="5"/>
  <c r="H144" i="5"/>
  <c r="Z143" i="5"/>
  <c r="W143" i="5"/>
  <c r="R143" i="5"/>
  <c r="M143" i="5"/>
  <c r="H143" i="5"/>
  <c r="Z142" i="5"/>
  <c r="W142" i="5"/>
  <c r="R142" i="5"/>
  <c r="M142" i="5"/>
  <c r="H142" i="5"/>
  <c r="Z141" i="5"/>
  <c r="W141" i="5"/>
  <c r="R141" i="5"/>
  <c r="M141" i="5"/>
  <c r="H141" i="5"/>
  <c r="Z140" i="5"/>
  <c r="W140" i="5"/>
  <c r="R140" i="5"/>
  <c r="M140" i="5"/>
  <c r="H140" i="5"/>
  <c r="Z139" i="5"/>
  <c r="W139" i="5"/>
  <c r="R139" i="5"/>
  <c r="M139" i="5"/>
  <c r="H139" i="5"/>
  <c r="Z138" i="5"/>
  <c r="W138" i="5"/>
  <c r="R138" i="5"/>
  <c r="M138" i="5"/>
  <c r="H138" i="5"/>
  <c r="Z137" i="5"/>
  <c r="W137" i="5"/>
  <c r="R137" i="5"/>
  <c r="M137" i="5"/>
  <c r="H137" i="5"/>
  <c r="Z136" i="5"/>
  <c r="W136" i="5"/>
  <c r="R136" i="5"/>
  <c r="M136" i="5"/>
  <c r="H136" i="5"/>
  <c r="Z135" i="5"/>
  <c r="W135" i="5"/>
  <c r="R135" i="5"/>
  <c r="M135" i="5"/>
  <c r="H135" i="5"/>
  <c r="Z134" i="5"/>
  <c r="N134" i="5" s="1"/>
  <c r="W134" i="5"/>
  <c r="R134" i="5"/>
  <c r="M134" i="5"/>
  <c r="H134" i="5"/>
  <c r="Z133" i="5"/>
  <c r="W133" i="5"/>
  <c r="R133" i="5"/>
  <c r="M133" i="5"/>
  <c r="H133" i="5"/>
  <c r="W127" i="5"/>
  <c r="X127" i="5" s="1"/>
  <c r="R127" i="5"/>
  <c r="S127" i="5" s="1"/>
  <c r="M127" i="5"/>
  <c r="N127" i="5" s="1"/>
  <c r="H127" i="5"/>
  <c r="I127" i="5" s="1"/>
  <c r="W126" i="5"/>
  <c r="X126" i="5" s="1"/>
  <c r="R126" i="5"/>
  <c r="M126" i="5"/>
  <c r="N126" i="5" s="1"/>
  <c r="H126" i="5"/>
  <c r="I126" i="5" s="1"/>
  <c r="W125" i="5"/>
  <c r="X125" i="5" s="1"/>
  <c r="R125" i="5"/>
  <c r="S125" i="5" s="1"/>
  <c r="M125" i="5"/>
  <c r="N125" i="5" s="1"/>
  <c r="H125" i="5"/>
  <c r="I125" i="5" s="1"/>
  <c r="W124" i="5"/>
  <c r="X124" i="5" s="1"/>
  <c r="R124" i="5"/>
  <c r="S124" i="5" s="1"/>
  <c r="M124" i="5"/>
  <c r="N124" i="5" s="1"/>
  <c r="H124" i="5"/>
  <c r="W123" i="5"/>
  <c r="X123" i="5" s="1"/>
  <c r="R123" i="5"/>
  <c r="S123" i="5" s="1"/>
  <c r="M123" i="5"/>
  <c r="N123" i="5" s="1"/>
  <c r="H123" i="5"/>
  <c r="I123" i="5" s="1"/>
  <c r="W122" i="5"/>
  <c r="X122" i="5" s="1"/>
  <c r="R122" i="5"/>
  <c r="S122" i="5" s="1"/>
  <c r="M122" i="5"/>
  <c r="N122" i="5" s="1"/>
  <c r="H122" i="5"/>
  <c r="I122" i="5" s="1"/>
  <c r="Z121" i="5"/>
  <c r="W121" i="5"/>
  <c r="R121" i="5"/>
  <c r="M121" i="5"/>
  <c r="H121" i="5"/>
  <c r="Z120" i="5"/>
  <c r="W120" i="5"/>
  <c r="R120" i="5"/>
  <c r="M120" i="5"/>
  <c r="H120" i="5"/>
  <c r="Z119" i="5"/>
  <c r="W119" i="5"/>
  <c r="R119" i="5"/>
  <c r="M119" i="5"/>
  <c r="H119" i="5"/>
  <c r="Z118" i="5"/>
  <c r="W118" i="5"/>
  <c r="R118" i="5"/>
  <c r="M118" i="5"/>
  <c r="H118" i="5"/>
  <c r="W117" i="5"/>
  <c r="R117" i="5"/>
  <c r="M117" i="5"/>
  <c r="H117" i="5"/>
  <c r="Z115" i="5"/>
  <c r="W115" i="5"/>
  <c r="R115" i="5"/>
  <c r="M115" i="5"/>
  <c r="H115" i="5"/>
  <c r="Z114" i="5"/>
  <c r="W114" i="5"/>
  <c r="R114" i="5"/>
  <c r="M114" i="5"/>
  <c r="H114" i="5"/>
  <c r="Z113" i="5"/>
  <c r="W113" i="5"/>
  <c r="R113" i="5"/>
  <c r="M113" i="5"/>
  <c r="H113" i="5"/>
  <c r="Z111" i="5"/>
  <c r="W111" i="5"/>
  <c r="R111" i="5"/>
  <c r="M111" i="5"/>
  <c r="Z109" i="5"/>
  <c r="W109" i="5"/>
  <c r="R109" i="5"/>
  <c r="M109" i="5"/>
  <c r="H109" i="5"/>
  <c r="Z108" i="5"/>
  <c r="W108" i="5"/>
  <c r="R108" i="5"/>
  <c r="M108" i="5"/>
  <c r="H108" i="5"/>
  <c r="Z107" i="5"/>
  <c r="W107" i="5"/>
  <c r="R107" i="5"/>
  <c r="M107" i="5"/>
  <c r="H107" i="5"/>
  <c r="Z106" i="5"/>
  <c r="W106" i="5"/>
  <c r="R106" i="5"/>
  <c r="M106" i="5"/>
  <c r="H106" i="5"/>
  <c r="Z105" i="5"/>
  <c r="W105" i="5"/>
  <c r="R105" i="5"/>
  <c r="M105" i="5"/>
  <c r="H105" i="5"/>
  <c r="Z104" i="5"/>
  <c r="W104" i="5"/>
  <c r="R104" i="5"/>
  <c r="M104" i="5"/>
  <c r="H104" i="5"/>
  <c r="Z103" i="5"/>
  <c r="W103" i="5"/>
  <c r="R103" i="5"/>
  <c r="M103" i="5"/>
  <c r="H103" i="5"/>
  <c r="Z102" i="5"/>
  <c r="W102" i="5"/>
  <c r="R102" i="5"/>
  <c r="M102" i="5"/>
  <c r="H102" i="5"/>
  <c r="Z101" i="5"/>
  <c r="W101" i="5"/>
  <c r="R101" i="5"/>
  <c r="M101" i="5"/>
  <c r="H101" i="5"/>
  <c r="Z100" i="5"/>
  <c r="W100" i="5"/>
  <c r="R100" i="5"/>
  <c r="M100" i="5"/>
  <c r="H100" i="5"/>
  <c r="Z99" i="5"/>
  <c r="W99" i="5"/>
  <c r="R99" i="5"/>
  <c r="M99" i="5"/>
  <c r="H99" i="5"/>
  <c r="Z98" i="5"/>
  <c r="W98" i="5"/>
  <c r="R98" i="5"/>
  <c r="M98" i="5"/>
  <c r="H98" i="5"/>
  <c r="Z97" i="5"/>
  <c r="W97" i="5"/>
  <c r="R97" i="5"/>
  <c r="M97" i="5"/>
  <c r="H97" i="5"/>
  <c r="Z96" i="5"/>
  <c r="W96" i="5"/>
  <c r="R96" i="5"/>
  <c r="M96" i="5"/>
  <c r="H96" i="5"/>
  <c r="Z95" i="5"/>
  <c r="W95" i="5"/>
  <c r="R95" i="5"/>
  <c r="M95" i="5"/>
  <c r="H95" i="5"/>
  <c r="Z94" i="5"/>
  <c r="W94" i="5"/>
  <c r="R94" i="5"/>
  <c r="M94" i="5"/>
  <c r="H94" i="5"/>
  <c r="Z93" i="5"/>
  <c r="W93" i="5"/>
  <c r="R93" i="5"/>
  <c r="M93" i="5"/>
  <c r="H93" i="5"/>
  <c r="Z92" i="5"/>
  <c r="W92" i="5"/>
  <c r="R92" i="5"/>
  <c r="M92" i="5"/>
  <c r="H92" i="5"/>
  <c r="Z90" i="5"/>
  <c r="W90" i="5"/>
  <c r="R90" i="5"/>
  <c r="M90" i="5"/>
  <c r="H90" i="5"/>
  <c r="Z88" i="5"/>
  <c r="W88" i="5"/>
  <c r="R88" i="5"/>
  <c r="M88" i="5"/>
  <c r="H88" i="5"/>
  <c r="Z87" i="5"/>
  <c r="W87" i="5"/>
  <c r="R87" i="5"/>
  <c r="M87" i="5"/>
  <c r="H87" i="5"/>
  <c r="Z85" i="5"/>
  <c r="W85" i="5"/>
  <c r="R85" i="5"/>
  <c r="M85" i="5"/>
  <c r="H85" i="5"/>
  <c r="Z84" i="5"/>
  <c r="W84" i="5"/>
  <c r="R84" i="5"/>
  <c r="M84" i="5"/>
  <c r="H84" i="5"/>
  <c r="Z83" i="5"/>
  <c r="W83" i="5"/>
  <c r="R83" i="5"/>
  <c r="M83" i="5"/>
  <c r="H83" i="5"/>
  <c r="Z82" i="5"/>
  <c r="W82" i="5"/>
  <c r="R82" i="5"/>
  <c r="M82" i="5"/>
  <c r="H82" i="5"/>
  <c r="Z80" i="5"/>
  <c r="W80" i="5"/>
  <c r="R80" i="5"/>
  <c r="M80" i="5"/>
  <c r="H80" i="5"/>
  <c r="Z79" i="5"/>
  <c r="W79" i="5"/>
  <c r="R79" i="5"/>
  <c r="M79" i="5"/>
  <c r="H79" i="5"/>
  <c r="Z78" i="5"/>
  <c r="W78" i="5"/>
  <c r="R78" i="5"/>
  <c r="M78" i="5"/>
  <c r="H78" i="5"/>
  <c r="Z77" i="5"/>
  <c r="W77" i="5"/>
  <c r="R77" i="5"/>
  <c r="M77" i="5"/>
  <c r="H77" i="5"/>
  <c r="Z76" i="5"/>
  <c r="W76" i="5"/>
  <c r="R76" i="5"/>
  <c r="M76" i="5"/>
  <c r="H76" i="5"/>
  <c r="Z75" i="5"/>
  <c r="W75" i="5"/>
  <c r="R75" i="5"/>
  <c r="M75" i="5"/>
  <c r="H75" i="5"/>
  <c r="Z74" i="5"/>
  <c r="W74" i="5"/>
  <c r="R74" i="5"/>
  <c r="M74" i="5"/>
  <c r="H74" i="5"/>
  <c r="Z73" i="5"/>
  <c r="W73" i="5"/>
  <c r="R73" i="5"/>
  <c r="M73" i="5"/>
  <c r="H73" i="5"/>
  <c r="Z72" i="5"/>
  <c r="W72" i="5"/>
  <c r="R72" i="5"/>
  <c r="M72" i="5"/>
  <c r="H72" i="5"/>
  <c r="Z71" i="5"/>
  <c r="W71" i="5"/>
  <c r="R71" i="5"/>
  <c r="M71" i="5"/>
  <c r="H71" i="5"/>
  <c r="Z69" i="5"/>
  <c r="W69" i="5"/>
  <c r="R69" i="5"/>
  <c r="M69" i="5"/>
  <c r="H69" i="5"/>
  <c r="Z68" i="5"/>
  <c r="W68" i="5"/>
  <c r="R68" i="5"/>
  <c r="M68" i="5"/>
  <c r="H68" i="5"/>
  <c r="Z67" i="5"/>
  <c r="W67" i="5"/>
  <c r="R67" i="5"/>
  <c r="M67" i="5"/>
  <c r="H67" i="5"/>
  <c r="Z65" i="5"/>
  <c r="W65" i="5"/>
  <c r="R65" i="5"/>
  <c r="M65" i="5"/>
  <c r="H65" i="5"/>
  <c r="Z64" i="5"/>
  <c r="W64" i="5"/>
  <c r="R64" i="5"/>
  <c r="M64" i="5"/>
  <c r="H64" i="5"/>
  <c r="Z63" i="5"/>
  <c r="W63" i="5"/>
  <c r="R63" i="5"/>
  <c r="M63" i="5"/>
  <c r="H63" i="5"/>
  <c r="Z62" i="5"/>
  <c r="W62" i="5"/>
  <c r="R62" i="5"/>
  <c r="M62" i="5"/>
  <c r="H62" i="5"/>
  <c r="Z61" i="5"/>
  <c r="W61" i="5"/>
  <c r="R61" i="5"/>
  <c r="M61" i="5"/>
  <c r="H61" i="5"/>
  <c r="Z60" i="5"/>
  <c r="W60" i="5"/>
  <c r="R60" i="5"/>
  <c r="M60" i="5"/>
  <c r="H60" i="5"/>
  <c r="Z59" i="5"/>
  <c r="W59" i="5"/>
  <c r="R59" i="5"/>
  <c r="M59" i="5"/>
  <c r="H59" i="5"/>
  <c r="Z58" i="5"/>
  <c r="W58" i="5"/>
  <c r="R58" i="5"/>
  <c r="M58" i="5"/>
  <c r="H58" i="5"/>
  <c r="Z57" i="5"/>
  <c r="W57" i="5"/>
  <c r="R57" i="5"/>
  <c r="M57" i="5"/>
  <c r="H57" i="5"/>
  <c r="Z56" i="5"/>
  <c r="W56" i="5"/>
  <c r="R56" i="5"/>
  <c r="M56" i="5"/>
  <c r="H56" i="5"/>
  <c r="Z55" i="5"/>
  <c r="W55" i="5"/>
  <c r="R55" i="5"/>
  <c r="M55" i="5"/>
  <c r="H55" i="5"/>
  <c r="Z54" i="5"/>
  <c r="I54" i="5" s="1"/>
  <c r="W54" i="5"/>
  <c r="R54" i="5"/>
  <c r="M54" i="5"/>
  <c r="H54" i="5"/>
  <c r="Z53" i="5"/>
  <c r="W53" i="5"/>
  <c r="R53" i="5"/>
  <c r="M53" i="5"/>
  <c r="H53" i="5"/>
  <c r="Z52" i="5"/>
  <c r="W52" i="5"/>
  <c r="R52" i="5"/>
  <c r="M52" i="5"/>
  <c r="H52" i="5"/>
  <c r="Z51" i="5"/>
  <c r="W51" i="5"/>
  <c r="R51" i="5"/>
  <c r="M51" i="5"/>
  <c r="H51" i="5"/>
  <c r="Z50" i="5"/>
  <c r="W50" i="5"/>
  <c r="R50" i="5"/>
  <c r="M50" i="5"/>
  <c r="H50" i="5"/>
  <c r="Z49" i="5"/>
  <c r="W49" i="5"/>
  <c r="R49" i="5"/>
  <c r="M49" i="5"/>
  <c r="H49" i="5"/>
  <c r="Z48" i="5"/>
  <c r="W48" i="5"/>
  <c r="R48" i="5"/>
  <c r="M48" i="5"/>
  <c r="H48" i="5"/>
  <c r="Z47" i="5"/>
  <c r="W47" i="5"/>
  <c r="R47" i="5"/>
  <c r="M47" i="5"/>
  <c r="H47" i="5"/>
  <c r="Z46" i="5"/>
  <c r="W46" i="5"/>
  <c r="R46" i="5"/>
  <c r="M46" i="5"/>
  <c r="H46" i="5"/>
  <c r="Z45" i="5"/>
  <c r="W45" i="5"/>
  <c r="R45" i="5"/>
  <c r="M45" i="5"/>
  <c r="H45" i="5"/>
  <c r="Z44" i="5"/>
  <c r="W44" i="5"/>
  <c r="R44" i="5"/>
  <c r="M44" i="5"/>
  <c r="H44" i="5"/>
  <c r="Z34" i="5"/>
  <c r="W34" i="5"/>
  <c r="R34" i="5"/>
  <c r="M34" i="5"/>
  <c r="H34" i="5"/>
  <c r="I225" i="5" l="1"/>
  <c r="S532" i="5"/>
  <c r="N889" i="5"/>
  <c r="S546" i="5"/>
  <c r="S826" i="5"/>
  <c r="S760" i="5"/>
  <c r="N916" i="5"/>
  <c r="S834" i="5"/>
  <c r="X541" i="5"/>
  <c r="R545" i="5"/>
  <c r="S545" i="5" s="1"/>
  <c r="X617" i="5"/>
  <c r="S635" i="5"/>
  <c r="S548" i="5"/>
  <c r="N688" i="5"/>
  <c r="N826" i="5"/>
  <c r="X897" i="5"/>
  <c r="S138" i="5"/>
  <c r="S178" i="5"/>
  <c r="S186" i="5"/>
  <c r="S195" i="5"/>
  <c r="S203" i="5"/>
  <c r="S227" i="5"/>
  <c r="S235" i="5"/>
  <c r="S243" i="5"/>
  <c r="S251" i="5"/>
  <c r="S259" i="5"/>
  <c r="S537" i="5"/>
  <c r="S617" i="5"/>
  <c r="X173" i="5"/>
  <c r="X181" i="5"/>
  <c r="X189" i="5"/>
  <c r="X230" i="5"/>
  <c r="X238" i="5"/>
  <c r="X294" i="5"/>
  <c r="X326" i="5"/>
  <c r="M758" i="5"/>
  <c r="N758" i="5" s="1"/>
  <c r="S825" i="5"/>
  <c r="M845" i="5"/>
  <c r="N845" i="5" s="1"/>
  <c r="N847" i="5"/>
  <c r="N858" i="5"/>
  <c r="N878" i="5"/>
  <c r="N897" i="5"/>
  <c r="X917" i="5"/>
  <c r="X918" i="5"/>
  <c r="S751" i="5"/>
  <c r="S847" i="5"/>
  <c r="N538" i="5"/>
  <c r="X544" i="5"/>
  <c r="W548" i="5"/>
  <c r="X548" i="5" s="1"/>
  <c r="N607" i="5"/>
  <c r="X632" i="5"/>
  <c r="X645" i="5"/>
  <c r="N658" i="5"/>
  <c r="X721" i="5"/>
  <c r="W724" i="5"/>
  <c r="X724" i="5" s="1"/>
  <c r="W737" i="5"/>
  <c r="X737" i="5" s="1"/>
  <c r="X739" i="5"/>
  <c r="X751" i="5"/>
  <c r="N834" i="5"/>
  <c r="H846" i="5"/>
  <c r="I846" i="5" s="1"/>
  <c r="X847" i="5"/>
  <c r="R875" i="5"/>
  <c r="S875" i="5" s="1"/>
  <c r="M880" i="5"/>
  <c r="X916" i="5"/>
  <c r="N918" i="5"/>
  <c r="X336" i="5"/>
  <c r="X340" i="5"/>
  <c r="X367" i="5"/>
  <c r="N534" i="5"/>
  <c r="N539" i="5"/>
  <c r="N612" i="5"/>
  <c r="X616" i="5"/>
  <c r="S630" i="5"/>
  <c r="N660" i="5"/>
  <c r="N703" i="5"/>
  <c r="N729" i="5"/>
  <c r="Y732" i="5"/>
  <c r="AA732" i="5" s="1"/>
  <c r="N813" i="5"/>
  <c r="X814" i="5"/>
  <c r="N824" i="5"/>
  <c r="N857" i="5"/>
  <c r="N900" i="5"/>
  <c r="N913" i="5"/>
  <c r="Y915" i="5"/>
  <c r="N917" i="5"/>
  <c r="X69" i="5"/>
  <c r="X74" i="5"/>
  <c r="X205" i="5"/>
  <c r="X213" i="5"/>
  <c r="X261" i="5"/>
  <c r="X265" i="5"/>
  <c r="X325" i="5"/>
  <c r="X333" i="5"/>
  <c r="X341" i="5"/>
  <c r="X530" i="5"/>
  <c r="X532" i="5"/>
  <c r="X538" i="5"/>
  <c r="N559" i="5"/>
  <c r="N569" i="5"/>
  <c r="S575" i="5"/>
  <c r="S604" i="5"/>
  <c r="N605" i="5"/>
  <c r="X607" i="5"/>
  <c r="N627" i="5"/>
  <c r="N632" i="5"/>
  <c r="S636" i="5"/>
  <c r="N645" i="5"/>
  <c r="S649" i="5"/>
  <c r="M659" i="5"/>
  <c r="N659" i="5" s="1"/>
  <c r="S674" i="5"/>
  <c r="S688" i="5"/>
  <c r="H700" i="5"/>
  <c r="S703" i="5"/>
  <c r="H707" i="5"/>
  <c r="I717" i="5"/>
  <c r="S729" i="5"/>
  <c r="R737" i="5"/>
  <c r="S737" i="5" s="1"/>
  <c r="R761" i="5"/>
  <c r="S761" i="5" s="1"/>
  <c r="N810" i="5"/>
  <c r="X812" i="5"/>
  <c r="S813" i="5"/>
  <c r="S821" i="5"/>
  <c r="N825" i="5"/>
  <c r="N833" i="5"/>
  <c r="S850" i="5"/>
  <c r="S857" i="5"/>
  <c r="N890" i="5"/>
  <c r="S900" i="5"/>
  <c r="S913" i="5"/>
  <c r="N45" i="5"/>
  <c r="N49" i="5"/>
  <c r="I53" i="5"/>
  <c r="N71" i="5"/>
  <c r="I75" i="5"/>
  <c r="N79" i="5"/>
  <c r="N99" i="5"/>
  <c r="N153" i="5"/>
  <c r="Y173" i="5"/>
  <c r="S177" i="5"/>
  <c r="Y181" i="5"/>
  <c r="Y185" i="5"/>
  <c r="AA185" i="5" s="1"/>
  <c r="Y194" i="5"/>
  <c r="Y202" i="5"/>
  <c r="S210" i="5"/>
  <c r="N218" i="5"/>
  <c r="Y226" i="5"/>
  <c r="N234" i="5"/>
  <c r="Y242" i="5"/>
  <c r="Y258" i="5"/>
  <c r="AA258" i="5" s="1"/>
  <c r="S278" i="5"/>
  <c r="N282" i="5"/>
  <c r="N290" i="5"/>
  <c r="Y302" i="5"/>
  <c r="N322" i="5"/>
  <c r="Y455" i="5"/>
  <c r="AA455" i="5" s="1"/>
  <c r="X534" i="5"/>
  <c r="X573" i="5"/>
  <c r="X575" i="5"/>
  <c r="X649" i="5"/>
  <c r="M650" i="5"/>
  <c r="N650" i="5" s="1"/>
  <c r="X674" i="5"/>
  <c r="I688" i="5"/>
  <c r="H697" i="5"/>
  <c r="X703" i="5"/>
  <c r="W758" i="5"/>
  <c r="X758" i="5" s="1"/>
  <c r="M761" i="5"/>
  <c r="I821" i="5"/>
  <c r="Y887" i="5"/>
  <c r="X895" i="5"/>
  <c r="X900" i="5"/>
  <c r="Y467" i="5"/>
  <c r="AA467" i="5" s="1"/>
  <c r="M542" i="5"/>
  <c r="N542" i="5" s="1"/>
  <c r="N543" i="5"/>
  <c r="N553" i="5"/>
  <c r="S560" i="5"/>
  <c r="Y568" i="5"/>
  <c r="AA568" i="5" s="1"/>
  <c r="S570" i="5"/>
  <c r="N571" i="5"/>
  <c r="N580" i="5"/>
  <c r="N606" i="5"/>
  <c r="R629" i="5"/>
  <c r="S629" i="5" s="1"/>
  <c r="N631" i="5"/>
  <c r="N643" i="5"/>
  <c r="W647" i="5"/>
  <c r="N648" i="5"/>
  <c r="N655" i="5"/>
  <c r="N665" i="5"/>
  <c r="N675" i="5"/>
  <c r="N706" i="5"/>
  <c r="R715" i="5"/>
  <c r="S715" i="5" s="1"/>
  <c r="N738" i="5"/>
  <c r="N811" i="5"/>
  <c r="N828" i="5"/>
  <c r="S848" i="5"/>
  <c r="Y868" i="5"/>
  <c r="Y904" i="5"/>
  <c r="AA904" i="5" s="1"/>
  <c r="Y910" i="5"/>
  <c r="X93" i="5"/>
  <c r="X101" i="5"/>
  <c r="X120" i="5"/>
  <c r="S352" i="5"/>
  <c r="Y479" i="5"/>
  <c r="AA479" i="5" s="1"/>
  <c r="Y518" i="5"/>
  <c r="N524" i="5"/>
  <c r="S527" i="5"/>
  <c r="W529" i="5"/>
  <c r="X529" i="5" s="1"/>
  <c r="N530" i="5"/>
  <c r="I532" i="5"/>
  <c r="I534" i="5"/>
  <c r="R542" i="5"/>
  <c r="S542" i="5" s="1"/>
  <c r="S543" i="5"/>
  <c r="M556" i="5"/>
  <c r="W556" i="5"/>
  <c r="X556" i="5" s="1"/>
  <c r="X560" i="5"/>
  <c r="X579" i="5"/>
  <c r="I605" i="5"/>
  <c r="X605" i="5"/>
  <c r="X612" i="5"/>
  <c r="N617" i="5"/>
  <c r="X628" i="5"/>
  <c r="N636" i="5"/>
  <c r="S643" i="5"/>
  <c r="S648" i="5"/>
  <c r="N649" i="5"/>
  <c r="S655" i="5"/>
  <c r="S665" i="5"/>
  <c r="Y667" i="5"/>
  <c r="AA667" i="5" s="1"/>
  <c r="S675" i="5"/>
  <c r="S706" i="5"/>
  <c r="R707" i="5"/>
  <c r="S707" i="5" s="1"/>
  <c r="N741" i="5"/>
  <c r="H744" i="5"/>
  <c r="S749" i="5"/>
  <c r="R758" i="5"/>
  <c r="S758" i="5" s="1"/>
  <c r="X813" i="5"/>
  <c r="M855" i="5"/>
  <c r="N855" i="5" s="1"/>
  <c r="M860" i="5"/>
  <c r="R860" i="5"/>
  <c r="S860" i="5" s="1"/>
  <c r="R874" i="5"/>
  <c r="S874" i="5" s="1"/>
  <c r="N895" i="5"/>
  <c r="X899" i="5"/>
  <c r="X913" i="5"/>
  <c r="I88" i="5"/>
  <c r="Y347" i="5"/>
  <c r="N347" i="5"/>
  <c r="N359" i="5"/>
  <c r="Y437" i="5"/>
  <c r="AA437" i="5" s="1"/>
  <c r="Y487" i="5"/>
  <c r="AA487" i="5" s="1"/>
  <c r="R520" i="5"/>
  <c r="S520" i="5" s="1"/>
  <c r="X539" i="5"/>
  <c r="M545" i="5"/>
  <c r="N545" i="5" s="1"/>
  <c r="X547" i="5"/>
  <c r="X571" i="5"/>
  <c r="X580" i="5"/>
  <c r="H629" i="5"/>
  <c r="H647" i="5"/>
  <c r="X655" i="5"/>
  <c r="R659" i="5"/>
  <c r="S659" i="5" s="1"/>
  <c r="X665" i="5"/>
  <c r="M740" i="5"/>
  <c r="N740" i="5" s="1"/>
  <c r="R745" i="5"/>
  <c r="S745" i="5" s="1"/>
  <c r="R748" i="5"/>
  <c r="S748" i="5" s="1"/>
  <c r="W748" i="5"/>
  <c r="X748" i="5" s="1"/>
  <c r="W750" i="5"/>
  <c r="I848" i="5"/>
  <c r="I857" i="5"/>
  <c r="X857" i="5"/>
  <c r="Y892" i="5"/>
  <c r="AA892" i="5" s="1"/>
  <c r="N896" i="5"/>
  <c r="Y34" i="5"/>
  <c r="Y45" i="5"/>
  <c r="Y53" i="5"/>
  <c r="X107" i="5"/>
  <c r="Y113" i="5"/>
  <c r="Y134" i="5"/>
  <c r="Y146" i="5"/>
  <c r="X150" i="5"/>
  <c r="Y186" i="5"/>
  <c r="Y195" i="5"/>
  <c r="Y203" i="5"/>
  <c r="Y219" i="5"/>
  <c r="Y227" i="5"/>
  <c r="Y243" i="5"/>
  <c r="Y255" i="5"/>
  <c r="X255" i="5"/>
  <c r="Y259" i="5"/>
  <c r="Y283" i="5"/>
  <c r="Y307" i="5"/>
  <c r="X311" i="5"/>
  <c r="Y323" i="5"/>
  <c r="Y327" i="5"/>
  <c r="X327" i="5"/>
  <c r="Y331" i="5"/>
  <c r="AA331" i="5" s="1"/>
  <c r="X334" i="5"/>
  <c r="X365" i="5"/>
  <c r="Y425" i="5"/>
  <c r="AA425" i="5" s="1"/>
  <c r="I455" i="5"/>
  <c r="I467" i="5"/>
  <c r="I487" i="5"/>
  <c r="W520" i="5"/>
  <c r="N527" i="5"/>
  <c r="N546" i="5"/>
  <c r="N568" i="5"/>
  <c r="S741" i="5"/>
  <c r="X741" i="5"/>
  <c r="N832" i="5"/>
  <c r="S58" i="5"/>
  <c r="I62" i="5"/>
  <c r="N80" i="5"/>
  <c r="Y85" i="5"/>
  <c r="Y104" i="5"/>
  <c r="X104" i="5"/>
  <c r="I108" i="5"/>
  <c r="Y114" i="5"/>
  <c r="Y155" i="5"/>
  <c r="AA155" i="5" s="1"/>
  <c r="Y159" i="5"/>
  <c r="N159" i="5"/>
  <c r="X163" i="5"/>
  <c r="I167" i="5"/>
  <c r="S171" i="5"/>
  <c r="S196" i="5"/>
  <c r="X220" i="5"/>
  <c r="Y224" i="5"/>
  <c r="S244" i="5"/>
  <c r="S252" i="5"/>
  <c r="Y268" i="5"/>
  <c r="Y272" i="5"/>
  <c r="X272" i="5"/>
  <c r="N276" i="5"/>
  <c r="Y284" i="5"/>
  <c r="S300" i="5"/>
  <c r="Y308" i="5"/>
  <c r="S316" i="5"/>
  <c r="X320" i="5"/>
  <c r="Y332" i="5"/>
  <c r="X335" i="5"/>
  <c r="Y339" i="5"/>
  <c r="AA339" i="5" s="1"/>
  <c r="Y384" i="5"/>
  <c r="AA384" i="5" s="1"/>
  <c r="Y419" i="5"/>
  <c r="AA419" i="5" s="1"/>
  <c r="Y423" i="5"/>
  <c r="AA423" i="5" s="1"/>
  <c r="Y444" i="5"/>
  <c r="AA444" i="5" s="1"/>
  <c r="N479" i="5"/>
  <c r="Y500" i="5"/>
  <c r="AA500" i="5" s="1"/>
  <c r="N522" i="5"/>
  <c r="S534" i="5"/>
  <c r="Y539" i="5"/>
  <c r="AA539" i="5" s="1"/>
  <c r="N541" i="5"/>
  <c r="N547" i="5"/>
  <c r="S553" i="5"/>
  <c r="S568" i="5"/>
  <c r="N644" i="5"/>
  <c r="S832" i="5"/>
  <c r="X57" i="5"/>
  <c r="Y61" i="5"/>
  <c r="I61" i="5"/>
  <c r="I103" i="5"/>
  <c r="Y107" i="5"/>
  <c r="AA107" i="5" s="1"/>
  <c r="I46" i="5"/>
  <c r="S50" i="5"/>
  <c r="I51" i="5"/>
  <c r="N55" i="5"/>
  <c r="I59" i="5"/>
  <c r="N63" i="5"/>
  <c r="I87" i="5"/>
  <c r="Y101" i="5"/>
  <c r="Y105" i="5"/>
  <c r="S105" i="5"/>
  <c r="N109" i="5"/>
  <c r="N115" i="5"/>
  <c r="Y120" i="5"/>
  <c r="N144" i="5"/>
  <c r="Y152" i="5"/>
  <c r="AA152" i="5" s="1"/>
  <c r="I160" i="5"/>
  <c r="N168" i="5"/>
  <c r="Y172" i="5"/>
  <c r="Y188" i="5"/>
  <c r="Y193" i="5"/>
  <c r="Y197" i="5"/>
  <c r="Y201" i="5"/>
  <c r="Y205" i="5"/>
  <c r="N209" i="5"/>
  <c r="N217" i="5"/>
  <c r="N225" i="5"/>
  <c r="N241" i="5"/>
  <c r="N249" i="5"/>
  <c r="Y277" i="5"/>
  <c r="Y336" i="5"/>
  <c r="Y363" i="5"/>
  <c r="Y367" i="5"/>
  <c r="Y491" i="5"/>
  <c r="AA491" i="5" s="1"/>
  <c r="X521" i="5"/>
  <c r="N523" i="5"/>
  <c r="S524" i="5"/>
  <c r="Y526" i="5"/>
  <c r="AA526" i="5" s="1"/>
  <c r="S541" i="5"/>
  <c r="N544" i="5"/>
  <c r="Y551" i="5"/>
  <c r="I559" i="5"/>
  <c r="N570" i="5"/>
  <c r="X572" i="5"/>
  <c r="N628" i="5"/>
  <c r="N637" i="5"/>
  <c r="S812" i="5"/>
  <c r="N850" i="5"/>
  <c r="M609" i="5"/>
  <c r="N609" i="5" s="1"/>
  <c r="X627" i="5"/>
  <c r="N651" i="5"/>
  <c r="Y652" i="5"/>
  <c r="Y653" i="5"/>
  <c r="Y654" i="5"/>
  <c r="S660" i="5"/>
  <c r="M663" i="5"/>
  <c r="N663" i="5" s="1"/>
  <c r="N696" i="5"/>
  <c r="Y698" i="5"/>
  <c r="W707" i="5"/>
  <c r="X707" i="5" s="1"/>
  <c r="M715" i="5"/>
  <c r="N715" i="5" s="1"/>
  <c r="N720" i="5"/>
  <c r="N732" i="5"/>
  <c r="N747" i="5"/>
  <c r="X750" i="5"/>
  <c r="X760" i="5"/>
  <c r="Y811" i="5"/>
  <c r="AA811" i="5" s="1"/>
  <c r="X811" i="5"/>
  <c r="N815" i="5"/>
  <c r="N829" i="5"/>
  <c r="N835" i="5"/>
  <c r="Y840" i="5"/>
  <c r="AA840" i="5" s="1"/>
  <c r="Y852" i="5"/>
  <c r="Y872" i="5"/>
  <c r="Y873" i="5"/>
  <c r="Y894" i="5"/>
  <c r="AA894" i="5" s="1"/>
  <c r="Y912" i="5"/>
  <c r="AA912" i="5" s="1"/>
  <c r="N921" i="5"/>
  <c r="Y923" i="5"/>
  <c r="AA923" i="5" s="1"/>
  <c r="S569" i="5"/>
  <c r="X570" i="5"/>
  <c r="S571" i="5"/>
  <c r="N579" i="5"/>
  <c r="I580" i="5"/>
  <c r="X604" i="5"/>
  <c r="S607" i="5"/>
  <c r="Y610" i="5"/>
  <c r="Z610" i="5" s="1"/>
  <c r="S612" i="5"/>
  <c r="X625" i="5"/>
  <c r="S627" i="5"/>
  <c r="W629" i="5"/>
  <c r="X631" i="5"/>
  <c r="W633" i="5"/>
  <c r="X633" i="5" s="1"/>
  <c r="S637" i="5"/>
  <c r="H639" i="5"/>
  <c r="Y641" i="5"/>
  <c r="Y642" i="5"/>
  <c r="Z642" i="5" s="1"/>
  <c r="I642" i="5" s="1"/>
  <c r="S644" i="5"/>
  <c r="Y646" i="5"/>
  <c r="R650" i="5"/>
  <c r="S651" i="5"/>
  <c r="Y656" i="5"/>
  <c r="X658" i="5"/>
  <c r="Y661" i="5"/>
  <c r="W662" i="5"/>
  <c r="X662" i="5" s="1"/>
  <c r="H663" i="5"/>
  <c r="S673" i="5"/>
  <c r="N674" i="5"/>
  <c r="X675" i="5"/>
  <c r="S681" i="5"/>
  <c r="X695" i="5"/>
  <c r="S696" i="5"/>
  <c r="M699" i="5"/>
  <c r="N699" i="5" s="1"/>
  <c r="S701" i="5"/>
  <c r="N702" i="5"/>
  <c r="Y703" i="5"/>
  <c r="AA703" i="5" s="1"/>
  <c r="X706" i="5"/>
  <c r="M707" i="5"/>
  <c r="N707" i="5" s="1"/>
  <c r="S709" i="5"/>
  <c r="N710" i="5"/>
  <c r="Y712" i="5"/>
  <c r="R716" i="5"/>
  <c r="S716" i="5" s="1"/>
  <c r="N721" i="5"/>
  <c r="S732" i="5"/>
  <c r="M737" i="5"/>
  <c r="N737" i="5" s="1"/>
  <c r="S739" i="5"/>
  <c r="R742" i="5"/>
  <c r="S742" i="5" s="1"/>
  <c r="S747" i="5"/>
  <c r="M757" i="5"/>
  <c r="N757" i="5" s="1"/>
  <c r="R757" i="5"/>
  <c r="S757" i="5" s="1"/>
  <c r="Y760" i="5"/>
  <c r="AA760" i="5" s="1"/>
  <c r="S810" i="5"/>
  <c r="S815" i="5"/>
  <c r="Y818" i="5"/>
  <c r="Y819" i="5"/>
  <c r="Y820" i="5"/>
  <c r="Z820" i="5" s="1"/>
  <c r="X820" i="5" s="1"/>
  <c r="X821" i="5"/>
  <c r="S824" i="5"/>
  <c r="X828" i="5"/>
  <c r="S829" i="5"/>
  <c r="N836" i="5"/>
  <c r="Y849" i="5"/>
  <c r="W855" i="5"/>
  <c r="X855" i="5" s="1"/>
  <c r="X858" i="5"/>
  <c r="S859" i="5"/>
  <c r="H860" i="5"/>
  <c r="I860" i="5" s="1"/>
  <c r="R869" i="5"/>
  <c r="S869" i="5" s="1"/>
  <c r="M875" i="5"/>
  <c r="N875" i="5" s="1"/>
  <c r="X890" i="5"/>
  <c r="N912" i="5"/>
  <c r="S921" i="5"/>
  <c r="S572" i="5"/>
  <c r="N576" i="5"/>
  <c r="Y598" i="5"/>
  <c r="Z598" i="5" s="1"/>
  <c r="S598" i="5" s="1"/>
  <c r="R611" i="5"/>
  <c r="S611" i="5" s="1"/>
  <c r="W613" i="5"/>
  <c r="I616" i="5"/>
  <c r="X619" i="5"/>
  <c r="Y623" i="5"/>
  <c r="I628" i="5"/>
  <c r="Y631" i="5"/>
  <c r="AA631" i="5" s="1"/>
  <c r="R633" i="5"/>
  <c r="S633" i="5" s="1"/>
  <c r="R640" i="5"/>
  <c r="S640" i="5" s="1"/>
  <c r="I644" i="5"/>
  <c r="X644" i="5"/>
  <c r="S645" i="5"/>
  <c r="X651" i="5"/>
  <c r="W659" i="5"/>
  <c r="X659" i="5" s="1"/>
  <c r="R662" i="5"/>
  <c r="R663" i="5"/>
  <c r="S663" i="5" s="1"/>
  <c r="W663" i="5"/>
  <c r="X673" i="5"/>
  <c r="Y692" i="5"/>
  <c r="Z692" i="5" s="1"/>
  <c r="Y693" i="5"/>
  <c r="X696" i="5"/>
  <c r="M697" i="5"/>
  <c r="N697" i="5" s="1"/>
  <c r="X701" i="5"/>
  <c r="Y705" i="5"/>
  <c r="Y706" i="5"/>
  <c r="AA706" i="5" s="1"/>
  <c r="X709" i="5"/>
  <c r="S710" i="5"/>
  <c r="M716" i="5"/>
  <c r="N716" i="5" s="1"/>
  <c r="X720" i="5"/>
  <c r="S721" i="5"/>
  <c r="M723" i="5"/>
  <c r="N723" i="5" s="1"/>
  <c r="W723" i="5"/>
  <c r="X723" i="5" s="1"/>
  <c r="R724" i="5"/>
  <c r="S724" i="5" s="1"/>
  <c r="Y726" i="5"/>
  <c r="X732" i="5"/>
  <c r="S738" i="5"/>
  <c r="I741" i="5"/>
  <c r="M750" i="5"/>
  <c r="N750" i="5" s="1"/>
  <c r="R750" i="5"/>
  <c r="S750" i="5" s="1"/>
  <c r="W761" i="5"/>
  <c r="I810" i="5"/>
  <c r="X810" i="5"/>
  <c r="N812" i="5"/>
  <c r="X815" i="5"/>
  <c r="X822" i="5"/>
  <c r="I824" i="5"/>
  <c r="X824" i="5"/>
  <c r="X829" i="5"/>
  <c r="Y831" i="5"/>
  <c r="I832" i="5"/>
  <c r="X832" i="5"/>
  <c r="X835" i="5"/>
  <c r="I850" i="5"/>
  <c r="X850" i="5"/>
  <c r="R855" i="5"/>
  <c r="S855" i="5" s="1"/>
  <c r="M869" i="5"/>
  <c r="N869" i="5" s="1"/>
  <c r="Y920" i="5"/>
  <c r="AA920" i="5" s="1"/>
  <c r="X921" i="5"/>
  <c r="I874" i="5"/>
  <c r="I93" i="5"/>
  <c r="I200" i="5"/>
  <c r="X48" i="5"/>
  <c r="N300" i="5"/>
  <c r="S344" i="5"/>
  <c r="Y759" i="5"/>
  <c r="Z759" i="5" s="1"/>
  <c r="S759" i="5" s="1"/>
  <c r="X307" i="5"/>
  <c r="N328" i="5"/>
  <c r="I153" i="5"/>
  <c r="N237" i="5"/>
  <c r="I136" i="5"/>
  <c r="N64" i="5"/>
  <c r="N340" i="5"/>
  <c r="N193" i="5"/>
  <c r="I198" i="5"/>
  <c r="I224" i="5"/>
  <c r="I247" i="5"/>
  <c r="N258" i="5"/>
  <c r="I296" i="5"/>
  <c r="I306" i="5"/>
  <c r="N308" i="5"/>
  <c r="N323" i="5"/>
  <c r="N339" i="5"/>
  <c r="Y342" i="5"/>
  <c r="AA342" i="5" s="1"/>
  <c r="X342" i="5"/>
  <c r="Y349" i="5"/>
  <c r="S349" i="5"/>
  <c r="X356" i="5"/>
  <c r="S364" i="5"/>
  <c r="Y396" i="5"/>
  <c r="AA396" i="5" s="1"/>
  <c r="Y402" i="5"/>
  <c r="AA402" i="5" s="1"/>
  <c r="I437" i="5"/>
  <c r="Y472" i="5"/>
  <c r="AA472" i="5" s="1"/>
  <c r="I472" i="5"/>
  <c r="X65" i="5"/>
  <c r="Y71" i="5"/>
  <c r="AA71" i="5" s="1"/>
  <c r="I113" i="5"/>
  <c r="I174" i="5"/>
  <c r="X187" i="5"/>
  <c r="I191" i="5"/>
  <c r="I199" i="5"/>
  <c r="N201" i="5"/>
  <c r="I206" i="5"/>
  <c r="N213" i="5"/>
  <c r="Y214" i="5"/>
  <c r="AA214" i="5" s="1"/>
  <c r="X214" i="5"/>
  <c r="X221" i="5"/>
  <c r="I231" i="5"/>
  <c r="Y239" i="5"/>
  <c r="AA239" i="5" s="1"/>
  <c r="I239" i="5"/>
  <c r="I248" i="5"/>
  <c r="Y256" i="5"/>
  <c r="I256" i="5"/>
  <c r="X262" i="5"/>
  <c r="I266" i="5"/>
  <c r="I269" i="5"/>
  <c r="X279" i="5"/>
  <c r="X285" i="5"/>
  <c r="I289" i="5"/>
  <c r="X293" i="5"/>
  <c r="I297" i="5"/>
  <c r="I313" i="5"/>
  <c r="X317" i="5"/>
  <c r="I321" i="5"/>
  <c r="Y328" i="5"/>
  <c r="AA328" i="5" s="1"/>
  <c r="X328" i="5"/>
  <c r="N331" i="5"/>
  <c r="I337" i="5"/>
  <c r="I344" i="5"/>
  <c r="N351" i="5"/>
  <c r="Y357" i="5"/>
  <c r="AA357" i="5" s="1"/>
  <c r="Y362" i="5"/>
  <c r="AA362" i="5" s="1"/>
  <c r="Y365" i="5"/>
  <c r="AA365" i="5" s="1"/>
  <c r="Y441" i="5"/>
  <c r="AA441" i="5" s="1"/>
  <c r="Y473" i="5"/>
  <c r="AA473" i="5" s="1"/>
  <c r="I473" i="5"/>
  <c r="I171" i="5"/>
  <c r="Y46" i="5"/>
  <c r="Y54" i="5"/>
  <c r="AA54" i="5" s="1"/>
  <c r="N61" i="5"/>
  <c r="Y62" i="5"/>
  <c r="Y79" i="5"/>
  <c r="AA79" i="5" s="1"/>
  <c r="X102" i="5"/>
  <c r="Y123" i="5"/>
  <c r="AA123" i="5" s="1"/>
  <c r="Y135" i="5"/>
  <c r="AA135" i="5" s="1"/>
  <c r="X135" i="5"/>
  <c r="X156" i="5"/>
  <c r="Y47" i="5"/>
  <c r="S47" i="5"/>
  <c r="Y51" i="5"/>
  <c r="Y59" i="5"/>
  <c r="S67" i="5"/>
  <c r="Y72" i="5"/>
  <c r="AA72" i="5" s="1"/>
  <c r="X90" i="5"/>
  <c r="X95" i="5"/>
  <c r="Y103" i="5"/>
  <c r="Y117" i="5"/>
  <c r="AA117" i="5" s="1"/>
  <c r="Y118" i="5"/>
  <c r="AA118" i="5" s="1"/>
  <c r="S118" i="5"/>
  <c r="Y126" i="5"/>
  <c r="AA126" i="5" s="1"/>
  <c r="X136" i="5"/>
  <c r="Y140" i="5"/>
  <c r="AA140" i="5" s="1"/>
  <c r="X140" i="5"/>
  <c r="Y144" i="5"/>
  <c r="I148" i="5"/>
  <c r="X154" i="5"/>
  <c r="S157" i="5"/>
  <c r="I161" i="5"/>
  <c r="X165" i="5"/>
  <c r="Y169" i="5"/>
  <c r="X172" i="5"/>
  <c r="I175" i="5"/>
  <c r="S179" i="5"/>
  <c r="Y182" i="5"/>
  <c r="I182" i="5"/>
  <c r="I192" i="5"/>
  <c r="N194" i="5"/>
  <c r="S204" i="5"/>
  <c r="I207" i="5"/>
  <c r="S211" i="5"/>
  <c r="Y215" i="5"/>
  <c r="AA215" i="5" s="1"/>
  <c r="I215" i="5"/>
  <c r="Y222" i="5"/>
  <c r="I222" i="5"/>
  <c r="S228" i="5"/>
  <c r="I232" i="5"/>
  <c r="S236" i="5"/>
  <c r="Y240" i="5"/>
  <c r="N242" i="5"/>
  <c r="X245" i="5"/>
  <c r="X253" i="5"/>
  <c r="Y257" i="5"/>
  <c r="I257" i="5"/>
  <c r="N262" i="5"/>
  <c r="I263" i="5"/>
  <c r="Y270" i="5"/>
  <c r="I270" i="5"/>
  <c r="I273" i="5"/>
  <c r="Y280" i="5"/>
  <c r="X286" i="5"/>
  <c r="I298" i="5"/>
  <c r="I304" i="5"/>
  <c r="N307" i="5"/>
  <c r="S318" i="5"/>
  <c r="I329" i="5"/>
  <c r="I338" i="5"/>
  <c r="Y345" i="5"/>
  <c r="Y366" i="5"/>
  <c r="Y374" i="5"/>
  <c r="AA374" i="5" s="1"/>
  <c r="Y380" i="5"/>
  <c r="AA380" i="5" s="1"/>
  <c r="I384" i="5"/>
  <c r="Y420" i="5"/>
  <c r="AA420" i="5" s="1"/>
  <c r="N423" i="5"/>
  <c r="I425" i="5"/>
  <c r="I444" i="5"/>
  <c r="I83" i="5"/>
  <c r="AA159" i="5"/>
  <c r="Y65" i="5"/>
  <c r="Y84" i="5"/>
  <c r="AA84" i="5" s="1"/>
  <c r="I84" i="5"/>
  <c r="X94" i="5"/>
  <c r="I120" i="5"/>
  <c r="X147" i="5"/>
  <c r="X164" i="5"/>
  <c r="Y55" i="5"/>
  <c r="AA55" i="5" s="1"/>
  <c r="Y63" i="5"/>
  <c r="Y76" i="5"/>
  <c r="AA76" i="5" s="1"/>
  <c r="X44" i="5"/>
  <c r="Y48" i="5"/>
  <c r="AA48" i="5" s="1"/>
  <c r="N48" i="5"/>
  <c r="X52" i="5"/>
  <c r="X60" i="5"/>
  <c r="Y64" i="5"/>
  <c r="AA64" i="5" s="1"/>
  <c r="Y68" i="5"/>
  <c r="Y73" i="5"/>
  <c r="AA73" i="5" s="1"/>
  <c r="S73" i="5"/>
  <c r="I77" i="5"/>
  <c r="Y82" i="5"/>
  <c r="Y94" i="5"/>
  <c r="AA94" i="5" s="1"/>
  <c r="Y96" i="5"/>
  <c r="N100" i="5"/>
  <c r="I106" i="5"/>
  <c r="N111" i="5"/>
  <c r="I119" i="5"/>
  <c r="S137" i="5"/>
  <c r="X141" i="5"/>
  <c r="N145" i="5"/>
  <c r="Y149" i="5"/>
  <c r="X149" i="5"/>
  <c r="S162" i="5"/>
  <c r="I166" i="5"/>
  <c r="S170" i="5"/>
  <c r="N176" i="5"/>
  <c r="X180" i="5"/>
  <c r="Y183" i="5"/>
  <c r="I183" i="5"/>
  <c r="X188" i="5"/>
  <c r="X197" i="5"/>
  <c r="N200" i="5"/>
  <c r="I202" i="5"/>
  <c r="X212" i="5"/>
  <c r="Y216" i="5"/>
  <c r="I216" i="5"/>
  <c r="S219" i="5"/>
  <c r="Y223" i="5"/>
  <c r="AA223" i="5" s="1"/>
  <c r="I223" i="5"/>
  <c r="N226" i="5"/>
  <c r="X229" i="5"/>
  <c r="N233" i="5"/>
  <c r="X237" i="5"/>
  <c r="I240" i="5"/>
  <c r="X246" i="5"/>
  <c r="N250" i="5"/>
  <c r="X254" i="5"/>
  <c r="S260" i="5"/>
  <c r="Y264" i="5"/>
  <c r="X264" i="5"/>
  <c r="Y269" i="5"/>
  <c r="AA269" i="5" s="1"/>
  <c r="I274" i="5"/>
  <c r="S277" i="5"/>
  <c r="I281" i="5"/>
  <c r="Y287" i="5"/>
  <c r="I287" i="5"/>
  <c r="N291" i="5"/>
  <c r="X295" i="5"/>
  <c r="N299" i="5"/>
  <c r="I305" i="5"/>
  <c r="N315" i="5"/>
  <c r="Y319" i="5"/>
  <c r="AA319" i="5" s="1"/>
  <c r="I319" i="5"/>
  <c r="Y335" i="5"/>
  <c r="N363" i="5"/>
  <c r="Y375" i="5"/>
  <c r="AA375" i="5" s="1"/>
  <c r="Y378" i="5"/>
  <c r="AA378" i="5" s="1"/>
  <c r="Y395" i="5"/>
  <c r="AA395" i="5" s="1"/>
  <c r="Y409" i="5"/>
  <c r="AA409" i="5" s="1"/>
  <c r="Y413" i="5"/>
  <c r="AA413" i="5" s="1"/>
  <c r="Y428" i="5"/>
  <c r="AA428" i="5" s="1"/>
  <c r="Y445" i="5"/>
  <c r="AA445" i="5" s="1"/>
  <c r="I445" i="5"/>
  <c r="Y461" i="5"/>
  <c r="AA461" i="5" s="1"/>
  <c r="I461" i="5"/>
  <c r="Y457" i="5"/>
  <c r="AA457" i="5" s="1"/>
  <c r="Y468" i="5"/>
  <c r="AA468" i="5" s="1"/>
  <c r="Y471" i="5"/>
  <c r="AA471" i="5" s="1"/>
  <c r="Y480" i="5"/>
  <c r="AA480" i="5" s="1"/>
  <c r="I491" i="5"/>
  <c r="Y499" i="5"/>
  <c r="AA499" i="5" s="1"/>
  <c r="M516" i="5"/>
  <c r="N516" i="5" s="1"/>
  <c r="S521" i="5"/>
  <c r="I522" i="5"/>
  <c r="X522" i="5"/>
  <c r="I524" i="5"/>
  <c r="X524" i="5"/>
  <c r="I527" i="5"/>
  <c r="S530" i="5"/>
  <c r="N536" i="5"/>
  <c r="Y537" i="5"/>
  <c r="AA537" i="5" s="1"/>
  <c r="N537" i="5"/>
  <c r="S538" i="5"/>
  <c r="X540" i="5"/>
  <c r="W545" i="5"/>
  <c r="X545" i="5" s="1"/>
  <c r="X546" i="5"/>
  <c r="S547" i="5"/>
  <c r="N548" i="5"/>
  <c r="M550" i="5"/>
  <c r="X553" i="5"/>
  <c r="X569" i="5"/>
  <c r="N572" i="5"/>
  <c r="S573" i="5"/>
  <c r="N575" i="5"/>
  <c r="S577" i="5"/>
  <c r="S579" i="5"/>
  <c r="S606" i="5"/>
  <c r="I607" i="5"/>
  <c r="Y450" i="5"/>
  <c r="AA450" i="5" s="1"/>
  <c r="Y465" i="5"/>
  <c r="AA465" i="5" s="1"/>
  <c r="Y469" i="5"/>
  <c r="AA469" i="5" s="1"/>
  <c r="I500" i="5"/>
  <c r="R519" i="5"/>
  <c r="S519" i="5" s="1"/>
  <c r="M520" i="5"/>
  <c r="N520" i="5" s="1"/>
  <c r="Y521" i="5"/>
  <c r="AA521" i="5" s="1"/>
  <c r="X523" i="5"/>
  <c r="X526" i="5"/>
  <c r="I529" i="5"/>
  <c r="I530" i="5"/>
  <c r="N540" i="5"/>
  <c r="I541" i="5"/>
  <c r="I542" i="5"/>
  <c r="W542" i="5"/>
  <c r="X542" i="5" s="1"/>
  <c r="I543" i="5"/>
  <c r="X543" i="5"/>
  <c r="S544" i="5"/>
  <c r="W549" i="5"/>
  <c r="X549" i="5" s="1"/>
  <c r="H550" i="5"/>
  <c r="R550" i="5"/>
  <c r="S550" i="5" s="1"/>
  <c r="W550" i="5"/>
  <c r="N560" i="5"/>
  <c r="I568" i="5"/>
  <c r="X568" i="5"/>
  <c r="Y573" i="5"/>
  <c r="AA573" i="5" s="1"/>
  <c r="X576" i="5"/>
  <c r="H578" i="5"/>
  <c r="I578" i="5" s="1"/>
  <c r="I579" i="5"/>
  <c r="S580" i="5"/>
  <c r="X606" i="5"/>
  <c r="I658" i="5"/>
  <c r="Y658" i="5"/>
  <c r="AA658" i="5" s="1"/>
  <c r="Y477" i="5"/>
  <c r="AA477" i="5" s="1"/>
  <c r="Y481" i="5"/>
  <c r="AA481" i="5" s="1"/>
  <c r="Y489" i="5"/>
  <c r="AA489" i="5" s="1"/>
  <c r="Y497" i="5"/>
  <c r="AA497" i="5" s="1"/>
  <c r="W516" i="5"/>
  <c r="X516" i="5" s="1"/>
  <c r="W519" i="5"/>
  <c r="X519" i="5" s="1"/>
  <c r="H520" i="5"/>
  <c r="X520" i="5"/>
  <c r="S522" i="5"/>
  <c r="Y535" i="5"/>
  <c r="I536" i="5"/>
  <c r="S540" i="5"/>
  <c r="Y546" i="5"/>
  <c r="AA546" i="5" s="1"/>
  <c r="I548" i="5"/>
  <c r="N573" i="5"/>
  <c r="I575" i="5"/>
  <c r="I604" i="5"/>
  <c r="Y620" i="5"/>
  <c r="AA620" i="5" s="1"/>
  <c r="X648" i="5"/>
  <c r="M662" i="5"/>
  <c r="N662" i="5" s="1"/>
  <c r="Y664" i="5"/>
  <c r="Z664" i="5" s="1"/>
  <c r="I664" i="5" s="1"/>
  <c r="I667" i="5"/>
  <c r="I673" i="5"/>
  <c r="Y695" i="5"/>
  <c r="AA695" i="5" s="1"/>
  <c r="Y702" i="5"/>
  <c r="AA702" i="5" s="1"/>
  <c r="I703" i="5"/>
  <c r="I706" i="5"/>
  <c r="Y714" i="5"/>
  <c r="S720" i="5"/>
  <c r="I723" i="5"/>
  <c r="R740" i="5"/>
  <c r="S740" i="5" s="1"/>
  <c r="I760" i="5"/>
  <c r="I820" i="5"/>
  <c r="Y842" i="5"/>
  <c r="Y857" i="5"/>
  <c r="AA857" i="5" s="1"/>
  <c r="H880" i="5"/>
  <c r="Y897" i="5"/>
  <c r="AA897" i="5" s="1"/>
  <c r="N901" i="5"/>
  <c r="S904" i="5"/>
  <c r="Y907" i="5"/>
  <c r="I912" i="5"/>
  <c r="W611" i="5"/>
  <c r="X611" i="5" s="1"/>
  <c r="S616" i="5"/>
  <c r="N618" i="5"/>
  <c r="I619" i="5"/>
  <c r="S625" i="5"/>
  <c r="Y630" i="5"/>
  <c r="AA630" i="5" s="1"/>
  <c r="I631" i="5"/>
  <c r="M633" i="5"/>
  <c r="N633" i="5" s="1"/>
  <c r="X634" i="5"/>
  <c r="N635" i="5"/>
  <c r="X636" i="5"/>
  <c r="X637" i="5"/>
  <c r="X638" i="5"/>
  <c r="Y643" i="5"/>
  <c r="AA643" i="5" s="1"/>
  <c r="R647" i="5"/>
  <c r="S647" i="5" s="1"/>
  <c r="H662" i="5"/>
  <c r="X663" i="5"/>
  <c r="I674" i="5"/>
  <c r="N695" i="5"/>
  <c r="W697" i="5"/>
  <c r="X697" i="5" s="1"/>
  <c r="M700" i="5"/>
  <c r="N700" i="5" s="1"/>
  <c r="I701" i="5"/>
  <c r="I702" i="5"/>
  <c r="R723" i="5"/>
  <c r="S723" i="5" s="1"/>
  <c r="Y743" i="5"/>
  <c r="AA743" i="5" s="1"/>
  <c r="N749" i="5"/>
  <c r="H750" i="5"/>
  <c r="N751" i="5"/>
  <c r="Y813" i="5"/>
  <c r="AA813" i="5" s="1"/>
  <c r="Y814" i="5"/>
  <c r="AA814" i="5" s="1"/>
  <c r="Y817" i="5"/>
  <c r="AA817" i="5" s="1"/>
  <c r="X823" i="5"/>
  <c r="Y824" i="5"/>
  <c r="AA824" i="5" s="1"/>
  <c r="I840" i="5"/>
  <c r="W860" i="5"/>
  <c r="X860" i="5" s="1"/>
  <c r="Y861" i="5"/>
  <c r="Z861" i="5" s="1"/>
  <c r="Y863" i="5"/>
  <c r="Y879" i="5"/>
  <c r="AA879" i="5" s="1"/>
  <c r="X904" i="5"/>
  <c r="M629" i="5"/>
  <c r="H633" i="5"/>
  <c r="I633" i="5" s="1"/>
  <c r="Y638" i="5"/>
  <c r="AA638" i="5" s="1"/>
  <c r="S638" i="5"/>
  <c r="W639" i="5"/>
  <c r="X639" i="5" s="1"/>
  <c r="H640" i="5"/>
  <c r="I640" i="5" s="1"/>
  <c r="M647" i="5"/>
  <c r="Y647" i="5" s="1"/>
  <c r="AA647" i="5" s="1"/>
  <c r="W650" i="5"/>
  <c r="X660" i="5"/>
  <c r="Y666" i="5"/>
  <c r="AA666" i="5" s="1"/>
  <c r="X681" i="5"/>
  <c r="W699" i="5"/>
  <c r="X699" i="5" s="1"/>
  <c r="W700" i="5"/>
  <c r="X700" i="5" s="1"/>
  <c r="N701" i="5"/>
  <c r="S702" i="5"/>
  <c r="N709" i="5"/>
  <c r="W715" i="5"/>
  <c r="M717" i="5"/>
  <c r="N717" i="5" s="1"/>
  <c r="Y729" i="5"/>
  <c r="AA729" i="5" s="1"/>
  <c r="X729" i="5"/>
  <c r="I732" i="5"/>
  <c r="M742" i="5"/>
  <c r="N742" i="5" s="1"/>
  <c r="N743" i="5"/>
  <c r="R746" i="5"/>
  <c r="S746" i="5" s="1"/>
  <c r="W757" i="5"/>
  <c r="X757" i="5" s="1"/>
  <c r="X761" i="5"/>
  <c r="I813" i="5"/>
  <c r="Y823" i="5"/>
  <c r="AA823" i="5" s="1"/>
  <c r="M827" i="5"/>
  <c r="N827" i="5" s="1"/>
  <c r="W827" i="5"/>
  <c r="X827" i="5" s="1"/>
  <c r="I830" i="5"/>
  <c r="Y834" i="5"/>
  <c r="AA834" i="5" s="1"/>
  <c r="X834" i="5"/>
  <c r="Y859" i="5"/>
  <c r="AA859" i="5" s="1"/>
  <c r="I892" i="5"/>
  <c r="X892" i="5"/>
  <c r="I894" i="5"/>
  <c r="N894" i="5"/>
  <c r="S895" i="5"/>
  <c r="Y896" i="5"/>
  <c r="AA896" i="5" s="1"/>
  <c r="I904" i="5"/>
  <c r="R609" i="5"/>
  <c r="S609" i="5" s="1"/>
  <c r="M611" i="5"/>
  <c r="N611" i="5" s="1"/>
  <c r="H613" i="5"/>
  <c r="I613" i="5" s="1"/>
  <c r="R613" i="5"/>
  <c r="S613" i="5" s="1"/>
  <c r="Y624" i="5"/>
  <c r="Z624" i="5" s="1"/>
  <c r="S624" i="5" s="1"/>
  <c r="I626" i="5"/>
  <c r="X635" i="5"/>
  <c r="Y637" i="5"/>
  <c r="AA637" i="5" s="1"/>
  <c r="N638" i="5"/>
  <c r="M639" i="5"/>
  <c r="R639" i="5"/>
  <c r="S639" i="5" s="1"/>
  <c r="M640" i="5"/>
  <c r="H650" i="5"/>
  <c r="I650" i="5" s="1"/>
  <c r="I681" i="5"/>
  <c r="W717" i="5"/>
  <c r="X717" i="5" s="1"/>
  <c r="Y722" i="5"/>
  <c r="M724" i="5"/>
  <c r="N724" i="5" s="1"/>
  <c r="X738" i="5"/>
  <c r="R744" i="5"/>
  <c r="S744" i="5" s="1"/>
  <c r="W744" i="5"/>
  <c r="X744" i="5" s="1"/>
  <c r="X747" i="5"/>
  <c r="M748" i="5"/>
  <c r="N748" i="5" s="1"/>
  <c r="X749" i="5"/>
  <c r="Y822" i="5"/>
  <c r="AA822" i="5" s="1"/>
  <c r="N822" i="5"/>
  <c r="Y825" i="5"/>
  <c r="AA825" i="5" s="1"/>
  <c r="X826" i="5"/>
  <c r="R827" i="5"/>
  <c r="S827" i="5" s="1"/>
  <c r="S828" i="5"/>
  <c r="X830" i="5"/>
  <c r="S833" i="5"/>
  <c r="I834" i="5"/>
  <c r="S835" i="5"/>
  <c r="W845" i="5"/>
  <c r="X845" i="5" s="1"/>
  <c r="W846" i="5"/>
  <c r="W874" i="5"/>
  <c r="Y899" i="5"/>
  <c r="AA899" i="5" s="1"/>
  <c r="Y901" i="5"/>
  <c r="AA901" i="5" s="1"/>
  <c r="N904" i="5"/>
  <c r="Y905" i="5"/>
  <c r="Y918" i="5"/>
  <c r="AA918" i="5" s="1"/>
  <c r="I154" i="5"/>
  <c r="N311" i="5"/>
  <c r="N94" i="5"/>
  <c r="N102" i="5"/>
  <c r="S119" i="5"/>
  <c r="S144" i="5"/>
  <c r="S160" i="5"/>
  <c r="S258" i="5"/>
  <c r="X277" i="5"/>
  <c r="AA134" i="5"/>
  <c r="N156" i="5"/>
  <c r="S80" i="5"/>
  <c r="X144" i="5"/>
  <c r="S241" i="5"/>
  <c r="X258" i="5"/>
  <c r="X268" i="5"/>
  <c r="AA242" i="5"/>
  <c r="X267" i="5"/>
  <c r="AA363" i="5"/>
  <c r="N54" i="5"/>
  <c r="S90" i="5"/>
  <c r="N106" i="5"/>
  <c r="S182" i="5"/>
  <c r="N192" i="5"/>
  <c r="X201" i="5"/>
  <c r="X226" i="5"/>
  <c r="I241" i="5"/>
  <c r="S262" i="5"/>
  <c r="N286" i="5"/>
  <c r="S308" i="5"/>
  <c r="S311" i="5"/>
  <c r="X322" i="5"/>
  <c r="N327" i="5"/>
  <c r="X351" i="5"/>
  <c r="N46" i="5"/>
  <c r="S65" i="5"/>
  <c r="AA172" i="5"/>
  <c r="S176" i="5"/>
  <c r="S218" i="5"/>
  <c r="S307" i="5"/>
  <c r="X308" i="5"/>
  <c r="N349" i="5"/>
  <c r="Y557" i="5"/>
  <c r="N551" i="5"/>
  <c r="Y547" i="5"/>
  <c r="AA547" i="5" s="1"/>
  <c r="I544" i="5"/>
  <c r="S539" i="5"/>
  <c r="I539" i="5"/>
  <c r="Y531" i="5"/>
  <c r="S523" i="5"/>
  <c r="N521" i="5"/>
  <c r="Y512" i="5"/>
  <c r="Z512" i="5" s="1"/>
  <c r="N512" i="5" s="1"/>
  <c r="Y511" i="5"/>
  <c r="Z511" i="5" s="1"/>
  <c r="X511" i="5" s="1"/>
  <c r="Y508" i="5"/>
  <c r="Z508" i="5" s="1"/>
  <c r="Y506" i="5"/>
  <c r="I149" i="5"/>
  <c r="I142" i="5"/>
  <c r="Y122" i="5"/>
  <c r="AA122" i="5" s="1"/>
  <c r="I72" i="5"/>
  <c r="I68" i="5"/>
  <c r="N56" i="5"/>
  <c r="I34" i="5"/>
  <c r="O153" i="8"/>
  <c r="N164" i="8"/>
  <c r="I242" i="5"/>
  <c r="N44" i="5"/>
  <c r="I47" i="5"/>
  <c r="N50" i="5"/>
  <c r="S44" i="5"/>
  <c r="S51" i="5"/>
  <c r="X47" i="5"/>
  <c r="X50" i="5"/>
  <c r="X51" i="5"/>
  <c r="AA61" i="5"/>
  <c r="I99" i="5"/>
  <c r="I102" i="5"/>
  <c r="S103" i="5"/>
  <c r="S175" i="5"/>
  <c r="S187" i="5"/>
  <c r="X202" i="5"/>
  <c r="AA203" i="5"/>
  <c r="N229" i="5"/>
  <c r="X242" i="5"/>
  <c r="N245" i="5"/>
  <c r="X269" i="5"/>
  <c r="AA323" i="5"/>
  <c r="X352" i="5"/>
  <c r="AA51" i="5"/>
  <c r="I57" i="5"/>
  <c r="N77" i="5"/>
  <c r="I98" i="5"/>
  <c r="I101" i="5"/>
  <c r="N137" i="5"/>
  <c r="N140" i="5"/>
  <c r="S143" i="5"/>
  <c r="I159" i="5"/>
  <c r="X168" i="5"/>
  <c r="I203" i="5"/>
  <c r="N228" i="5"/>
  <c r="X259" i="5"/>
  <c r="I261" i="5"/>
  <c r="N294" i="5"/>
  <c r="X304" i="5"/>
  <c r="I327" i="5"/>
  <c r="I333" i="5"/>
  <c r="X344" i="5"/>
  <c r="I50" i="5"/>
  <c r="N51" i="5"/>
  <c r="I79" i="5"/>
  <c r="X80" i="5"/>
  <c r="AA103" i="5"/>
  <c r="I135" i="5"/>
  <c r="N155" i="5"/>
  <c r="N172" i="5"/>
  <c r="I195" i="5"/>
  <c r="I230" i="5"/>
  <c r="I238" i="5"/>
  <c r="I246" i="5"/>
  <c r="S270" i="5"/>
  <c r="S288" i="5"/>
  <c r="X291" i="5"/>
  <c r="N293" i="5"/>
  <c r="I317" i="5"/>
  <c r="X321" i="5"/>
  <c r="I326" i="5"/>
  <c r="N352" i="5"/>
  <c r="N103" i="5"/>
  <c r="N120" i="5"/>
  <c r="N135" i="5"/>
  <c r="S136" i="5"/>
  <c r="S172" i="5"/>
  <c r="I214" i="5"/>
  <c r="X218" i="5"/>
  <c r="N238" i="5"/>
  <c r="I254" i="5"/>
  <c r="N269" i="5"/>
  <c r="S273" i="5"/>
  <c r="S296" i="5"/>
  <c r="X318" i="5"/>
  <c r="N326" i="5"/>
  <c r="I351" i="5"/>
  <c r="AA120" i="5"/>
  <c r="I172" i="5"/>
  <c r="X54" i="5"/>
  <c r="N65" i="5"/>
  <c r="X76" i="5"/>
  <c r="S107" i="5"/>
  <c r="S111" i="5"/>
  <c r="S155" i="5"/>
  <c r="N175" i="5"/>
  <c r="X203" i="5"/>
  <c r="X209" i="5"/>
  <c r="N214" i="5"/>
  <c r="I229" i="5"/>
  <c r="S230" i="5"/>
  <c r="S246" i="5"/>
  <c r="X270" i="5"/>
  <c r="X273" i="5"/>
  <c r="X276" i="5"/>
  <c r="S293" i="5"/>
  <c r="N143" i="5"/>
  <c r="X157" i="5"/>
  <c r="N160" i="5"/>
  <c r="S163" i="5"/>
  <c r="X177" i="5"/>
  <c r="AA188" i="5"/>
  <c r="AA193" i="5"/>
  <c r="S201" i="5"/>
  <c r="S202" i="5"/>
  <c r="AA227" i="5"/>
  <c r="X244" i="5"/>
  <c r="X247" i="5"/>
  <c r="X250" i="5"/>
  <c r="X256" i="5"/>
  <c r="X263" i="5"/>
  <c r="X266" i="5"/>
  <c r="I311" i="5"/>
  <c r="X331" i="5"/>
  <c r="N334" i="5"/>
  <c r="X338" i="5"/>
  <c r="X363" i="5"/>
  <c r="I49" i="5"/>
  <c r="S54" i="5"/>
  <c r="I56" i="5"/>
  <c r="S57" i="5"/>
  <c r="X64" i="5"/>
  <c r="S83" i="5"/>
  <c r="N87" i="5"/>
  <c r="S88" i="5"/>
  <c r="N93" i="5"/>
  <c r="AA101" i="5"/>
  <c r="S102" i="5"/>
  <c r="X111" i="5"/>
  <c r="I118" i="5"/>
  <c r="I134" i="5"/>
  <c r="S135" i="5"/>
  <c r="N136" i="5"/>
  <c r="I150" i="5"/>
  <c r="N154" i="5"/>
  <c r="S156" i="5"/>
  <c r="N171" i="5"/>
  <c r="N195" i="5"/>
  <c r="S200" i="5"/>
  <c r="AA201" i="5"/>
  <c r="X206" i="5"/>
  <c r="N220" i="5"/>
  <c r="S221" i="5"/>
  <c r="X222" i="5"/>
  <c r="S225" i="5"/>
  <c r="AA226" i="5"/>
  <c r="I228" i="5"/>
  <c r="AA240" i="5"/>
  <c r="I245" i="5"/>
  <c r="N254" i="5"/>
  <c r="AA257" i="5"/>
  <c r="AA259" i="5"/>
  <c r="I339" i="5"/>
  <c r="X55" i="5"/>
  <c r="I181" i="5"/>
  <c r="I193" i="5"/>
  <c r="I219" i="5"/>
  <c r="AA287" i="5"/>
  <c r="X300" i="5"/>
  <c r="N306" i="5"/>
  <c r="S317" i="5"/>
  <c r="I332" i="5"/>
  <c r="AA349" i="5"/>
  <c r="I363" i="5"/>
  <c r="AA53" i="5"/>
  <c r="S56" i="5"/>
  <c r="N75" i="5"/>
  <c r="S87" i="5"/>
  <c r="S93" i="5"/>
  <c r="N98" i="5"/>
  <c r="X106" i="5"/>
  <c r="S142" i="5"/>
  <c r="I144" i="5"/>
  <c r="S149" i="5"/>
  <c r="S150" i="5"/>
  <c r="S154" i="5"/>
  <c r="X155" i="5"/>
  <c r="N181" i="5"/>
  <c r="N188" i="5"/>
  <c r="N219" i="5"/>
  <c r="S220" i="5"/>
  <c r="S234" i="5"/>
  <c r="S237" i="5"/>
  <c r="I244" i="5"/>
  <c r="AA256" i="5"/>
  <c r="N257" i="5"/>
  <c r="AA270" i="5"/>
  <c r="N278" i="5"/>
  <c r="N287" i="5"/>
  <c r="N316" i="5"/>
  <c r="I322" i="5"/>
  <c r="I325" i="5"/>
  <c r="I342" i="5"/>
  <c r="S351" i="5"/>
  <c r="I104" i="5"/>
  <c r="AA34" i="5"/>
  <c r="S46" i="5"/>
  <c r="N72" i="5"/>
  <c r="N34" i="5"/>
  <c r="X46" i="5"/>
  <c r="S53" i="5"/>
  <c r="X56" i="5"/>
  <c r="N62" i="5"/>
  <c r="X68" i="5"/>
  <c r="I71" i="5"/>
  <c r="S72" i="5"/>
  <c r="I74" i="5"/>
  <c r="S75" i="5"/>
  <c r="X85" i="5"/>
  <c r="X87" i="5"/>
  <c r="I90" i="5"/>
  <c r="N92" i="5"/>
  <c r="N95" i="5"/>
  <c r="S98" i="5"/>
  <c r="X105" i="5"/>
  <c r="N108" i="5"/>
  <c r="X118" i="5"/>
  <c r="I141" i="5"/>
  <c r="S153" i="5"/>
  <c r="N164" i="5"/>
  <c r="N167" i="5"/>
  <c r="N177" i="5"/>
  <c r="S181" i="5"/>
  <c r="S188" i="5"/>
  <c r="S194" i="5"/>
  <c r="X195" i="5"/>
  <c r="I201" i="5"/>
  <c r="N203" i="5"/>
  <c r="I218" i="5"/>
  <c r="I226" i="5"/>
  <c r="X234" i="5"/>
  <c r="N244" i="5"/>
  <c r="I250" i="5"/>
  <c r="N253" i="5"/>
  <c r="N266" i="5"/>
  <c r="N277" i="5"/>
  <c r="X290" i="5"/>
  <c r="I295" i="5"/>
  <c r="I315" i="5"/>
  <c r="I331" i="5"/>
  <c r="I335" i="5"/>
  <c r="S59" i="5"/>
  <c r="S62" i="5"/>
  <c r="S95" i="5"/>
  <c r="AA114" i="5"/>
  <c r="X153" i="5"/>
  <c r="I163" i="5"/>
  <c r="S164" i="5"/>
  <c r="S167" i="5"/>
  <c r="N180" i="5"/>
  <c r="N187" i="5"/>
  <c r="S193" i="5"/>
  <c r="X194" i="5"/>
  <c r="AA195" i="5"/>
  <c r="N202" i="5"/>
  <c r="N212" i="5"/>
  <c r="X216" i="5"/>
  <c r="X219" i="5"/>
  <c r="AA222" i="5"/>
  <c r="X228" i="5"/>
  <c r="S253" i="5"/>
  <c r="I259" i="5"/>
  <c r="S266" i="5"/>
  <c r="N270" i="5"/>
  <c r="X281" i="5"/>
  <c r="N295" i="5"/>
  <c r="AA302" i="5"/>
  <c r="N304" i="5"/>
  <c r="S305" i="5"/>
  <c r="X313" i="5"/>
  <c r="S322" i="5"/>
  <c r="I328" i="5"/>
  <c r="X329" i="5"/>
  <c r="N335" i="5"/>
  <c r="N338" i="5"/>
  <c r="AA347" i="5"/>
  <c r="X359" i="5"/>
  <c r="S363" i="5"/>
  <c r="X34" i="5"/>
  <c r="S48" i="5"/>
  <c r="X67" i="5"/>
  <c r="S71" i="5"/>
  <c r="S74" i="5"/>
  <c r="N90" i="5"/>
  <c r="X92" i="5"/>
  <c r="I94" i="5"/>
  <c r="X133" i="5"/>
  <c r="S141" i="5"/>
  <c r="I143" i="5"/>
  <c r="X145" i="5"/>
  <c r="AA149" i="5"/>
  <c r="X161" i="5"/>
  <c r="N163" i="5"/>
  <c r="I179" i="5"/>
  <c r="AA181" i="5"/>
  <c r="X198" i="5"/>
  <c r="X207" i="5"/>
  <c r="N222" i="5"/>
  <c r="S250" i="5"/>
  <c r="I252" i="5"/>
  <c r="AA255" i="5"/>
  <c r="N259" i="5"/>
  <c r="S263" i="5"/>
  <c r="I265" i="5"/>
  <c r="X278" i="5"/>
  <c r="X292" i="5"/>
  <c r="S331" i="5"/>
  <c r="S338" i="5"/>
  <c r="N341" i="5"/>
  <c r="S342" i="5"/>
  <c r="X117" i="5"/>
  <c r="S117" i="5"/>
  <c r="X82" i="5"/>
  <c r="I82" i="5"/>
  <c r="N60" i="5"/>
  <c r="S69" i="5"/>
  <c r="X49" i="5"/>
  <c r="S49" i="5"/>
  <c r="N52" i="5"/>
  <c r="S68" i="5"/>
  <c r="X100" i="5"/>
  <c r="AA113" i="5"/>
  <c r="I147" i="5"/>
  <c r="X211" i="5"/>
  <c r="N208" i="5"/>
  <c r="X208" i="5"/>
  <c r="X58" i="5"/>
  <c r="X59" i="5"/>
  <c r="X62" i="5"/>
  <c r="S115" i="5"/>
  <c r="X184" i="5"/>
  <c r="N184" i="5"/>
  <c r="X204" i="5"/>
  <c r="X310" i="5"/>
  <c r="S310" i="5"/>
  <c r="N169" i="5"/>
  <c r="I169" i="5"/>
  <c r="X302" i="5"/>
  <c r="S302" i="5"/>
  <c r="S361" i="5"/>
  <c r="N361" i="5"/>
  <c r="I361" i="5"/>
  <c r="I189" i="5"/>
  <c r="S189" i="5"/>
  <c r="X271" i="5"/>
  <c r="S271" i="5"/>
  <c r="S284" i="5"/>
  <c r="N284" i="5"/>
  <c r="S292" i="5"/>
  <c r="N292" i="5"/>
  <c r="N97" i="5"/>
  <c r="I97" i="5"/>
  <c r="N121" i="5"/>
  <c r="X121" i="5"/>
  <c r="X357" i="5"/>
  <c r="I357" i="5"/>
  <c r="X183" i="5"/>
  <c r="AA45" i="5"/>
  <c r="N68" i="5"/>
  <c r="S113" i="5"/>
  <c r="I117" i="5"/>
  <c r="I152" i="5"/>
  <c r="I52" i="5"/>
  <c r="I58" i="5"/>
  <c r="N59" i="5"/>
  <c r="S60" i="5"/>
  <c r="S63" i="5"/>
  <c r="I67" i="5"/>
  <c r="X77" i="5"/>
  <c r="S97" i="5"/>
  <c r="X114" i="5"/>
  <c r="S114" i="5"/>
  <c r="N138" i="5"/>
  <c r="S146" i="5"/>
  <c r="X146" i="5"/>
  <c r="X196" i="5"/>
  <c r="I78" i="5"/>
  <c r="N83" i="5"/>
  <c r="N88" i="5"/>
  <c r="X99" i="5"/>
  <c r="AA104" i="5"/>
  <c r="AA105" i="5"/>
  <c r="X109" i="5"/>
  <c r="I114" i="5"/>
  <c r="I115" i="5"/>
  <c r="N147" i="5"/>
  <c r="X160" i="5"/>
  <c r="N166" i="5"/>
  <c r="X167" i="5"/>
  <c r="AA169" i="5"/>
  <c r="N170" i="5"/>
  <c r="X176" i="5"/>
  <c r="N179" i="5"/>
  <c r="S180" i="5"/>
  <c r="N206" i="5"/>
  <c r="I209" i="5"/>
  <c r="I212" i="5"/>
  <c r="S213" i="5"/>
  <c r="S214" i="5"/>
  <c r="X215" i="5"/>
  <c r="N227" i="5"/>
  <c r="N231" i="5"/>
  <c r="AA243" i="5"/>
  <c r="X319" i="5"/>
  <c r="S365" i="5"/>
  <c r="I365" i="5"/>
  <c r="I165" i="5"/>
  <c r="I196" i="5"/>
  <c r="N197" i="5"/>
  <c r="I204" i="5"/>
  <c r="N205" i="5"/>
  <c r="I217" i="5"/>
  <c r="I280" i="5"/>
  <c r="AA280" i="5"/>
  <c r="X280" i="5"/>
  <c r="N283" i="5"/>
  <c r="I283" i="5"/>
  <c r="X301" i="5"/>
  <c r="S301" i="5"/>
  <c r="N301" i="5"/>
  <c r="X309" i="5"/>
  <c r="S309" i="5"/>
  <c r="X332" i="5"/>
  <c r="S332" i="5"/>
  <c r="N332" i="5"/>
  <c r="X364" i="5"/>
  <c r="N78" i="5"/>
  <c r="AA82" i="5"/>
  <c r="I85" i="5"/>
  <c r="N114" i="5"/>
  <c r="N139" i="5"/>
  <c r="S147" i="5"/>
  <c r="N158" i="5"/>
  <c r="I178" i="5"/>
  <c r="AA183" i="5"/>
  <c r="I44" i="5"/>
  <c r="S45" i="5"/>
  <c r="AA47" i="5"/>
  <c r="N53" i="5"/>
  <c r="AA59" i="5"/>
  <c r="I60" i="5"/>
  <c r="S61" i="5"/>
  <c r="AA63" i="5"/>
  <c r="S64" i="5"/>
  <c r="AA68" i="5"/>
  <c r="I69" i="5"/>
  <c r="X72" i="5"/>
  <c r="X75" i="5"/>
  <c r="X83" i="5"/>
  <c r="X88" i="5"/>
  <c r="AA96" i="5"/>
  <c r="X98" i="5"/>
  <c r="I100" i="5"/>
  <c r="N101" i="5"/>
  <c r="X103" i="5"/>
  <c r="I105" i="5"/>
  <c r="N107" i="5"/>
  <c r="I138" i="5"/>
  <c r="S139" i="5"/>
  <c r="X143" i="5"/>
  <c r="AA144" i="5"/>
  <c r="I157" i="5"/>
  <c r="S166" i="5"/>
  <c r="I168" i="5"/>
  <c r="X171" i="5"/>
  <c r="I177" i="5"/>
  <c r="I188" i="5"/>
  <c r="N189" i="5"/>
  <c r="X192" i="5"/>
  <c r="N196" i="5"/>
  <c r="S197" i="5"/>
  <c r="S198" i="5"/>
  <c r="N204" i="5"/>
  <c r="S205" i="5"/>
  <c r="S206" i="5"/>
  <c r="AA216" i="5"/>
  <c r="AA219" i="5"/>
  <c r="X231" i="5"/>
  <c r="I236" i="5"/>
  <c r="N267" i="5"/>
  <c r="X282" i="5"/>
  <c r="I284" i="5"/>
  <c r="X297" i="5"/>
  <c r="S356" i="5"/>
  <c r="I356" i="5"/>
  <c r="N69" i="5"/>
  <c r="X78" i="5"/>
  <c r="I80" i="5"/>
  <c r="N82" i="5"/>
  <c r="S85" i="5"/>
  <c r="I92" i="5"/>
  <c r="N96" i="5"/>
  <c r="N105" i="5"/>
  <c r="I111" i="5"/>
  <c r="N113" i="5"/>
  <c r="X139" i="5"/>
  <c r="N142" i="5"/>
  <c r="N151" i="5"/>
  <c r="I155" i="5"/>
  <c r="I156" i="5"/>
  <c r="I164" i="5"/>
  <c r="S165" i="5"/>
  <c r="X166" i="5"/>
  <c r="X170" i="5"/>
  <c r="I176" i="5"/>
  <c r="X179" i="5"/>
  <c r="AA182" i="5"/>
  <c r="N183" i="5"/>
  <c r="S184" i="5"/>
  <c r="I187" i="5"/>
  <c r="X191" i="5"/>
  <c r="I194" i="5"/>
  <c r="S209" i="5"/>
  <c r="S212" i="5"/>
  <c r="I221" i="5"/>
  <c r="N268" i="5"/>
  <c r="S268" i="5"/>
  <c r="I271" i="5"/>
  <c r="X275" i="5"/>
  <c r="N275" i="5"/>
  <c r="X303" i="5"/>
  <c r="I303" i="5"/>
  <c r="N314" i="5"/>
  <c r="I314" i="5"/>
  <c r="X324" i="5"/>
  <c r="S324" i="5"/>
  <c r="N324" i="5"/>
  <c r="X354" i="5"/>
  <c r="S354" i="5"/>
  <c r="S362" i="5"/>
  <c r="N362" i="5"/>
  <c r="S169" i="5"/>
  <c r="N211" i="5"/>
  <c r="N247" i="5"/>
  <c r="S34" i="5"/>
  <c r="AA46" i="5"/>
  <c r="S52" i="5"/>
  <c r="S55" i="5"/>
  <c r="N58" i="5"/>
  <c r="AA62" i="5"/>
  <c r="X63" i="5"/>
  <c r="AA65" i="5"/>
  <c r="N67" i="5"/>
  <c r="S77" i="5"/>
  <c r="N84" i="5"/>
  <c r="AA85" i="5"/>
  <c r="S92" i="5"/>
  <c r="I95" i="5"/>
  <c r="X96" i="5"/>
  <c r="X97" i="5"/>
  <c r="S100" i="5"/>
  <c r="S106" i="5"/>
  <c r="X115" i="5"/>
  <c r="S120" i="5"/>
  <c r="X142" i="5"/>
  <c r="N150" i="5"/>
  <c r="S161" i="5"/>
  <c r="X169" i="5"/>
  <c r="X178" i="5"/>
  <c r="AA197" i="5"/>
  <c r="AA205" i="5"/>
  <c r="X217" i="5"/>
  <c r="N235" i="5"/>
  <c r="S274" i="5"/>
  <c r="X284" i="5"/>
  <c r="N330" i="5"/>
  <c r="I330" i="5"/>
  <c r="X361" i="5"/>
  <c r="X366" i="5"/>
  <c r="I366" i="5"/>
  <c r="N224" i="5"/>
  <c r="X225" i="5"/>
  <c r="S229" i="5"/>
  <c r="S233" i="5"/>
  <c r="N236" i="5"/>
  <c r="N240" i="5"/>
  <c r="X241" i="5"/>
  <c r="S245" i="5"/>
  <c r="S249" i="5"/>
  <c r="N252" i="5"/>
  <c r="N256" i="5"/>
  <c r="S257" i="5"/>
  <c r="N261" i="5"/>
  <c r="I268" i="5"/>
  <c r="S272" i="5"/>
  <c r="S276" i="5"/>
  <c r="AA277" i="5"/>
  <c r="N285" i="5"/>
  <c r="S286" i="5"/>
  <c r="S287" i="5"/>
  <c r="S290" i="5"/>
  <c r="S295" i="5"/>
  <c r="X296" i="5"/>
  <c r="I302" i="5"/>
  <c r="N305" i="5"/>
  <c r="X306" i="5"/>
  <c r="AA307" i="5"/>
  <c r="AA308" i="5"/>
  <c r="I310" i="5"/>
  <c r="N325" i="5"/>
  <c r="S327" i="5"/>
  <c r="N333" i="5"/>
  <c r="S335" i="5"/>
  <c r="S341" i="5"/>
  <c r="I362" i="5"/>
  <c r="AA366" i="5"/>
  <c r="I367" i="5"/>
  <c r="I227" i="5"/>
  <c r="X233" i="5"/>
  <c r="I235" i="5"/>
  <c r="I243" i="5"/>
  <c r="X249" i="5"/>
  <c r="I251" i="5"/>
  <c r="X257" i="5"/>
  <c r="I260" i="5"/>
  <c r="S261" i="5"/>
  <c r="I279" i="5"/>
  <c r="S294" i="5"/>
  <c r="I301" i="5"/>
  <c r="N302" i="5"/>
  <c r="N310" i="5"/>
  <c r="N320" i="5"/>
  <c r="I323" i="5"/>
  <c r="S326" i="5"/>
  <c r="S334" i="5"/>
  <c r="S339" i="5"/>
  <c r="S340" i="5"/>
  <c r="X349" i="5"/>
  <c r="I364" i="5"/>
  <c r="N243" i="5"/>
  <c r="N251" i="5"/>
  <c r="N260" i="5"/>
  <c r="AA272" i="5"/>
  <c r="N279" i="5"/>
  <c r="S285" i="5"/>
  <c r="X287" i="5"/>
  <c r="I300" i="5"/>
  <c r="N303" i="5"/>
  <c r="X305" i="5"/>
  <c r="I308" i="5"/>
  <c r="I309" i="5"/>
  <c r="S315" i="5"/>
  <c r="X316" i="5"/>
  <c r="I318" i="5"/>
  <c r="S325" i="5"/>
  <c r="S333" i="5"/>
  <c r="X339" i="5"/>
  <c r="I352" i="5"/>
  <c r="I354" i="5"/>
  <c r="N356" i="5"/>
  <c r="N357" i="5"/>
  <c r="N364" i="5"/>
  <c r="N365" i="5"/>
  <c r="N366" i="5"/>
  <c r="I234" i="5"/>
  <c r="X236" i="5"/>
  <c r="X252" i="5"/>
  <c r="I258" i="5"/>
  <c r="I267" i="5"/>
  <c r="N274" i="5"/>
  <c r="I277" i="5"/>
  <c r="S279" i="5"/>
  <c r="N297" i="5"/>
  <c r="S303" i="5"/>
  <c r="I307" i="5"/>
  <c r="N309" i="5"/>
  <c r="X315" i="5"/>
  <c r="N318" i="5"/>
  <c r="N319" i="5"/>
  <c r="N337" i="5"/>
  <c r="N354" i="5"/>
  <c r="S357" i="5"/>
  <c r="S366" i="5"/>
  <c r="S297" i="5"/>
  <c r="S314" i="5"/>
  <c r="S319" i="5"/>
  <c r="S323" i="5"/>
  <c r="N329" i="5"/>
  <c r="S330" i="5"/>
  <c r="X193" i="5"/>
  <c r="AA194" i="5"/>
  <c r="I197" i="5"/>
  <c r="N198" i="5"/>
  <c r="X200" i="5"/>
  <c r="AA202" i="5"/>
  <c r="I205" i="5"/>
  <c r="N216" i="5"/>
  <c r="S217" i="5"/>
  <c r="I220" i="5"/>
  <c r="N221" i="5"/>
  <c r="S222" i="5"/>
  <c r="S226" i="5"/>
  <c r="X227" i="5"/>
  <c r="N230" i="5"/>
  <c r="S231" i="5"/>
  <c r="I233" i="5"/>
  <c r="X235" i="5"/>
  <c r="I237" i="5"/>
  <c r="S238" i="5"/>
  <c r="S242" i="5"/>
  <c r="X243" i="5"/>
  <c r="N246" i="5"/>
  <c r="S247" i="5"/>
  <c r="I249" i="5"/>
  <c r="X251" i="5"/>
  <c r="I253" i="5"/>
  <c r="S254" i="5"/>
  <c r="X260" i="5"/>
  <c r="I262" i="5"/>
  <c r="N263" i="5"/>
  <c r="AA268" i="5"/>
  <c r="I272" i="5"/>
  <c r="N273" i="5"/>
  <c r="X274" i="5"/>
  <c r="I276" i="5"/>
  <c r="AA283" i="5"/>
  <c r="AA284" i="5"/>
  <c r="N296" i="5"/>
  <c r="X314" i="5"/>
  <c r="N317" i="5"/>
  <c r="X323" i="5"/>
  <c r="AA327" i="5"/>
  <c r="S329" i="5"/>
  <c r="X330" i="5"/>
  <c r="AA332" i="5"/>
  <c r="AA335" i="5"/>
  <c r="N336" i="5"/>
  <c r="X337" i="5"/>
  <c r="I340" i="5"/>
  <c r="I341" i="5"/>
  <c r="N342" i="5"/>
  <c r="N344" i="5"/>
  <c r="I349" i="5"/>
  <c r="X362" i="5"/>
  <c r="Y49" i="5"/>
  <c r="AA49" i="5" s="1"/>
  <c r="Y83" i="5"/>
  <c r="AA83" i="5" s="1"/>
  <c r="S84" i="5"/>
  <c r="Y90" i="5"/>
  <c r="AA90" i="5" s="1"/>
  <c r="Y92" i="5"/>
  <c r="AA92" i="5" s="1"/>
  <c r="Y102" i="5"/>
  <c r="AA102" i="5" s="1"/>
  <c r="S104" i="5"/>
  <c r="Y111" i="5"/>
  <c r="AA111" i="5" s="1"/>
  <c r="I121" i="5"/>
  <c r="Y125" i="5"/>
  <c r="AA125" i="5" s="1"/>
  <c r="S133" i="5"/>
  <c r="X134" i="5"/>
  <c r="X138" i="5"/>
  <c r="Y141" i="5"/>
  <c r="AA141" i="5" s="1"/>
  <c r="N146" i="5"/>
  <c r="S148" i="5"/>
  <c r="X152" i="5"/>
  <c r="Y153" i="5"/>
  <c r="AA153" i="5" s="1"/>
  <c r="Y160" i="5"/>
  <c r="AA160" i="5" s="1"/>
  <c r="N162" i="5"/>
  <c r="Y164" i="5"/>
  <c r="AA164" i="5" s="1"/>
  <c r="Y170" i="5"/>
  <c r="AA170" i="5" s="1"/>
  <c r="I170" i="5"/>
  <c r="S173" i="5"/>
  <c r="I185" i="5"/>
  <c r="Y57" i="5"/>
  <c r="AA57" i="5" s="1"/>
  <c r="Y60" i="5"/>
  <c r="AA60" i="5" s="1"/>
  <c r="I65" i="5"/>
  <c r="Y69" i="5"/>
  <c r="AA69" i="5" s="1"/>
  <c r="X73" i="5"/>
  <c r="Y78" i="5"/>
  <c r="AA78" i="5" s="1"/>
  <c r="S79" i="5"/>
  <c r="S94" i="5"/>
  <c r="Y98" i="5"/>
  <c r="AA98" i="5" s="1"/>
  <c r="S99" i="5"/>
  <c r="I109" i="5"/>
  <c r="Y109" i="5"/>
  <c r="AA109" i="5" s="1"/>
  <c r="N119" i="5"/>
  <c r="Y127" i="5"/>
  <c r="AA127" i="5" s="1"/>
  <c r="Y138" i="5"/>
  <c r="AA138" i="5" s="1"/>
  <c r="N178" i="5"/>
  <c r="Y178" i="5"/>
  <c r="AA178" i="5" s="1"/>
  <c r="I184" i="5"/>
  <c r="Y184" i="5"/>
  <c r="AA184" i="5" s="1"/>
  <c r="Y44" i="5"/>
  <c r="AA44" i="5" s="1"/>
  <c r="Y52" i="5"/>
  <c r="AA52" i="5" s="1"/>
  <c r="I76" i="5"/>
  <c r="Y77" i="5"/>
  <c r="AA77" i="5" s="1"/>
  <c r="X84" i="5"/>
  <c r="I96" i="5"/>
  <c r="Y97" i="5"/>
  <c r="AA97" i="5" s="1"/>
  <c r="I107" i="5"/>
  <c r="Y108" i="5"/>
  <c r="AA108" i="5" s="1"/>
  <c r="N117" i="5"/>
  <c r="N118" i="5"/>
  <c r="S121" i="5"/>
  <c r="I140" i="5"/>
  <c r="S145" i="5"/>
  <c r="X148" i="5"/>
  <c r="X151" i="5"/>
  <c r="S152" i="5"/>
  <c r="N152" i="5"/>
  <c r="Y154" i="5"/>
  <c r="AA154" i="5" s="1"/>
  <c r="Y156" i="5"/>
  <c r="AA156" i="5" s="1"/>
  <c r="Y158" i="5"/>
  <c r="AA158" i="5" s="1"/>
  <c r="Y161" i="5"/>
  <c r="AA161" i="5" s="1"/>
  <c r="N161" i="5"/>
  <c r="X162" i="5"/>
  <c r="AA173" i="5"/>
  <c r="AA186" i="5"/>
  <c r="X199" i="5"/>
  <c r="Y210" i="5"/>
  <c r="AA210" i="5" s="1"/>
  <c r="I210" i="5"/>
  <c r="N57" i="5"/>
  <c r="Y58" i="5"/>
  <c r="AA58" i="5" s="1"/>
  <c r="X61" i="5"/>
  <c r="I63" i="5"/>
  <c r="N76" i="5"/>
  <c r="X79" i="5"/>
  <c r="Y93" i="5"/>
  <c r="AA93" i="5" s="1"/>
  <c r="I139" i="5"/>
  <c r="Y139" i="5"/>
  <c r="AA139" i="5" s="1"/>
  <c r="X45" i="5"/>
  <c r="Y50" i="5"/>
  <c r="AA50" i="5" s="1"/>
  <c r="X53" i="5"/>
  <c r="I55" i="5"/>
  <c r="Y67" i="5"/>
  <c r="AA67" i="5" s="1"/>
  <c r="X71" i="5"/>
  <c r="I73" i="5"/>
  <c r="Y74" i="5"/>
  <c r="AA74" i="5" s="1"/>
  <c r="S76" i="5"/>
  <c r="Y80" i="5"/>
  <c r="AA80" i="5" s="1"/>
  <c r="S82" i="5"/>
  <c r="S96" i="5"/>
  <c r="Y99" i="5"/>
  <c r="AA99" i="5" s="1"/>
  <c r="Y100" i="5"/>
  <c r="AA100" i="5" s="1"/>
  <c r="S101" i="5"/>
  <c r="X119" i="5"/>
  <c r="I124" i="5"/>
  <c r="Y124" i="5"/>
  <c r="AA124" i="5" s="1"/>
  <c r="S126" i="5"/>
  <c r="Y137" i="5"/>
  <c r="AA137" i="5" s="1"/>
  <c r="I137" i="5"/>
  <c r="Y143" i="5"/>
  <c r="AA143" i="5" s="1"/>
  <c r="I180" i="5"/>
  <c r="Y180" i="5"/>
  <c r="AA180" i="5" s="1"/>
  <c r="I213" i="5"/>
  <c r="Y213" i="5"/>
  <c r="AA213" i="5" s="1"/>
  <c r="I45" i="5"/>
  <c r="Y88" i="5"/>
  <c r="AA88" i="5" s="1"/>
  <c r="S108" i="5"/>
  <c r="S140" i="5"/>
  <c r="Y148" i="5"/>
  <c r="AA148" i="5" s="1"/>
  <c r="N157" i="5"/>
  <c r="Y157" i="5"/>
  <c r="AA157" i="5" s="1"/>
  <c r="X159" i="5"/>
  <c r="S185" i="5"/>
  <c r="N185" i="5"/>
  <c r="Y56" i="5"/>
  <c r="AA56" i="5" s="1"/>
  <c r="I48" i="5"/>
  <c r="I64" i="5"/>
  <c r="Y87" i="5"/>
  <c r="AA87" i="5" s="1"/>
  <c r="Y115" i="5"/>
  <c r="AA115" i="5" s="1"/>
  <c r="Y133" i="5"/>
  <c r="AA133" i="5" s="1"/>
  <c r="I133" i="5"/>
  <c r="Y145" i="5"/>
  <c r="AA145" i="5" s="1"/>
  <c r="AA146" i="5"/>
  <c r="Y151" i="5"/>
  <c r="AA151" i="5" s="1"/>
  <c r="I151" i="5"/>
  <c r="S168" i="5"/>
  <c r="Y168" i="5"/>
  <c r="AA168" i="5" s="1"/>
  <c r="I173" i="5"/>
  <c r="I186" i="5"/>
  <c r="N47" i="5"/>
  <c r="N73" i="5"/>
  <c r="N74" i="5"/>
  <c r="Y75" i="5"/>
  <c r="AA75" i="5" s="1"/>
  <c r="S78" i="5"/>
  <c r="N85" i="5"/>
  <c r="Y95" i="5"/>
  <c r="AA95" i="5" s="1"/>
  <c r="N104" i="5"/>
  <c r="Y106" i="5"/>
  <c r="AA106" i="5" s="1"/>
  <c r="X108" i="5"/>
  <c r="Y119" i="5"/>
  <c r="AA119" i="5" s="1"/>
  <c r="Y121" i="5"/>
  <c r="AA121" i="5" s="1"/>
  <c r="N133" i="5"/>
  <c r="S134" i="5"/>
  <c r="I145" i="5"/>
  <c r="I146" i="5"/>
  <c r="N148" i="5"/>
  <c r="X158" i="5"/>
  <c r="S158" i="5"/>
  <c r="I158" i="5"/>
  <c r="Y162" i="5"/>
  <c r="AA162" i="5" s="1"/>
  <c r="I162" i="5"/>
  <c r="S174" i="5"/>
  <c r="X175" i="5"/>
  <c r="Y176" i="5"/>
  <c r="AA176" i="5" s="1"/>
  <c r="I211" i="5"/>
  <c r="Y211" i="5"/>
  <c r="AA211" i="5" s="1"/>
  <c r="S109" i="5"/>
  <c r="X174" i="5"/>
  <c r="X185" i="5"/>
  <c r="X186" i="5"/>
  <c r="S191" i="5"/>
  <c r="S192" i="5"/>
  <c r="S199" i="5"/>
  <c r="S207" i="5"/>
  <c r="AA224" i="5"/>
  <c r="X232" i="5"/>
  <c r="X248" i="5"/>
  <c r="S264" i="5"/>
  <c r="I286" i="5"/>
  <c r="Y286" i="5"/>
  <c r="AA286" i="5" s="1"/>
  <c r="X289" i="5"/>
  <c r="I312" i="5"/>
  <c r="X312" i="5"/>
  <c r="I415" i="5"/>
  <c r="Y415" i="5"/>
  <c r="AA415" i="5" s="1"/>
  <c r="I278" i="5"/>
  <c r="Y278" i="5"/>
  <c r="AA278" i="5" s="1"/>
  <c r="Z506" i="5"/>
  <c r="AA506" i="5" s="1"/>
  <c r="N141" i="5"/>
  <c r="Y142" i="5"/>
  <c r="AA142" i="5" s="1"/>
  <c r="S151" i="5"/>
  <c r="Y165" i="5"/>
  <c r="AA165" i="5" s="1"/>
  <c r="Y174" i="5"/>
  <c r="AA174" i="5" s="1"/>
  <c r="Y175" i="5"/>
  <c r="AA175" i="5" s="1"/>
  <c r="Y177" i="5"/>
  <c r="AA177" i="5" s="1"/>
  <c r="N182" i="5"/>
  <c r="N215" i="5"/>
  <c r="S216" i="5"/>
  <c r="Y218" i="5"/>
  <c r="AA218" i="5" s="1"/>
  <c r="S224" i="5"/>
  <c r="S240" i="5"/>
  <c r="I255" i="5"/>
  <c r="S256" i="5"/>
  <c r="I299" i="5"/>
  <c r="I316" i="5"/>
  <c r="Y316" i="5"/>
  <c r="AA316" i="5" s="1"/>
  <c r="N173" i="5"/>
  <c r="Y192" i="5"/>
  <c r="AA192" i="5" s="1"/>
  <c r="Y200" i="5"/>
  <c r="AA200" i="5" s="1"/>
  <c r="Y208" i="5"/>
  <c r="AA208" i="5" s="1"/>
  <c r="N210" i="5"/>
  <c r="S215" i="5"/>
  <c r="N223" i="5"/>
  <c r="X224" i="5"/>
  <c r="Y232" i="5"/>
  <c r="AA232" i="5" s="1"/>
  <c r="Y235" i="5"/>
  <c r="AA235" i="5" s="1"/>
  <c r="N239" i="5"/>
  <c r="X240" i="5"/>
  <c r="Y248" i="5"/>
  <c r="AA248" i="5" s="1"/>
  <c r="Y251" i="5"/>
  <c r="AA251" i="5" s="1"/>
  <c r="N255" i="5"/>
  <c r="I288" i="5"/>
  <c r="X288" i="5"/>
  <c r="I293" i="5"/>
  <c r="Y293" i="5"/>
  <c r="AA293" i="5" s="1"/>
  <c r="I370" i="5"/>
  <c r="Y370" i="5"/>
  <c r="AA370" i="5" s="1"/>
  <c r="Y136" i="5"/>
  <c r="AA136" i="5" s="1"/>
  <c r="X137" i="5"/>
  <c r="Y147" i="5"/>
  <c r="AA147" i="5" s="1"/>
  <c r="N149" i="5"/>
  <c r="Y150" i="5"/>
  <c r="AA150" i="5" s="1"/>
  <c r="S159" i="5"/>
  <c r="Y166" i="5"/>
  <c r="AA166" i="5" s="1"/>
  <c r="Y167" i="5"/>
  <c r="AA167" i="5" s="1"/>
  <c r="N174" i="5"/>
  <c r="S183" i="5"/>
  <c r="N186" i="5"/>
  <c r="Y189" i="5"/>
  <c r="AA189" i="5" s="1"/>
  <c r="Y191" i="5"/>
  <c r="AA191" i="5" s="1"/>
  <c r="Y198" i="5"/>
  <c r="AA198" i="5" s="1"/>
  <c r="Y199" i="5"/>
  <c r="AA199" i="5" s="1"/>
  <c r="Y206" i="5"/>
  <c r="AA206" i="5" s="1"/>
  <c r="Y207" i="5"/>
  <c r="AA207" i="5" s="1"/>
  <c r="I208" i="5"/>
  <c r="S223" i="5"/>
  <c r="Y234" i="5"/>
  <c r="AA234" i="5" s="1"/>
  <c r="S239" i="5"/>
  <c r="Y250" i="5"/>
  <c r="AA250" i="5" s="1"/>
  <c r="S255" i="5"/>
  <c r="AA264" i="5"/>
  <c r="Y265" i="5"/>
  <c r="AA265" i="5" s="1"/>
  <c r="S265" i="5"/>
  <c r="Y267" i="5"/>
  <c r="AA267" i="5" s="1"/>
  <c r="Y282" i="5"/>
  <c r="AA282" i="5" s="1"/>
  <c r="I292" i="5"/>
  <c r="Y292" i="5"/>
  <c r="AA292" i="5" s="1"/>
  <c r="S299" i="5"/>
  <c r="X345" i="5"/>
  <c r="N345" i="5"/>
  <c r="I345" i="5"/>
  <c r="X113" i="5"/>
  <c r="N165" i="5"/>
  <c r="X182" i="5"/>
  <c r="X210" i="5"/>
  <c r="X223" i="5"/>
  <c r="Y231" i="5"/>
  <c r="AA231" i="5" s="1"/>
  <c r="N232" i="5"/>
  <c r="X239" i="5"/>
  <c r="Y247" i="5"/>
  <c r="AA247" i="5" s="1"/>
  <c r="N248" i="5"/>
  <c r="I264" i="5"/>
  <c r="N271" i="5"/>
  <c r="Y271" i="5"/>
  <c r="AA271" i="5" s="1"/>
  <c r="Y285" i="5"/>
  <c r="AA285" i="5" s="1"/>
  <c r="S312" i="5"/>
  <c r="I324" i="5"/>
  <c r="Y324" i="5"/>
  <c r="AA324" i="5" s="1"/>
  <c r="I387" i="5"/>
  <c r="Y387" i="5"/>
  <c r="AA387" i="5" s="1"/>
  <c r="Y449" i="5"/>
  <c r="AA449" i="5" s="1"/>
  <c r="I449" i="5"/>
  <c r="N191" i="5"/>
  <c r="N199" i="5"/>
  <c r="N207" i="5"/>
  <c r="S208" i="5"/>
  <c r="S232" i="5"/>
  <c r="S248" i="5"/>
  <c r="Y263" i="5"/>
  <c r="AA263" i="5" s="1"/>
  <c r="N264" i="5"/>
  <c r="Y275" i="5"/>
  <c r="AA275" i="5" s="1"/>
  <c r="I275" i="5"/>
  <c r="S289" i="5"/>
  <c r="I291" i="5"/>
  <c r="Y291" i="5"/>
  <c r="AA291" i="5" s="1"/>
  <c r="N298" i="5"/>
  <c r="I442" i="5"/>
  <c r="Y442" i="5"/>
  <c r="AA442" i="5" s="1"/>
  <c r="Y221" i="5"/>
  <c r="AA221" i="5" s="1"/>
  <c r="Y229" i="5"/>
  <c r="AA229" i="5" s="1"/>
  <c r="Y237" i="5"/>
  <c r="AA237" i="5" s="1"/>
  <c r="Y245" i="5"/>
  <c r="AA245" i="5" s="1"/>
  <c r="Y253" i="5"/>
  <c r="AA253" i="5" s="1"/>
  <c r="Y261" i="5"/>
  <c r="AA261" i="5" s="1"/>
  <c r="S298" i="5"/>
  <c r="X299" i="5"/>
  <c r="S320" i="5"/>
  <c r="Y334" i="5"/>
  <c r="AA334" i="5" s="1"/>
  <c r="AA336" i="5"/>
  <c r="S358" i="5"/>
  <c r="Y509" i="5"/>
  <c r="Z535" i="5"/>
  <c r="Y542" i="5"/>
  <c r="AA542" i="5" s="1"/>
  <c r="I577" i="5"/>
  <c r="Y577" i="5"/>
  <c r="AA577" i="5" s="1"/>
  <c r="S269" i="5"/>
  <c r="Y294" i="5"/>
  <c r="AA294" i="5" s="1"/>
  <c r="X298" i="5"/>
  <c r="Y299" i="5"/>
  <c r="AA299" i="5" s="1"/>
  <c r="Y300" i="5"/>
  <c r="AA300" i="5" s="1"/>
  <c r="Y301" i="5"/>
  <c r="AA301" i="5" s="1"/>
  <c r="S304" i="5"/>
  <c r="S306" i="5"/>
  <c r="Y309" i="5"/>
  <c r="AA309" i="5" s="1"/>
  <c r="Y314" i="5"/>
  <c r="AA314" i="5" s="1"/>
  <c r="Y322" i="5"/>
  <c r="AA322" i="5" s="1"/>
  <c r="S328" i="5"/>
  <c r="I336" i="5"/>
  <c r="S337" i="5"/>
  <c r="Y340" i="5"/>
  <c r="AA340" i="5" s="1"/>
  <c r="I347" i="5"/>
  <c r="Y361" i="5"/>
  <c r="AA361" i="5" s="1"/>
  <c r="AA367" i="5"/>
  <c r="Y451" i="5"/>
  <c r="AA451" i="5" s="1"/>
  <c r="Y453" i="5"/>
  <c r="AA453" i="5" s="1"/>
  <c r="I453" i="5"/>
  <c r="I456" i="5"/>
  <c r="Y456" i="5"/>
  <c r="AA456" i="5" s="1"/>
  <c r="S552" i="5"/>
  <c r="N552" i="5"/>
  <c r="Y554" i="5"/>
  <c r="Y330" i="5"/>
  <c r="AA330" i="5" s="1"/>
  <c r="AA345" i="5"/>
  <c r="X358" i="5"/>
  <c r="N358" i="5"/>
  <c r="Y379" i="5"/>
  <c r="AA379" i="5" s="1"/>
  <c r="Y403" i="5"/>
  <c r="AA403" i="5" s="1"/>
  <c r="Y424" i="5"/>
  <c r="AA424" i="5" s="1"/>
  <c r="I523" i="5"/>
  <c r="Y523" i="5"/>
  <c r="AA523" i="5" s="1"/>
  <c r="I550" i="5"/>
  <c r="Y230" i="5"/>
  <c r="AA230" i="5" s="1"/>
  <c r="Y238" i="5"/>
  <c r="AA238" i="5" s="1"/>
  <c r="Y246" i="5"/>
  <c r="AA246" i="5" s="1"/>
  <c r="Y254" i="5"/>
  <c r="AA254" i="5" s="1"/>
  <c r="Y262" i="5"/>
  <c r="AA262" i="5" s="1"/>
  <c r="S275" i="5"/>
  <c r="Y281" i="5"/>
  <c r="AA281" i="5" s="1"/>
  <c r="I282" i="5"/>
  <c r="Y290" i="5"/>
  <c r="AA290" i="5" s="1"/>
  <c r="Y313" i="5"/>
  <c r="AA313" i="5" s="1"/>
  <c r="Y321" i="5"/>
  <c r="AA321" i="5" s="1"/>
  <c r="S336" i="5"/>
  <c r="Y344" i="5"/>
  <c r="AA344" i="5" s="1"/>
  <c r="S347" i="5"/>
  <c r="Y351" i="5"/>
  <c r="AA351" i="5" s="1"/>
  <c r="Y359" i="5"/>
  <c r="AA359" i="5" s="1"/>
  <c r="N367" i="5"/>
  <c r="Y382" i="5"/>
  <c r="AA382" i="5" s="1"/>
  <c r="Y411" i="5"/>
  <c r="AA411" i="5" s="1"/>
  <c r="Y431" i="5"/>
  <c r="AA431" i="5" s="1"/>
  <c r="Y439" i="5"/>
  <c r="AA439" i="5" s="1"/>
  <c r="I439" i="5"/>
  <c r="I463" i="5"/>
  <c r="Y463" i="5"/>
  <c r="AA463" i="5" s="1"/>
  <c r="X561" i="5"/>
  <c r="I561" i="5"/>
  <c r="Y209" i="5"/>
  <c r="AA209" i="5" s="1"/>
  <c r="Y217" i="5"/>
  <c r="AA217" i="5" s="1"/>
  <c r="Y225" i="5"/>
  <c r="AA225" i="5" s="1"/>
  <c r="Y233" i="5"/>
  <c r="AA233" i="5" s="1"/>
  <c r="Y241" i="5"/>
  <c r="AA241" i="5" s="1"/>
  <c r="Y249" i="5"/>
  <c r="AA249" i="5" s="1"/>
  <c r="S267" i="5"/>
  <c r="Y288" i="5"/>
  <c r="AA288" i="5" s="1"/>
  <c r="Y289" i="5"/>
  <c r="AA289" i="5" s="1"/>
  <c r="I290" i="5"/>
  <c r="Y295" i="5"/>
  <c r="AA295" i="5" s="1"/>
  <c r="Y298" i="5"/>
  <c r="AA298" i="5" s="1"/>
  <c r="Y311" i="5"/>
  <c r="AA311" i="5" s="1"/>
  <c r="Y312" i="5"/>
  <c r="AA312" i="5" s="1"/>
  <c r="Y329" i="5"/>
  <c r="AA329" i="5" s="1"/>
  <c r="Y338" i="5"/>
  <c r="AA338" i="5" s="1"/>
  <c r="X347" i="5"/>
  <c r="Y352" i="5"/>
  <c r="AA352" i="5" s="1"/>
  <c r="I359" i="5"/>
  <c r="S367" i="5"/>
  <c r="Y372" i="5"/>
  <c r="AA372" i="5" s="1"/>
  <c r="Y383" i="5"/>
  <c r="AA383" i="5" s="1"/>
  <c r="Y389" i="5"/>
  <c r="AA389" i="5" s="1"/>
  <c r="Y412" i="5"/>
  <c r="AA412" i="5" s="1"/>
  <c r="Y417" i="5"/>
  <c r="AA417" i="5" s="1"/>
  <c r="Y432" i="5"/>
  <c r="AA432" i="5" s="1"/>
  <c r="I443" i="5"/>
  <c r="Y443" i="5"/>
  <c r="AA443" i="5" s="1"/>
  <c r="S448" i="5"/>
  <c r="Y448" i="5"/>
  <c r="AA448" i="5" s="1"/>
  <c r="I495" i="5"/>
  <c r="Y495" i="5"/>
  <c r="AA495" i="5" s="1"/>
  <c r="S508" i="5"/>
  <c r="N508" i="5"/>
  <c r="I508" i="5"/>
  <c r="Y163" i="5"/>
  <c r="AA163" i="5" s="1"/>
  <c r="Y171" i="5"/>
  <c r="AA171" i="5" s="1"/>
  <c r="Y179" i="5"/>
  <c r="AA179" i="5" s="1"/>
  <c r="Y187" i="5"/>
  <c r="AA187" i="5" s="1"/>
  <c r="Y196" i="5"/>
  <c r="AA196" i="5" s="1"/>
  <c r="Y204" i="5"/>
  <c r="AA204" i="5" s="1"/>
  <c r="Y212" i="5"/>
  <c r="AA212" i="5" s="1"/>
  <c r="Y220" i="5"/>
  <c r="AA220" i="5" s="1"/>
  <c r="Y228" i="5"/>
  <c r="AA228" i="5" s="1"/>
  <c r="Y236" i="5"/>
  <c r="AA236" i="5" s="1"/>
  <c r="Y244" i="5"/>
  <c r="AA244" i="5" s="1"/>
  <c r="Y252" i="5"/>
  <c r="AA252" i="5" s="1"/>
  <c r="Y260" i="5"/>
  <c r="AA260" i="5" s="1"/>
  <c r="N272" i="5"/>
  <c r="Y273" i="5"/>
  <c r="AA273" i="5" s="1"/>
  <c r="N280" i="5"/>
  <c r="N281" i="5"/>
  <c r="S283" i="5"/>
  <c r="Y296" i="5"/>
  <c r="AA296" i="5" s="1"/>
  <c r="Y297" i="5"/>
  <c r="AA297" i="5" s="1"/>
  <c r="Y303" i="5"/>
  <c r="AA303" i="5" s="1"/>
  <c r="Y306" i="5"/>
  <c r="AA306" i="5" s="1"/>
  <c r="N313" i="5"/>
  <c r="Y315" i="5"/>
  <c r="AA315" i="5" s="1"/>
  <c r="Y320" i="5"/>
  <c r="AA320" i="5" s="1"/>
  <c r="N321" i="5"/>
  <c r="S345" i="5"/>
  <c r="Y356" i="5"/>
  <c r="AA356" i="5" s="1"/>
  <c r="Y358" i="5"/>
  <c r="AA358" i="5" s="1"/>
  <c r="I427" i="5"/>
  <c r="Y427" i="5"/>
  <c r="AA427" i="5" s="1"/>
  <c r="I454" i="5"/>
  <c r="Y454" i="5"/>
  <c r="AA454" i="5" s="1"/>
  <c r="Y524" i="5"/>
  <c r="AA524" i="5" s="1"/>
  <c r="Z531" i="5"/>
  <c r="X531" i="5" s="1"/>
  <c r="X550" i="5"/>
  <c r="N265" i="5"/>
  <c r="Y266" i="5"/>
  <c r="AA266" i="5" s="1"/>
  <c r="Y274" i="5"/>
  <c r="AA274" i="5" s="1"/>
  <c r="Y276" i="5"/>
  <c r="AA276" i="5" s="1"/>
  <c r="S280" i="5"/>
  <c r="S281" i="5"/>
  <c r="S282" i="5"/>
  <c r="X283" i="5"/>
  <c r="N288" i="5"/>
  <c r="N289" i="5"/>
  <c r="S291" i="5"/>
  <c r="Y304" i="5"/>
  <c r="AA304" i="5" s="1"/>
  <c r="Y305" i="5"/>
  <c r="AA305" i="5" s="1"/>
  <c r="N312" i="5"/>
  <c r="S313" i="5"/>
  <c r="I320" i="5"/>
  <c r="S321" i="5"/>
  <c r="Y326" i="5"/>
  <c r="AA326" i="5" s="1"/>
  <c r="Y337" i="5"/>
  <c r="AA337" i="5" s="1"/>
  <c r="I358" i="5"/>
  <c r="S359" i="5"/>
  <c r="Y371" i="5"/>
  <c r="AA371" i="5" s="1"/>
  <c r="Y376" i="5"/>
  <c r="AA376" i="5" s="1"/>
  <c r="Y388" i="5"/>
  <c r="AA388" i="5" s="1"/>
  <c r="Y397" i="5"/>
  <c r="AA397" i="5" s="1"/>
  <c r="Y416" i="5"/>
  <c r="AA416" i="5" s="1"/>
  <c r="Y421" i="5"/>
  <c r="AA421" i="5" s="1"/>
  <c r="Y429" i="5"/>
  <c r="AA429" i="5" s="1"/>
  <c r="I438" i="5"/>
  <c r="Y438" i="5"/>
  <c r="AA438" i="5" s="1"/>
  <c r="Y440" i="5"/>
  <c r="AA440" i="5" s="1"/>
  <c r="I459" i="5"/>
  <c r="Y459" i="5"/>
  <c r="AA459" i="5" s="1"/>
  <c r="Y475" i="5"/>
  <c r="AA475" i="5" s="1"/>
  <c r="I475" i="5"/>
  <c r="Z504" i="5"/>
  <c r="AA504" i="5" s="1"/>
  <c r="Z518" i="5"/>
  <c r="X518" i="5" s="1"/>
  <c r="X527" i="5"/>
  <c r="Y527" i="5"/>
  <c r="AA527" i="5" s="1"/>
  <c r="Y534" i="5"/>
  <c r="AA534" i="5" s="1"/>
  <c r="Y310" i="5"/>
  <c r="AA310" i="5" s="1"/>
  <c r="Y318" i="5"/>
  <c r="AA318" i="5" s="1"/>
  <c r="Y373" i="5"/>
  <c r="AA373" i="5" s="1"/>
  <c r="Y377" i="5"/>
  <c r="AA377" i="5" s="1"/>
  <c r="Y381" i="5"/>
  <c r="AA381" i="5" s="1"/>
  <c r="Y385" i="5"/>
  <c r="AA385" i="5" s="1"/>
  <c r="Y391" i="5"/>
  <c r="AA391" i="5" s="1"/>
  <c r="Y398" i="5"/>
  <c r="AA398" i="5" s="1"/>
  <c r="Y410" i="5"/>
  <c r="AA410" i="5" s="1"/>
  <c r="Y414" i="5"/>
  <c r="AA414" i="5" s="1"/>
  <c r="Y418" i="5"/>
  <c r="AA418" i="5" s="1"/>
  <c r="Y422" i="5"/>
  <c r="AA422" i="5" s="1"/>
  <c r="Y426" i="5"/>
  <c r="AA426" i="5" s="1"/>
  <c r="Y452" i="5"/>
  <c r="AA452" i="5" s="1"/>
  <c r="Y476" i="5"/>
  <c r="AA476" i="5" s="1"/>
  <c r="Y505" i="5"/>
  <c r="X508" i="5"/>
  <c r="I511" i="5"/>
  <c r="M519" i="5"/>
  <c r="Y536" i="5"/>
  <c r="AA536" i="5" s="1"/>
  <c r="I537" i="5"/>
  <c r="Z557" i="5"/>
  <c r="I557" i="5" s="1"/>
  <c r="Y569" i="5"/>
  <c r="AA569" i="5" s="1"/>
  <c r="I569" i="5"/>
  <c r="X610" i="5"/>
  <c r="I610" i="5"/>
  <c r="Z653" i="5"/>
  <c r="N653" i="5" s="1"/>
  <c r="AA508" i="5"/>
  <c r="N511" i="5"/>
  <c r="Y532" i="5"/>
  <c r="AA532" i="5" s="1"/>
  <c r="Y540" i="5"/>
  <c r="AA540" i="5" s="1"/>
  <c r="I551" i="5"/>
  <c r="N604" i="5"/>
  <c r="Y604" i="5"/>
  <c r="AA604" i="5" s="1"/>
  <c r="Z661" i="5"/>
  <c r="N661" i="5" s="1"/>
  <c r="Y668" i="5"/>
  <c r="Y279" i="5"/>
  <c r="AA279" i="5" s="1"/>
  <c r="Y460" i="5"/>
  <c r="AA460" i="5" s="1"/>
  <c r="Y464" i="5"/>
  <c r="AA464" i="5" s="1"/>
  <c r="Y496" i="5"/>
  <c r="AA496" i="5" s="1"/>
  <c r="N535" i="5"/>
  <c r="S536" i="5"/>
  <c r="I553" i="5"/>
  <c r="Y553" i="5"/>
  <c r="AA553" i="5" s="1"/>
  <c r="X618" i="5"/>
  <c r="I618" i="5"/>
  <c r="I632" i="5"/>
  <c r="Y632" i="5"/>
  <c r="AA632" i="5" s="1"/>
  <c r="N640" i="5"/>
  <c r="Y737" i="5"/>
  <c r="AA737" i="5" s="1"/>
  <c r="I737" i="5"/>
  <c r="Y433" i="5"/>
  <c r="AA433" i="5" s="1"/>
  <c r="Y434" i="5"/>
  <c r="AA434" i="5" s="1"/>
  <c r="Y436" i="5"/>
  <c r="AA436" i="5" s="1"/>
  <c r="Y446" i="5"/>
  <c r="AA446" i="5" s="1"/>
  <c r="Y447" i="5"/>
  <c r="AA447" i="5" s="1"/>
  <c r="Y483" i="5"/>
  <c r="AA483" i="5" s="1"/>
  <c r="Y492" i="5"/>
  <c r="AA492" i="5" s="1"/>
  <c r="Y493" i="5"/>
  <c r="AA493" i="5" s="1"/>
  <c r="I520" i="5"/>
  <c r="R529" i="5"/>
  <c r="S529" i="5" s="1"/>
  <c r="X536" i="5"/>
  <c r="X537" i="5"/>
  <c r="H549" i="5"/>
  <c r="N550" i="5"/>
  <c r="Y574" i="5"/>
  <c r="AA610" i="5"/>
  <c r="N616" i="5"/>
  <c r="Y616" i="5"/>
  <c r="AA616" i="5" s="1"/>
  <c r="Y317" i="5"/>
  <c r="AA317" i="5" s="1"/>
  <c r="Y325" i="5"/>
  <c r="AA325" i="5" s="1"/>
  <c r="Y333" i="5"/>
  <c r="AA333" i="5" s="1"/>
  <c r="Y341" i="5"/>
  <c r="AA341" i="5" s="1"/>
  <c r="Y354" i="5"/>
  <c r="AA354" i="5" s="1"/>
  <c r="Y364" i="5"/>
  <c r="AA364" i="5" s="1"/>
  <c r="Y488" i="5"/>
  <c r="AA488" i="5" s="1"/>
  <c r="R516" i="5"/>
  <c r="S516" i="5" s="1"/>
  <c r="Y571" i="5"/>
  <c r="AA571" i="5" s="1"/>
  <c r="I571" i="5"/>
  <c r="I576" i="5"/>
  <c r="Y576" i="5"/>
  <c r="AA576" i="5" s="1"/>
  <c r="S626" i="5"/>
  <c r="Y484" i="5"/>
  <c r="AA484" i="5" s="1"/>
  <c r="Y485" i="5"/>
  <c r="AA485" i="5" s="1"/>
  <c r="AA511" i="5"/>
  <c r="H516" i="5"/>
  <c r="I521" i="5"/>
  <c r="Y552" i="5"/>
  <c r="AA552" i="5" s="1"/>
  <c r="I552" i="5"/>
  <c r="I570" i="5"/>
  <c r="Y570" i="5"/>
  <c r="AA570" i="5" s="1"/>
  <c r="H609" i="5"/>
  <c r="S619" i="5"/>
  <c r="S618" i="5"/>
  <c r="Y739" i="5"/>
  <c r="AA739" i="5" s="1"/>
  <c r="N739" i="5"/>
  <c r="I744" i="5"/>
  <c r="Y548" i="5"/>
  <c r="AA548" i="5" s="1"/>
  <c r="AA551" i="5"/>
  <c r="H556" i="5"/>
  <c r="Y561" i="5"/>
  <c r="AA561" i="5" s="1"/>
  <c r="Y562" i="5"/>
  <c r="I573" i="5"/>
  <c r="H611" i="5"/>
  <c r="Y622" i="5"/>
  <c r="Y625" i="5"/>
  <c r="AA625" i="5" s="1"/>
  <c r="I638" i="5"/>
  <c r="Y639" i="5"/>
  <c r="AA639" i="5" s="1"/>
  <c r="I639" i="5"/>
  <c r="Y651" i="5"/>
  <c r="AA651" i="5" s="1"/>
  <c r="I651" i="5"/>
  <c r="S664" i="5"/>
  <c r="Z698" i="5"/>
  <c r="S698" i="5" s="1"/>
  <c r="Y543" i="5"/>
  <c r="AA543" i="5" s="1"/>
  <c r="M549" i="5"/>
  <c r="N549" i="5" s="1"/>
  <c r="N561" i="5"/>
  <c r="R578" i="5"/>
  <c r="S578" i="5" s="1"/>
  <c r="I636" i="5"/>
  <c r="Y636" i="5"/>
  <c r="AA636" i="5" s="1"/>
  <c r="Z646" i="5"/>
  <c r="AA646" i="5" s="1"/>
  <c r="Y507" i="5"/>
  <c r="Y522" i="5"/>
  <c r="AA522" i="5" s="1"/>
  <c r="Y538" i="5"/>
  <c r="AA538" i="5" s="1"/>
  <c r="Y544" i="5"/>
  <c r="AA544" i="5" s="1"/>
  <c r="N556" i="5"/>
  <c r="S561" i="5"/>
  <c r="N577" i="5"/>
  <c r="Y597" i="5"/>
  <c r="Y608" i="5"/>
  <c r="N610" i="5"/>
  <c r="X613" i="5"/>
  <c r="Y619" i="5"/>
  <c r="AA619" i="5" s="1"/>
  <c r="Z623" i="5"/>
  <c r="AA623" i="5" s="1"/>
  <c r="I629" i="5"/>
  <c r="X629" i="5"/>
  <c r="I647" i="5"/>
  <c r="Y655" i="5"/>
  <c r="AA655" i="5" s="1"/>
  <c r="X666" i="5"/>
  <c r="N666" i="5"/>
  <c r="I666" i="5"/>
  <c r="Y707" i="5"/>
  <c r="AA707" i="5" s="1"/>
  <c r="I707" i="5"/>
  <c r="Y709" i="5"/>
  <c r="AA709" i="5" s="1"/>
  <c r="I709" i="5"/>
  <c r="Y458" i="5"/>
  <c r="AA458" i="5" s="1"/>
  <c r="Y462" i="5"/>
  <c r="AA462" i="5" s="1"/>
  <c r="Y466" i="5"/>
  <c r="AA466" i="5" s="1"/>
  <c r="Y470" i="5"/>
  <c r="AA470" i="5" s="1"/>
  <c r="Y474" i="5"/>
  <c r="AA474" i="5" s="1"/>
  <c r="Y478" i="5"/>
  <c r="AA478" i="5" s="1"/>
  <c r="Y482" i="5"/>
  <c r="AA482" i="5" s="1"/>
  <c r="Y486" i="5"/>
  <c r="AA486" i="5" s="1"/>
  <c r="Y490" i="5"/>
  <c r="AA490" i="5" s="1"/>
  <c r="Y494" i="5"/>
  <c r="AA494" i="5" s="1"/>
  <c r="Y498" i="5"/>
  <c r="AA498" i="5" s="1"/>
  <c r="Y510" i="5"/>
  <c r="Y517" i="5"/>
  <c r="Y525" i="5"/>
  <c r="Y528" i="5"/>
  <c r="Y530" i="5"/>
  <c r="AA530" i="5" s="1"/>
  <c r="Y533" i="5"/>
  <c r="Y541" i="5"/>
  <c r="AA541" i="5" s="1"/>
  <c r="I545" i="5"/>
  <c r="Y545" i="5"/>
  <c r="AA545" i="5" s="1"/>
  <c r="S551" i="5"/>
  <c r="X552" i="5"/>
  <c r="Y572" i="5"/>
  <c r="AA572" i="5" s="1"/>
  <c r="Y580" i="5"/>
  <c r="AA580" i="5" s="1"/>
  <c r="Y596" i="5"/>
  <c r="Y607" i="5"/>
  <c r="AA607" i="5" s="1"/>
  <c r="S610" i="5"/>
  <c r="M613" i="5"/>
  <c r="Y618" i="5"/>
  <c r="AA618" i="5" s="1"/>
  <c r="S628" i="5"/>
  <c r="Y628" i="5"/>
  <c r="AA628" i="5" s="1"/>
  <c r="N629" i="5"/>
  <c r="Z654" i="5"/>
  <c r="I654" i="5" s="1"/>
  <c r="Y677" i="5"/>
  <c r="Y683" i="5"/>
  <c r="I699" i="5"/>
  <c r="I700" i="5"/>
  <c r="R549" i="5"/>
  <c r="S549" i="5" s="1"/>
  <c r="X551" i="5"/>
  <c r="Y555" i="5"/>
  <c r="Y558" i="5"/>
  <c r="Y559" i="5"/>
  <c r="AA559" i="5" s="1"/>
  <c r="S576" i="5"/>
  <c r="M578" i="5"/>
  <c r="N578" i="5" s="1"/>
  <c r="W578" i="5"/>
  <c r="X578" i="5" s="1"/>
  <c r="Y599" i="5"/>
  <c r="Y606" i="5"/>
  <c r="AA606" i="5" s="1"/>
  <c r="W609" i="5"/>
  <c r="X609" i="5" s="1"/>
  <c r="Y612" i="5"/>
  <c r="AA612" i="5" s="1"/>
  <c r="Y614" i="5"/>
  <c r="N619" i="5"/>
  <c r="S642" i="5"/>
  <c r="Z652" i="5"/>
  <c r="X626" i="5"/>
  <c r="Z641" i="5"/>
  <c r="AA641" i="5" s="1"/>
  <c r="I646" i="5"/>
  <c r="Y648" i="5"/>
  <c r="AA648" i="5" s="1"/>
  <c r="I675" i="5"/>
  <c r="Y675" i="5"/>
  <c r="AA675" i="5" s="1"/>
  <c r="Y676" i="5"/>
  <c r="Y690" i="5"/>
  <c r="Z726" i="5"/>
  <c r="AA726" i="5" s="1"/>
  <c r="I812" i="5"/>
  <c r="Y812" i="5"/>
  <c r="AA812" i="5" s="1"/>
  <c r="Y560" i="5"/>
  <c r="AA560" i="5" s="1"/>
  <c r="Y575" i="5"/>
  <c r="AA575" i="5" s="1"/>
  <c r="Y579" i="5"/>
  <c r="AA579" i="5" s="1"/>
  <c r="Y605" i="5"/>
  <c r="AA605" i="5" s="1"/>
  <c r="Y617" i="5"/>
  <c r="AA617" i="5" s="1"/>
  <c r="N630" i="5"/>
  <c r="N639" i="5"/>
  <c r="N642" i="5"/>
  <c r="S650" i="5"/>
  <c r="Z656" i="5"/>
  <c r="I656" i="5" s="1"/>
  <c r="Y663" i="5"/>
  <c r="AA663" i="5" s="1"/>
  <c r="I663" i="5"/>
  <c r="Z693" i="5"/>
  <c r="N693" i="5" s="1"/>
  <c r="I697" i="5"/>
  <c r="Z714" i="5"/>
  <c r="AA714" i="5" s="1"/>
  <c r="N625" i="5"/>
  <c r="Y626" i="5"/>
  <c r="AA626" i="5" s="1"/>
  <c r="Y627" i="5"/>
  <c r="AA627" i="5" s="1"/>
  <c r="N647" i="5"/>
  <c r="X650" i="5"/>
  <c r="H659" i="5"/>
  <c r="Y662" i="5"/>
  <c r="AA662" i="5" s="1"/>
  <c r="I662" i="5"/>
  <c r="I847" i="5"/>
  <c r="Y847" i="5"/>
  <c r="AA847" i="5" s="1"/>
  <c r="Y603" i="5"/>
  <c r="Y615" i="5"/>
  <c r="Y621" i="5"/>
  <c r="I627" i="5"/>
  <c r="W640" i="5"/>
  <c r="X640" i="5" s="1"/>
  <c r="Y660" i="5"/>
  <c r="AA660" i="5" s="1"/>
  <c r="Y711" i="5"/>
  <c r="Z722" i="5"/>
  <c r="AA722" i="5" s="1"/>
  <c r="N620" i="5"/>
  <c r="N626" i="5"/>
  <c r="X630" i="5"/>
  <c r="Y634" i="5"/>
  <c r="AA634" i="5" s="1"/>
  <c r="Y635" i="5"/>
  <c r="AA635" i="5" s="1"/>
  <c r="X642" i="5"/>
  <c r="Y645" i="5"/>
  <c r="AA645" i="5" s="1"/>
  <c r="X647" i="5"/>
  <c r="Y649" i="5"/>
  <c r="AA649" i="5" s="1"/>
  <c r="S662" i="5"/>
  <c r="N664" i="5"/>
  <c r="S666" i="5"/>
  <c r="Y691" i="5"/>
  <c r="Y731" i="5"/>
  <c r="AA731" i="5" s="1"/>
  <c r="I731" i="5"/>
  <c r="Z819" i="5"/>
  <c r="I819" i="5" s="1"/>
  <c r="S695" i="5"/>
  <c r="R700" i="5"/>
  <c r="S700" i="5" s="1"/>
  <c r="Y708" i="5"/>
  <c r="Y720" i="5"/>
  <c r="AA720" i="5" s="1"/>
  <c r="Y721" i="5"/>
  <c r="AA721" i="5" s="1"/>
  <c r="Y730" i="5"/>
  <c r="S743" i="5"/>
  <c r="M744" i="5"/>
  <c r="N744" i="5" s="1"/>
  <c r="M746" i="5"/>
  <c r="N746" i="5" s="1"/>
  <c r="Y761" i="5"/>
  <c r="AA761" i="5" s="1"/>
  <c r="I761" i="5"/>
  <c r="Z852" i="5"/>
  <c r="AA852" i="5" s="1"/>
  <c r="Y704" i="5"/>
  <c r="H716" i="5"/>
  <c r="R717" i="5"/>
  <c r="S717" i="5" s="1"/>
  <c r="Y728" i="5"/>
  <c r="W740" i="5"/>
  <c r="X740" i="5" s="1"/>
  <c r="W742" i="5"/>
  <c r="X742" i="5" s="1"/>
  <c r="X743" i="5"/>
  <c r="M745" i="5"/>
  <c r="N745" i="5" s="1"/>
  <c r="Z818" i="5"/>
  <c r="S818" i="5" s="1"/>
  <c r="Y870" i="5"/>
  <c r="Y889" i="5"/>
  <c r="AA889" i="5" s="1"/>
  <c r="I889" i="5"/>
  <c r="Y644" i="5"/>
  <c r="AA644" i="5" s="1"/>
  <c r="Y665" i="5"/>
  <c r="AA665" i="5" s="1"/>
  <c r="Z712" i="5"/>
  <c r="Z905" i="5"/>
  <c r="S905" i="5" s="1"/>
  <c r="Y673" i="5"/>
  <c r="AA673" i="5" s="1"/>
  <c r="Y681" i="5"/>
  <c r="AA681" i="5" s="1"/>
  <c r="X688" i="5"/>
  <c r="Y689" i="5"/>
  <c r="Y715" i="5"/>
  <c r="AA715" i="5" s="1"/>
  <c r="I811" i="5"/>
  <c r="Z842" i="5"/>
  <c r="I842" i="5" s="1"/>
  <c r="Z863" i="5"/>
  <c r="S863" i="5" s="1"/>
  <c r="Y866" i="5"/>
  <c r="Y657" i="5"/>
  <c r="Y674" i="5"/>
  <c r="AA674" i="5" s="1"/>
  <c r="Y682" i="5"/>
  <c r="Y694" i="5"/>
  <c r="Y696" i="5"/>
  <c r="AA696" i="5" s="1"/>
  <c r="X715" i="5"/>
  <c r="W716" i="5"/>
  <c r="X716" i="5" s="1"/>
  <c r="Y902" i="5"/>
  <c r="AA915" i="5"/>
  <c r="N673" i="5"/>
  <c r="N681" i="5"/>
  <c r="Y688" i="5"/>
  <c r="AA688" i="5" s="1"/>
  <c r="R697" i="5"/>
  <c r="S697" i="5" s="1"/>
  <c r="R699" i="5"/>
  <c r="S699" i="5" s="1"/>
  <c r="Z705" i="5"/>
  <c r="S705" i="5" s="1"/>
  <c r="Y710" i="5"/>
  <c r="AA710" i="5" s="1"/>
  <c r="Y738" i="5"/>
  <c r="AA738" i="5" s="1"/>
  <c r="I740" i="5"/>
  <c r="Y741" i="5"/>
  <c r="AA741" i="5" s="1"/>
  <c r="W746" i="5"/>
  <c r="X746" i="5" s="1"/>
  <c r="Y752" i="5"/>
  <c r="I890" i="5"/>
  <c r="Y890" i="5"/>
  <c r="AA890" i="5" s="1"/>
  <c r="X915" i="5"/>
  <c r="I915" i="5"/>
  <c r="Y917" i="5"/>
  <c r="AA917" i="5" s="1"/>
  <c r="I917" i="5"/>
  <c r="Y749" i="5"/>
  <c r="AA749" i="5" s="1"/>
  <c r="N820" i="5"/>
  <c r="I822" i="5"/>
  <c r="N839" i="5"/>
  <c r="I839" i="5"/>
  <c r="Y856" i="5"/>
  <c r="AA856" i="5" s="1"/>
  <c r="I856" i="5"/>
  <c r="S876" i="5"/>
  <c r="X876" i="5"/>
  <c r="Z910" i="5"/>
  <c r="S910" i="5" s="1"/>
  <c r="X920" i="5"/>
  <c r="I920" i="5"/>
  <c r="H745" i="5"/>
  <c r="Y747" i="5"/>
  <c r="AA747" i="5" s="1"/>
  <c r="N761" i="5"/>
  <c r="Y816" i="5"/>
  <c r="AA816" i="5" s="1"/>
  <c r="N818" i="5"/>
  <c r="S820" i="5"/>
  <c r="R846" i="5"/>
  <c r="N856" i="5"/>
  <c r="Z873" i="5"/>
  <c r="AA887" i="5"/>
  <c r="I897" i="5"/>
  <c r="Z907" i="5"/>
  <c r="S907" i="5" s="1"/>
  <c r="Y701" i="5"/>
  <c r="AA701" i="5" s="1"/>
  <c r="Y713" i="5"/>
  <c r="Y719" i="5"/>
  <c r="Y727" i="5"/>
  <c r="Y751" i="5"/>
  <c r="AA751" i="5" s="1"/>
  <c r="Y754" i="5"/>
  <c r="S811" i="5"/>
  <c r="N814" i="5"/>
  <c r="N860" i="5"/>
  <c r="Y860" i="5"/>
  <c r="AA860" i="5" s="1"/>
  <c r="X887" i="5"/>
  <c r="I887" i="5"/>
  <c r="I715" i="5"/>
  <c r="I742" i="5"/>
  <c r="I746" i="5"/>
  <c r="Y750" i="5"/>
  <c r="AA750" i="5" s="1"/>
  <c r="I750" i="5"/>
  <c r="Y756" i="5"/>
  <c r="H757" i="5"/>
  <c r="S814" i="5"/>
  <c r="S822" i="5"/>
  <c r="AA849" i="5"/>
  <c r="Z868" i="5"/>
  <c r="AA868" i="5" s="1"/>
  <c r="Z872" i="5"/>
  <c r="AA872" i="5" s="1"/>
  <c r="S923" i="5"/>
  <c r="X923" i="5"/>
  <c r="I923" i="5"/>
  <c r="H758" i="5"/>
  <c r="Y843" i="5"/>
  <c r="X849" i="5"/>
  <c r="I849" i="5"/>
  <c r="Y854" i="5"/>
  <c r="Y876" i="5"/>
  <c r="AA876" i="5" s="1"/>
  <c r="I876" i="5"/>
  <c r="I895" i="5"/>
  <c r="Y895" i="5"/>
  <c r="AA895" i="5" s="1"/>
  <c r="W745" i="5"/>
  <c r="X745" i="5" s="1"/>
  <c r="Y748" i="5"/>
  <c r="AA748" i="5" s="1"/>
  <c r="Y753" i="5"/>
  <c r="Y755" i="5"/>
  <c r="Z831" i="5"/>
  <c r="N831" i="5" s="1"/>
  <c r="H845" i="5"/>
  <c r="H875" i="5"/>
  <c r="I880" i="5"/>
  <c r="I899" i="5"/>
  <c r="Y815" i="5"/>
  <c r="AA815" i="5" s="1"/>
  <c r="Y821" i="5"/>
  <c r="AA821" i="5" s="1"/>
  <c r="Y828" i="5"/>
  <c r="AA828" i="5" s="1"/>
  <c r="X833" i="5"/>
  <c r="Y836" i="5"/>
  <c r="AA836" i="5" s="1"/>
  <c r="Y839" i="5"/>
  <c r="AA839" i="5" s="1"/>
  <c r="I855" i="5"/>
  <c r="Y855" i="5"/>
  <c r="AA855" i="5" s="1"/>
  <c r="N892" i="5"/>
  <c r="N899" i="5"/>
  <c r="Y914" i="5"/>
  <c r="Y922" i="5"/>
  <c r="Y810" i="5"/>
  <c r="AA810" i="5" s="1"/>
  <c r="Y829" i="5"/>
  <c r="AA829" i="5" s="1"/>
  <c r="X836" i="5"/>
  <c r="S836" i="5"/>
  <c r="Y837" i="5"/>
  <c r="AA837" i="5" s="1"/>
  <c r="Y841" i="5"/>
  <c r="Y850" i="5"/>
  <c r="AA850" i="5" s="1"/>
  <c r="Y851" i="5"/>
  <c r="I869" i="5"/>
  <c r="X874" i="5"/>
  <c r="N876" i="5"/>
  <c r="S892" i="5"/>
  <c r="S899" i="5"/>
  <c r="I913" i="5"/>
  <c r="Y913" i="5"/>
  <c r="AA913" i="5" s="1"/>
  <c r="I748" i="5"/>
  <c r="H827" i="5"/>
  <c r="N849" i="5"/>
  <c r="Y865" i="5"/>
  <c r="M874" i="5"/>
  <c r="N874" i="5" s="1"/>
  <c r="W875" i="5"/>
  <c r="X875" i="5" s="1"/>
  <c r="N887" i="5"/>
  <c r="S889" i="5"/>
  <c r="S894" i="5"/>
  <c r="S896" i="5"/>
  <c r="S901" i="5"/>
  <c r="Y909" i="5"/>
  <c r="N915" i="5"/>
  <c r="N920" i="5"/>
  <c r="N923" i="5"/>
  <c r="Y952" i="5"/>
  <c r="Y833" i="5"/>
  <c r="AA833" i="5" s="1"/>
  <c r="N846" i="5"/>
  <c r="X846" i="5"/>
  <c r="S849" i="5"/>
  <c r="S856" i="5"/>
  <c r="W880" i="5"/>
  <c r="X880" i="5" s="1"/>
  <c r="S887" i="5"/>
  <c r="X889" i="5"/>
  <c r="X894" i="5"/>
  <c r="X896" i="5"/>
  <c r="X901" i="5"/>
  <c r="S915" i="5"/>
  <c r="S917" i="5"/>
  <c r="S920" i="5"/>
  <c r="S839" i="5"/>
  <c r="R845" i="5"/>
  <c r="S845" i="5" s="1"/>
  <c r="X856" i="5"/>
  <c r="Y864" i="5"/>
  <c r="S912" i="5"/>
  <c r="X839" i="5"/>
  <c r="W869" i="5"/>
  <c r="X869" i="5" s="1"/>
  <c r="N880" i="5"/>
  <c r="X912" i="5"/>
  <c r="Y832" i="5"/>
  <c r="AA832" i="5" s="1"/>
  <c r="Y877" i="5"/>
  <c r="AA877" i="5" s="1"/>
  <c r="Y893" i="5"/>
  <c r="Y900" i="5"/>
  <c r="AA900" i="5" s="1"/>
  <c r="Y908" i="5"/>
  <c r="Y921" i="5"/>
  <c r="AA921" i="5" s="1"/>
  <c r="Y835" i="5"/>
  <c r="AA835" i="5" s="1"/>
  <c r="Y838" i="5"/>
  <c r="AA838" i="5" s="1"/>
  <c r="Y844" i="5"/>
  <c r="Y853" i="5"/>
  <c r="Y867" i="5"/>
  <c r="Y871" i="5"/>
  <c r="Y888" i="5"/>
  <c r="Y903" i="5"/>
  <c r="Y911" i="5"/>
  <c r="Y916" i="5"/>
  <c r="AA916" i="5" s="1"/>
  <c r="Y924" i="5"/>
  <c r="Y826" i="5"/>
  <c r="AA826" i="5" s="1"/>
  <c r="Y830" i="5"/>
  <c r="AA830" i="5" s="1"/>
  <c r="Y848" i="5"/>
  <c r="AA848" i="5" s="1"/>
  <c r="Y858" i="5"/>
  <c r="AA858" i="5" s="1"/>
  <c r="Y862" i="5"/>
  <c r="Y878" i="5"/>
  <c r="AA878" i="5" s="1"/>
  <c r="Y891" i="5"/>
  <c r="Y898" i="5"/>
  <c r="Y906" i="5"/>
  <c r="Y919" i="5"/>
  <c r="AA919" i="5" s="1"/>
  <c r="C128" i="4"/>
  <c r="C129" i="4"/>
  <c r="X819" i="5" l="1"/>
  <c r="I910" i="5"/>
  <c r="Y629" i="5"/>
  <c r="AA629" i="5" s="1"/>
  <c r="AA698" i="5"/>
  <c r="AA820" i="5"/>
  <c r="I852" i="5"/>
  <c r="S653" i="5"/>
  <c r="Y650" i="5"/>
  <c r="AA650" i="5" s="1"/>
  <c r="Y633" i="5"/>
  <c r="AA633" i="5" s="1"/>
  <c r="S852" i="5"/>
  <c r="X872" i="5"/>
  <c r="S872" i="5"/>
  <c r="X910" i="5"/>
  <c r="I661" i="5"/>
  <c r="X653" i="5"/>
  <c r="N518" i="5"/>
  <c r="Y550" i="5"/>
  <c r="AA550" i="5" s="1"/>
  <c r="N907" i="5"/>
  <c r="I653" i="5"/>
  <c r="I518" i="5"/>
  <c r="S692" i="5"/>
  <c r="N692" i="5"/>
  <c r="I692" i="5"/>
  <c r="I726" i="5"/>
  <c r="N819" i="5"/>
  <c r="Y724" i="5"/>
  <c r="AA724" i="5" s="1"/>
  <c r="X664" i="5"/>
  <c r="AA624" i="5"/>
  <c r="X624" i="5"/>
  <c r="N624" i="5"/>
  <c r="AA664" i="5"/>
  <c r="I624" i="5"/>
  <c r="X905" i="5"/>
  <c r="N714" i="5"/>
  <c r="X557" i="5"/>
  <c r="Y520" i="5"/>
  <c r="AA520" i="5" s="1"/>
  <c r="AA642" i="5"/>
  <c r="X661" i="5"/>
  <c r="S661" i="5"/>
  <c r="AA692" i="5"/>
  <c r="AA705" i="5"/>
  <c r="X705" i="5"/>
  <c r="S722" i="5"/>
  <c r="S842" i="5"/>
  <c r="S861" i="5"/>
  <c r="X861" i="5"/>
  <c r="I861" i="5"/>
  <c r="I905" i="5"/>
  <c r="N905" i="5"/>
  <c r="N910" i="5"/>
  <c r="AA910" i="5"/>
  <c r="X598" i="5"/>
  <c r="X868" i="5"/>
  <c r="I818" i="5"/>
  <c r="N861" i="5"/>
  <c r="N863" i="5"/>
  <c r="X842" i="5"/>
  <c r="Y740" i="5"/>
  <c r="AA740" i="5" s="1"/>
  <c r="S819" i="5"/>
  <c r="AA905" i="5"/>
  <c r="AA819" i="5"/>
  <c r="N531" i="5"/>
  <c r="I531" i="5"/>
  <c r="Y723" i="5"/>
  <c r="AA723" i="5" s="1"/>
  <c r="S623" i="5"/>
  <c r="X818" i="5"/>
  <c r="X692" i="5"/>
  <c r="S868" i="5"/>
  <c r="AA818" i="5"/>
  <c r="AA531" i="5"/>
  <c r="AA518" i="5"/>
  <c r="S511" i="5"/>
  <c r="S506" i="5"/>
  <c r="M951" i="5"/>
  <c r="M953" i="5" s="1"/>
  <c r="R951" i="5"/>
  <c r="R953" i="5" s="1"/>
  <c r="W951" i="5"/>
  <c r="W953" i="5" s="1"/>
  <c r="H951" i="5"/>
  <c r="H953" i="5" s="1"/>
  <c r="I831" i="5"/>
  <c r="X831" i="5"/>
  <c r="Z694" i="5"/>
  <c r="AA694" i="5" s="1"/>
  <c r="N712" i="5"/>
  <c r="S712" i="5"/>
  <c r="X712" i="5"/>
  <c r="Y716" i="5"/>
  <c r="AA716" i="5" s="1"/>
  <c r="I716" i="5"/>
  <c r="Z708" i="5"/>
  <c r="Z603" i="5"/>
  <c r="AA603" i="5" s="1"/>
  <c r="Y659" i="5"/>
  <c r="AA659" i="5" s="1"/>
  <c r="I659" i="5"/>
  <c r="I652" i="5"/>
  <c r="S652" i="5"/>
  <c r="N652" i="5"/>
  <c r="Z599" i="5"/>
  <c r="Z555" i="5"/>
  <c r="Z683" i="5"/>
  <c r="Z562" i="5"/>
  <c r="Y744" i="5"/>
  <c r="AA744" i="5" s="1"/>
  <c r="Z574" i="5"/>
  <c r="S531" i="5"/>
  <c r="Z911" i="5"/>
  <c r="Z862" i="5"/>
  <c r="AA862" i="5" s="1"/>
  <c r="Z903" i="5"/>
  <c r="AA903" i="5" s="1"/>
  <c r="Z865" i="5"/>
  <c r="AA865" i="5" s="1"/>
  <c r="Y869" i="5"/>
  <c r="AA869" i="5" s="1"/>
  <c r="Y880" i="5"/>
  <c r="AA880" i="5" s="1"/>
  <c r="AA831" i="5"/>
  <c r="Z754" i="5"/>
  <c r="I907" i="5"/>
  <c r="X907" i="5"/>
  <c r="I745" i="5"/>
  <c r="Y745" i="5"/>
  <c r="AA745" i="5" s="1"/>
  <c r="Z682" i="5"/>
  <c r="AA682" i="5" s="1"/>
  <c r="AA861" i="5"/>
  <c r="Z689" i="5"/>
  <c r="AA689" i="5" s="1"/>
  <c r="AA712" i="5"/>
  <c r="Z704" i="5"/>
  <c r="Z691" i="5"/>
  <c r="AA691" i="5" s="1"/>
  <c r="Z676" i="5"/>
  <c r="AA676" i="5" s="1"/>
  <c r="AA652" i="5"/>
  <c r="I512" i="5"/>
  <c r="X512" i="5"/>
  <c r="S512" i="5"/>
  <c r="Z888" i="5"/>
  <c r="AA888" i="5" s="1"/>
  <c r="Z908" i="5"/>
  <c r="Y875" i="5"/>
  <c r="AA875" i="5" s="1"/>
  <c r="I875" i="5"/>
  <c r="Y757" i="5"/>
  <c r="AA757" i="5" s="1"/>
  <c r="I757" i="5"/>
  <c r="AA907" i="5"/>
  <c r="Y846" i="5"/>
  <c r="AA846" i="5" s="1"/>
  <c r="S846" i="5"/>
  <c r="AA842" i="5"/>
  <c r="X722" i="5"/>
  <c r="I722" i="5"/>
  <c r="N722" i="5"/>
  <c r="S714" i="5"/>
  <c r="I714" i="5"/>
  <c r="X714" i="5"/>
  <c r="N726" i="5"/>
  <c r="X726" i="5"/>
  <c r="S726" i="5"/>
  <c r="Z677" i="5"/>
  <c r="AA677" i="5" s="1"/>
  <c r="Z596" i="5"/>
  <c r="Z533" i="5"/>
  <c r="AA533" i="5" s="1"/>
  <c r="X646" i="5"/>
  <c r="S646" i="5"/>
  <c r="Z622" i="5"/>
  <c r="Y549" i="5"/>
  <c r="AA549" i="5" s="1"/>
  <c r="I549" i="5"/>
  <c r="I504" i="5"/>
  <c r="S504" i="5"/>
  <c r="X504" i="5"/>
  <c r="AA512" i="5"/>
  <c r="Z554" i="5"/>
  <c r="I535" i="5"/>
  <c r="S535" i="5"/>
  <c r="X535" i="5"/>
  <c r="Z871" i="5"/>
  <c r="Z851" i="5"/>
  <c r="AA851" i="5" s="1"/>
  <c r="Y874" i="5"/>
  <c r="AA874" i="5" s="1"/>
  <c r="Z755" i="5"/>
  <c r="Z843" i="5"/>
  <c r="AA843" i="5" s="1"/>
  <c r="N872" i="5"/>
  <c r="I872" i="5"/>
  <c r="Z756" i="5"/>
  <c r="AA756" i="5" s="1"/>
  <c r="Z727" i="5"/>
  <c r="AA727" i="5" s="1"/>
  <c r="Z657" i="5"/>
  <c r="AA657" i="5" s="1"/>
  <c r="Z870" i="5"/>
  <c r="AA870" i="5" s="1"/>
  <c r="N852" i="5"/>
  <c r="X852" i="5"/>
  <c r="Y742" i="5"/>
  <c r="AA742" i="5" s="1"/>
  <c r="X652" i="5"/>
  <c r="N656" i="5"/>
  <c r="X656" i="5"/>
  <c r="S656" i="5"/>
  <c r="I556" i="5"/>
  <c r="Y556" i="5"/>
  <c r="AA556" i="5" s="1"/>
  <c r="N646" i="5"/>
  <c r="AA653" i="5"/>
  <c r="S557" i="5"/>
  <c r="N557" i="5"/>
  <c r="Z505" i="5"/>
  <c r="N598" i="5"/>
  <c r="I598" i="5"/>
  <c r="AA535" i="5"/>
  <c r="Z867" i="5"/>
  <c r="Z893" i="5"/>
  <c r="AA893" i="5" s="1"/>
  <c r="Z922" i="5"/>
  <c r="N868" i="5"/>
  <c r="I868" i="5"/>
  <c r="Z719" i="5"/>
  <c r="AA719" i="5" s="1"/>
  <c r="S831" i="5"/>
  <c r="I712" i="5"/>
  <c r="Z730" i="5"/>
  <c r="AA730" i="5" s="1"/>
  <c r="AA656" i="5"/>
  <c r="S641" i="5"/>
  <c r="X641" i="5"/>
  <c r="Z614" i="5"/>
  <c r="AA614" i="5" s="1"/>
  <c r="Y700" i="5"/>
  <c r="AA700" i="5" s="1"/>
  <c r="Z528" i="5"/>
  <c r="AA528" i="5" s="1"/>
  <c r="X698" i="5"/>
  <c r="I698" i="5"/>
  <c r="N698" i="5"/>
  <c r="Y609" i="5"/>
  <c r="AA609" i="5" s="1"/>
  <c r="I609" i="5"/>
  <c r="Z668" i="5"/>
  <c r="AA557" i="5"/>
  <c r="AA598" i="5"/>
  <c r="Y529" i="5"/>
  <c r="AA529" i="5" s="1"/>
  <c r="N506" i="5"/>
  <c r="X506" i="5"/>
  <c r="I506" i="5"/>
  <c r="Z906" i="5"/>
  <c r="AA906" i="5" s="1"/>
  <c r="Y827" i="5"/>
  <c r="AA827" i="5" s="1"/>
  <c r="I827" i="5"/>
  <c r="Z914" i="5"/>
  <c r="Z753" i="5"/>
  <c r="AA753" i="5" s="1"/>
  <c r="Y758" i="5"/>
  <c r="AA758" i="5" s="1"/>
  <c r="I758" i="5"/>
  <c r="Z713" i="5"/>
  <c r="S873" i="5"/>
  <c r="X873" i="5"/>
  <c r="Z866" i="5"/>
  <c r="AA866" i="5" s="1"/>
  <c r="Z711" i="5"/>
  <c r="AA711" i="5" s="1"/>
  <c r="Y697" i="5"/>
  <c r="AA697" i="5" s="1"/>
  <c r="N654" i="5"/>
  <c r="X654" i="5"/>
  <c r="S654" i="5"/>
  <c r="N613" i="5"/>
  <c r="Y613" i="5"/>
  <c r="AA613" i="5" s="1"/>
  <c r="Z525" i="5"/>
  <c r="AA525" i="5" s="1"/>
  <c r="Z608" i="5"/>
  <c r="AA608" i="5" s="1"/>
  <c r="Y611" i="5"/>
  <c r="AA611" i="5" s="1"/>
  <c r="I611" i="5"/>
  <c r="Y516" i="5"/>
  <c r="AA516" i="5" s="1"/>
  <c r="I516" i="5"/>
  <c r="Y640" i="5"/>
  <c r="AA640" i="5" s="1"/>
  <c r="I623" i="5"/>
  <c r="Z898" i="5"/>
  <c r="AA898" i="5" s="1"/>
  <c r="Z924" i="5"/>
  <c r="Z844" i="5"/>
  <c r="AA844" i="5" s="1"/>
  <c r="Z909" i="5"/>
  <c r="N873" i="5"/>
  <c r="AA873" i="5"/>
  <c r="N842" i="5"/>
  <c r="I863" i="5"/>
  <c r="X863" i="5"/>
  <c r="X759" i="5"/>
  <c r="N759" i="5"/>
  <c r="I759" i="5"/>
  <c r="Z728" i="5"/>
  <c r="AA728" i="5" s="1"/>
  <c r="Z621" i="5"/>
  <c r="N641" i="5"/>
  <c r="I693" i="5"/>
  <c r="S693" i="5"/>
  <c r="Z690" i="5"/>
  <c r="Z558" i="5"/>
  <c r="AA654" i="5"/>
  <c r="Z517" i="5"/>
  <c r="Y578" i="5"/>
  <c r="AA578" i="5" s="1"/>
  <c r="N504" i="5"/>
  <c r="AA661" i="5"/>
  <c r="S518" i="5"/>
  <c r="Z509" i="5"/>
  <c r="Z368" i="5"/>
  <c r="Z853" i="5"/>
  <c r="AA853" i="5" s="1"/>
  <c r="Z841" i="5"/>
  <c r="AA841" i="5" s="1"/>
  <c r="Z891" i="5"/>
  <c r="Z864" i="5"/>
  <c r="I873" i="5"/>
  <c r="I845" i="5"/>
  <c r="Y845" i="5"/>
  <c r="AA845" i="5" s="1"/>
  <c r="Z854" i="5"/>
  <c r="AA854" i="5" s="1"/>
  <c r="Y746" i="5"/>
  <c r="AA746" i="5" s="1"/>
  <c r="Z752" i="5"/>
  <c r="N705" i="5"/>
  <c r="I705" i="5"/>
  <c r="Z902" i="5"/>
  <c r="AA863" i="5"/>
  <c r="AA759" i="5"/>
  <c r="Y717" i="5"/>
  <c r="AA717" i="5" s="1"/>
  <c r="Z615" i="5"/>
  <c r="AA615" i="5" s="1"/>
  <c r="AA693" i="5"/>
  <c r="I641" i="5"/>
  <c r="X693" i="5"/>
  <c r="Y699" i="5"/>
  <c r="AA699" i="5" s="1"/>
  <c r="Z510" i="5"/>
  <c r="AA510" i="5" s="1"/>
  <c r="X623" i="5"/>
  <c r="N623" i="5"/>
  <c r="Z597" i="5"/>
  <c r="Z507" i="5"/>
  <c r="AA507" i="5" s="1"/>
  <c r="N519" i="5"/>
  <c r="Y519" i="5"/>
  <c r="AA519" i="5" s="1"/>
  <c r="C130" i="4"/>
  <c r="Y953" i="5" l="1"/>
  <c r="Y951" i="5"/>
  <c r="X713" i="5"/>
  <c r="S713" i="5"/>
  <c r="I713" i="5"/>
  <c r="N713" i="5"/>
  <c r="I922" i="5"/>
  <c r="N922" i="5"/>
  <c r="S922" i="5"/>
  <c r="X922" i="5"/>
  <c r="I574" i="5"/>
  <c r="X574" i="5"/>
  <c r="S574" i="5"/>
  <c r="N574" i="5"/>
  <c r="I864" i="5"/>
  <c r="X864" i="5"/>
  <c r="S864" i="5"/>
  <c r="N864" i="5"/>
  <c r="X517" i="5"/>
  <c r="S517" i="5"/>
  <c r="I517" i="5"/>
  <c r="N517" i="5"/>
  <c r="N507" i="5"/>
  <c r="I507" i="5"/>
  <c r="S507" i="5"/>
  <c r="X507" i="5"/>
  <c r="I854" i="5"/>
  <c r="N854" i="5"/>
  <c r="S854" i="5"/>
  <c r="X854" i="5"/>
  <c r="N891" i="5"/>
  <c r="I891" i="5"/>
  <c r="S891" i="5"/>
  <c r="X891" i="5"/>
  <c r="X558" i="5"/>
  <c r="S558" i="5"/>
  <c r="N558" i="5"/>
  <c r="I558" i="5"/>
  <c r="S728" i="5"/>
  <c r="X728" i="5"/>
  <c r="I728" i="5"/>
  <c r="N728" i="5"/>
  <c r="I608" i="5"/>
  <c r="N608" i="5"/>
  <c r="S608" i="5"/>
  <c r="X608" i="5"/>
  <c r="AA713" i="5"/>
  <c r="N851" i="5"/>
  <c r="I851" i="5"/>
  <c r="X851" i="5"/>
  <c r="S851" i="5"/>
  <c r="X554" i="5"/>
  <c r="S554" i="5"/>
  <c r="N554" i="5"/>
  <c r="I554" i="5"/>
  <c r="S622" i="5"/>
  <c r="N622" i="5"/>
  <c r="I622" i="5"/>
  <c r="X622" i="5"/>
  <c r="AA574" i="5"/>
  <c r="X555" i="5"/>
  <c r="S555" i="5"/>
  <c r="N555" i="5"/>
  <c r="I555" i="5"/>
  <c r="N599" i="5"/>
  <c r="S599" i="5"/>
  <c r="I599" i="5"/>
  <c r="X599" i="5"/>
  <c r="X668" i="5"/>
  <c r="N668" i="5"/>
  <c r="I668" i="5"/>
  <c r="S668" i="5"/>
  <c r="AA922" i="5"/>
  <c r="I505" i="5"/>
  <c r="S505" i="5"/>
  <c r="N505" i="5"/>
  <c r="X505" i="5"/>
  <c r="N871" i="5"/>
  <c r="S871" i="5"/>
  <c r="I871" i="5"/>
  <c r="X871" i="5"/>
  <c r="X908" i="5"/>
  <c r="S908" i="5"/>
  <c r="I908" i="5"/>
  <c r="N908" i="5"/>
  <c r="X754" i="5"/>
  <c r="I754" i="5"/>
  <c r="S754" i="5"/>
  <c r="N754" i="5"/>
  <c r="AA599" i="5"/>
  <c r="X708" i="5"/>
  <c r="N708" i="5"/>
  <c r="I708" i="5"/>
  <c r="S708" i="5"/>
  <c r="X690" i="5"/>
  <c r="S690" i="5"/>
  <c r="N690" i="5"/>
  <c r="I690" i="5"/>
  <c r="S603" i="5"/>
  <c r="I603" i="5"/>
  <c r="X603" i="5"/>
  <c r="N603" i="5"/>
  <c r="I597" i="5"/>
  <c r="N597" i="5"/>
  <c r="X597" i="5"/>
  <c r="S597" i="5"/>
  <c r="I909" i="5"/>
  <c r="N909" i="5"/>
  <c r="S909" i="5"/>
  <c r="X909" i="5"/>
  <c r="X528" i="5"/>
  <c r="S528" i="5"/>
  <c r="N528" i="5"/>
  <c r="I528" i="5"/>
  <c r="AA597" i="5"/>
  <c r="S853" i="5"/>
  <c r="N853" i="5"/>
  <c r="X853" i="5"/>
  <c r="I853" i="5"/>
  <c r="AA909" i="5"/>
  <c r="X525" i="5"/>
  <c r="S525" i="5"/>
  <c r="I525" i="5"/>
  <c r="N525" i="5"/>
  <c r="S711" i="5"/>
  <c r="I711" i="5"/>
  <c r="N711" i="5"/>
  <c r="X711" i="5"/>
  <c r="N906" i="5"/>
  <c r="S906" i="5"/>
  <c r="I906" i="5"/>
  <c r="X906" i="5"/>
  <c r="AA668" i="5"/>
  <c r="X893" i="5"/>
  <c r="S893" i="5"/>
  <c r="I893" i="5"/>
  <c r="N893" i="5"/>
  <c r="AA505" i="5"/>
  <c r="N843" i="5"/>
  <c r="X843" i="5"/>
  <c r="S843" i="5"/>
  <c r="I843" i="5"/>
  <c r="AA871" i="5"/>
  <c r="AA908" i="5"/>
  <c r="S676" i="5"/>
  <c r="X676" i="5"/>
  <c r="N676" i="5"/>
  <c r="I676" i="5"/>
  <c r="AA754" i="5"/>
  <c r="N562" i="5"/>
  <c r="I562" i="5"/>
  <c r="S562" i="5"/>
  <c r="X562" i="5"/>
  <c r="AA708" i="5"/>
  <c r="I902" i="5"/>
  <c r="N902" i="5"/>
  <c r="X902" i="5"/>
  <c r="S902" i="5"/>
  <c r="X730" i="5"/>
  <c r="N730" i="5"/>
  <c r="I730" i="5"/>
  <c r="S730" i="5"/>
  <c r="X694" i="5"/>
  <c r="I694" i="5"/>
  <c r="N694" i="5"/>
  <c r="S694" i="5"/>
  <c r="AA902" i="5"/>
  <c r="AA690" i="5"/>
  <c r="AA517" i="5"/>
  <c r="S844" i="5"/>
  <c r="N844" i="5"/>
  <c r="X844" i="5"/>
  <c r="I844" i="5"/>
  <c r="I866" i="5"/>
  <c r="N866" i="5"/>
  <c r="X866" i="5"/>
  <c r="S866" i="5"/>
  <c r="N614" i="5"/>
  <c r="S614" i="5"/>
  <c r="I614" i="5"/>
  <c r="X614" i="5"/>
  <c r="S657" i="5"/>
  <c r="X657" i="5"/>
  <c r="I657" i="5"/>
  <c r="N657" i="5"/>
  <c r="X533" i="5"/>
  <c r="N533" i="5"/>
  <c r="S533" i="5"/>
  <c r="I533" i="5"/>
  <c r="S888" i="5"/>
  <c r="N888" i="5"/>
  <c r="X888" i="5"/>
  <c r="I888" i="5"/>
  <c r="I682" i="5"/>
  <c r="S682" i="5"/>
  <c r="N682" i="5"/>
  <c r="X682" i="5"/>
  <c r="X862" i="5"/>
  <c r="N862" i="5"/>
  <c r="S862" i="5"/>
  <c r="I862" i="5"/>
  <c r="AA562" i="5"/>
  <c r="I841" i="5"/>
  <c r="S841" i="5"/>
  <c r="X841" i="5"/>
  <c r="N841" i="5"/>
  <c r="I870" i="5"/>
  <c r="N870" i="5"/>
  <c r="X870" i="5"/>
  <c r="S870" i="5"/>
  <c r="S689" i="5"/>
  <c r="N689" i="5"/>
  <c r="I689" i="5"/>
  <c r="X689" i="5"/>
  <c r="N903" i="5"/>
  <c r="X903" i="5"/>
  <c r="S903" i="5"/>
  <c r="I903" i="5"/>
  <c r="S615" i="5"/>
  <c r="N615" i="5"/>
  <c r="X615" i="5"/>
  <c r="I615" i="5"/>
  <c r="S753" i="5"/>
  <c r="N753" i="5"/>
  <c r="X753" i="5"/>
  <c r="I753" i="5"/>
  <c r="N867" i="5"/>
  <c r="S867" i="5"/>
  <c r="X867" i="5"/>
  <c r="I867" i="5"/>
  <c r="I755" i="5"/>
  <c r="X755" i="5"/>
  <c r="N755" i="5"/>
  <c r="S755" i="5"/>
  <c r="I596" i="5"/>
  <c r="X596" i="5"/>
  <c r="N596" i="5"/>
  <c r="S596" i="5"/>
  <c r="X691" i="5"/>
  <c r="N691" i="5"/>
  <c r="S691" i="5"/>
  <c r="I691" i="5"/>
  <c r="N911" i="5"/>
  <c r="S911" i="5"/>
  <c r="I911" i="5"/>
  <c r="X911" i="5"/>
  <c r="N683" i="5"/>
  <c r="I683" i="5"/>
  <c r="S683" i="5"/>
  <c r="X683" i="5"/>
  <c r="N898" i="5"/>
  <c r="I898" i="5"/>
  <c r="S898" i="5"/>
  <c r="X898" i="5"/>
  <c r="S752" i="5"/>
  <c r="I752" i="5"/>
  <c r="N752" i="5"/>
  <c r="X752" i="5"/>
  <c r="AA752" i="5"/>
  <c r="AA864" i="5"/>
  <c r="S509" i="5"/>
  <c r="X509" i="5"/>
  <c r="I509" i="5"/>
  <c r="N509" i="5"/>
  <c r="I621" i="5"/>
  <c r="S621" i="5"/>
  <c r="N621" i="5"/>
  <c r="X621" i="5"/>
  <c r="S924" i="5"/>
  <c r="N924" i="5"/>
  <c r="X924" i="5"/>
  <c r="I924" i="5"/>
  <c r="I914" i="5"/>
  <c r="N914" i="5"/>
  <c r="S914" i="5"/>
  <c r="X914" i="5"/>
  <c r="X719" i="5"/>
  <c r="N719" i="5"/>
  <c r="S719" i="5"/>
  <c r="I719" i="5"/>
  <c r="AA867" i="5"/>
  <c r="X727" i="5"/>
  <c r="I727" i="5"/>
  <c r="S727" i="5"/>
  <c r="N727" i="5"/>
  <c r="AA755" i="5"/>
  <c r="AA596" i="5"/>
  <c r="X704" i="5"/>
  <c r="N704" i="5"/>
  <c r="I704" i="5"/>
  <c r="S704" i="5"/>
  <c r="AA911" i="5"/>
  <c r="AA683" i="5"/>
  <c r="X510" i="5"/>
  <c r="S510" i="5"/>
  <c r="N510" i="5"/>
  <c r="I510" i="5"/>
  <c r="AA891" i="5"/>
  <c r="AA509" i="5"/>
  <c r="AA558" i="5"/>
  <c r="AA621" i="5"/>
  <c r="AA924" i="5"/>
  <c r="AA914" i="5"/>
  <c r="X756" i="5"/>
  <c r="I756" i="5"/>
  <c r="N756" i="5"/>
  <c r="S756" i="5"/>
  <c r="AA554" i="5"/>
  <c r="AA622" i="5"/>
  <c r="X677" i="5"/>
  <c r="N677" i="5"/>
  <c r="I677" i="5"/>
  <c r="S677" i="5"/>
  <c r="AA704" i="5"/>
  <c r="N865" i="5"/>
  <c r="I865" i="5"/>
  <c r="X865" i="5"/>
  <c r="S865" i="5"/>
  <c r="AA555" i="5"/>
  <c r="Y946" i="5" l="1"/>
  <c r="Y948" i="5" l="1"/>
  <c r="Y947" i="5"/>
  <c r="K26" i="1"/>
  <c r="J22" i="1" l="1"/>
  <c r="J23" i="1"/>
  <c r="J50" i="1"/>
  <c r="J49" i="1"/>
  <c r="J48" i="1"/>
  <c r="J45" i="1"/>
  <c r="F45" i="1"/>
  <c r="J44" i="1"/>
  <c r="F44" i="1"/>
  <c r="J26" i="1"/>
  <c r="F26" i="1"/>
  <c r="E26" i="1"/>
  <c r="J27" i="1"/>
  <c r="F27" i="1"/>
  <c r="E27" i="1"/>
  <c r="J25" i="1"/>
  <c r="F25" i="1"/>
  <c r="E25" i="1"/>
  <c r="F24" i="1"/>
  <c r="J28" i="1"/>
  <c r="F28" i="1"/>
  <c r="E28" i="1"/>
  <c r="J38" i="1" l="1"/>
  <c r="J46" i="1"/>
  <c r="J43" i="1"/>
  <c r="F43" i="1"/>
  <c r="J42" i="1"/>
  <c r="F42" i="1"/>
  <c r="J41" i="1"/>
  <c r="J40" i="1"/>
  <c r="J39" i="1"/>
  <c r="E47" i="1" l="1"/>
  <c r="J10" i="1"/>
  <c r="F8" i="1" l="1"/>
  <c r="F11" i="2" l="1"/>
  <c r="F47" i="1"/>
  <c r="F35" i="1"/>
  <c r="F34" i="1"/>
  <c r="F33" i="1"/>
  <c r="E33" i="1"/>
  <c r="F32" i="1"/>
  <c r="F31" i="1"/>
  <c r="E31" i="1"/>
  <c r="F30" i="1"/>
  <c r="E24" i="1"/>
  <c r="F17" i="1"/>
  <c r="E17" i="1"/>
  <c r="F16" i="1"/>
  <c r="E16" i="1"/>
  <c r="F15" i="1"/>
  <c r="E15" i="1"/>
  <c r="F14" i="1"/>
  <c r="F13" i="1"/>
  <c r="E8" i="1"/>
  <c r="J51" i="1"/>
  <c r="J47" i="1"/>
  <c r="J37" i="1"/>
  <c r="J36" i="1"/>
  <c r="J35" i="1"/>
  <c r="J34" i="1"/>
  <c r="J33" i="1"/>
  <c r="J32" i="1"/>
  <c r="J31" i="1"/>
  <c r="J30" i="1"/>
  <c r="J29" i="1"/>
  <c r="J24" i="1"/>
  <c r="J21" i="1"/>
  <c r="J20" i="1"/>
  <c r="J19" i="1"/>
  <c r="J18" i="1"/>
  <c r="J17" i="1"/>
  <c r="J16" i="1"/>
  <c r="J15" i="1"/>
  <c r="J14" i="1"/>
  <c r="J13" i="1"/>
  <c r="J12" i="1"/>
  <c r="J11" i="1"/>
  <c r="J9" i="1"/>
  <c r="J8" i="1"/>
  <c r="J7" i="1"/>
  <c r="J6" i="1"/>
  <c r="J5" i="1"/>
</calcChain>
</file>

<file path=xl/sharedStrings.xml><?xml version="1.0" encoding="utf-8"?>
<sst xmlns="http://schemas.openxmlformats.org/spreadsheetml/2006/main" count="2811" uniqueCount="1644">
  <si>
    <t>Department of Budget and Management Procurement Monitoring Report as of month/day/2006</t>
  </si>
  <si>
    <t>Code (PAP)</t>
  </si>
  <si>
    <t>Procurement     Program/Project</t>
  </si>
  <si>
    <t>PMO/             End-User</t>
  </si>
  <si>
    <t>Mode of Procurement</t>
  </si>
  <si>
    <t>Schedule for Each Procurement Activity</t>
  </si>
  <si>
    <t>Source of Funds</t>
  </si>
  <si>
    <t>Estimated Budget (PhP)</t>
  </si>
  <si>
    <t>Remarks                                                                        (brief description of Program/Activity/Project)</t>
  </si>
  <si>
    <t>Contract Cost (PhP)</t>
  </si>
  <si>
    <t>List of Invited Observers</t>
  </si>
  <si>
    <t>Date of Receipt of Invitation</t>
  </si>
  <si>
    <t>Remarks                                                                        (Explaining changes from the APP)</t>
  </si>
  <si>
    <t>Advertisement/Posting of IB/REI</t>
  </si>
  <si>
    <t>Submission/Opening of Bids</t>
  </si>
  <si>
    <t>Notice of Award</t>
  </si>
  <si>
    <t>Contract Signing</t>
  </si>
  <si>
    <t>Total</t>
  </si>
  <si>
    <t>MOOE</t>
  </si>
  <si>
    <t>CO</t>
  </si>
  <si>
    <t>Pre-Proc Conference</t>
  </si>
  <si>
    <t>Ads/Post of IAEB</t>
  </si>
  <si>
    <t>Pre-bid Conf</t>
  </si>
  <si>
    <t>Eligibility Check</t>
  </si>
  <si>
    <t>Sub/Open of Bids</t>
  </si>
  <si>
    <t>Bid Evaluation</t>
  </si>
  <si>
    <t>Post Qual</t>
  </si>
  <si>
    <t>Contract Award</t>
  </si>
  <si>
    <t>Notice to Proceed</t>
  </si>
  <si>
    <t>Delivery/ Accept</t>
  </si>
  <si>
    <t>Payment Process</t>
  </si>
  <si>
    <t>Pre-Proc Conf</t>
  </si>
  <si>
    <t>Competitive Bidding</t>
  </si>
  <si>
    <t>Limited Source Bidding</t>
  </si>
  <si>
    <t>Direct Contracting</t>
  </si>
  <si>
    <t>Repeat Order</t>
  </si>
  <si>
    <t>Shopping</t>
  </si>
  <si>
    <t>NP-53.1 Two Failed Biddings</t>
  </si>
  <si>
    <t>NP-53.2 Emergency Cases</t>
  </si>
  <si>
    <t>NP-53.3 Take-Over of Contracts</t>
  </si>
  <si>
    <t>NP-53.4 Adjacent or Contiguous</t>
  </si>
  <si>
    <t>NP-53.5 Agency-to-Agency</t>
  </si>
  <si>
    <t>NP-53.6 Scientific, Scholarly, Artistic Work, Exclusive Technology and Media Services</t>
  </si>
  <si>
    <t>NP-53.7 Highly Technical Consultants</t>
  </si>
  <si>
    <t>NP-53.8 Defense Cooperation Agreement</t>
  </si>
  <si>
    <t>NP-53.9 - Small Value Procurement</t>
  </si>
  <si>
    <t>NP-53.10 Lease of Real Property and Venue</t>
  </si>
  <si>
    <t>NP-53.11 NGO Participation</t>
  </si>
  <si>
    <t>NP-53.12 Community Participation</t>
  </si>
  <si>
    <t>NP-53.13 UN Agencies, Int'l Organizations or International Financing Institutions</t>
  </si>
  <si>
    <t>GUIDE TO PREPARE APP</t>
  </si>
  <si>
    <t>APP COLUMN HEADER/S</t>
  </si>
  <si>
    <t>STEP 1</t>
  </si>
  <si>
    <t>In the Code (PAP) column, kindly indicate the Procuring Entity's (PEs) internal numbering system or use the Unified Account Codes (UACS) may be used as PAP Codes. Please refer to Joint Circular No.2013-1 COA-DBM-DOF-Unified Accounts Code Structure.</t>
  </si>
  <si>
    <t>STEP 2</t>
  </si>
  <si>
    <t>For the Procurement Program/Project column, please align descriptions of program/projects with budget documents and ensure clarity and accuracy in describing each procurement program/project.</t>
  </si>
  <si>
    <t>STEP 3</t>
  </si>
  <si>
    <t>For PMO/End-User, please indicate the PMO/End-User unit who will implement/utilize the procurement program/project. Multiple end-user units are allowed only if the procurement activity was consolidated by the BAC to procure requirements of the end-user units.</t>
  </si>
  <si>
    <t>PMO/End-User</t>
  </si>
  <si>
    <t>STEP 4</t>
  </si>
  <si>
    <t>For Mode of Procurement and Schedule for Each Procurement Activity, all modes of procurement are available as a dropdown list and requirements for a specific schedule for Ads/Post of IB/REI, Sub/Open of Bids, Notice of Award, and/or Contract Signing are automatically identified thru the MS Excel formula. Note that for Foreign-funded procurement, please use Others - Foreign-funded procurement as the Mode of Procurement.
Kindly indicate a specific period (dates, month, quarter) when each Procurement Activity will be done. Please refer to our website: http://www.gppb.gov.ph/timelines/timelines.htm for the specific periods for each activity.
Note: For SVP, IB/REI is similar to RFQ.
Ads/Post of IB/REI for Shopping 52.1(b) and NP-SVP (53.9) needs to be posted in PhilGEPS for ABCs above 50k. Notice of Award posting in PhilGEPS is mandatory for all Alternative Modes only for ABCs above 50k.</t>
  </si>
  <si>
    <t>Ads/Post of IB/REI</t>
  </si>
  <si>
    <t>STEP 5</t>
  </si>
  <si>
    <t>For Source of Funds, a dropdown list is available. If the Source of Funds the PE will use is not included, please indicate "Others" and specify under the Remarks column.</t>
  </si>
  <si>
    <t>STEP 6</t>
  </si>
  <si>
    <t>For Estimated Budget (PhP), kindly fill out either MOOE or CO columns only. Total ABC column is not editable,  but will automatically compute for the total MOOE and CO components of the project. This breakdown is needed for tracking purposes. Finally, please ensure that amounts indicated are aligned with budget documents.</t>
  </si>
  <si>
    <t>STEP 7</t>
  </si>
  <si>
    <t>Before submission to the GPPB, ensure that the Head of the Procuring Entity (HoPE) approves/signs the APP.</t>
  </si>
  <si>
    <t>GENERAL INFORMATION</t>
  </si>
  <si>
    <t>#1</t>
  </si>
  <si>
    <t>All Cells with Fill Color Orange needs to be filled out by the Agency. This is a visual reminder of blank or improperly filled out cells.</t>
  </si>
  <si>
    <t>#2</t>
  </si>
  <si>
    <t>To ensure that automated indicator which procurement activity needs to be filled out with specific periods, PE must copy entire Excel row with the mode of procurement for the specific procurement program/project and paste on the last sample row "Negotiated Procurement-53.13" in the template.</t>
  </si>
  <si>
    <t>#3</t>
  </si>
  <si>
    <t>If PE wishes to edit formatting and design of borders, fonts, among others of the APP template, it is suggested to utilize the automated formulas in the template before copying contents and reformatting.</t>
  </si>
  <si>
    <t>#4</t>
  </si>
  <si>
    <t>Per Section of 3.1.1 of DBM Circular No. 2015-7, the Approved Budget for the Contract (ABC) shall be “[t]he amount reflected in the MYOA”. Hence, the ABC in the Annual Procurement Plan (APP) shall be the full amount stated in the MYOA with remarks added on how much will be actually disbursed for that particular fiscal year. Moreover, the Procurement Monitoring Report (PMR) should also reflect full amount in the MYOA if the entire contract was awarded within the fiscal year. Thus, for succeeding years, actual disbursements from the MYOA need not be reflected in the APPs and PMRs, unless current contract with MYOA is terminated and a new procurement activity is undertaken.</t>
  </si>
  <si>
    <t>DEFINITIONS</t>
  </si>
  <si>
    <r>
      <t>1. PROGRAM (BESF)</t>
    </r>
    <r>
      <rPr>
        <sz val="11"/>
        <color rgb="FF000000"/>
        <rFont val="Arial1"/>
      </rPr>
      <t xml:space="preserve">– A homogeneous group of activities necessary for the performance of a major purpose for </t>
    </r>
    <r>
      <rPr>
        <sz val="11"/>
        <color rgb="FF000000"/>
        <rFont val="Arial1"/>
      </rPr>
      <t xml:space="preserve">which a government agency is established, for the basic maintenance of the agency’s administrative operations or </t>
    </r>
    <r>
      <rPr>
        <sz val="11"/>
        <color rgb="FF000000"/>
        <rFont val="Arial1"/>
      </rPr>
      <t xml:space="preserve">for the provisions of staff support to the agency’s administrative operations or for the provisions of staff support to </t>
    </r>
    <r>
      <rPr>
        <sz val="11"/>
        <color rgb="FF000000"/>
        <rFont val="Arial1"/>
      </rPr>
      <t>the agency’s line functions.</t>
    </r>
  </si>
  <si>
    <r>
      <t>2. PROJECT (BESF)</t>
    </r>
    <r>
      <rPr>
        <sz val="11"/>
        <color rgb="FF000000"/>
        <rFont val="Arial1"/>
      </rPr>
      <t xml:space="preserve">– Special agency undertakings which are to be carried out within a definite time frame and </t>
    </r>
    <r>
      <rPr>
        <sz val="11"/>
        <color rgb="FF000000"/>
        <rFont val="Arial1"/>
      </rPr>
      <t>which are intended to result in some pre-determined measure of goods and services.</t>
    </r>
  </si>
  <si>
    <r>
      <t>3. PMO/End User</t>
    </r>
    <r>
      <rPr>
        <sz val="11"/>
        <color rgb="FF000000"/>
        <rFont val="Arial1"/>
      </rPr>
      <t xml:space="preserve"> - Unit as proponent of program or project</t>
    </r>
  </si>
  <si>
    <r>
      <t>4. Mode of Procurement</t>
    </r>
    <r>
      <rPr>
        <sz val="11"/>
        <color rgb="FF000000"/>
        <rFont val="Arial1"/>
      </rPr>
      <t xml:space="preserve"> - Competitive Bidding and Alternative Methods including: selective bidding, direct </t>
    </r>
    <r>
      <rPr>
        <sz val="11"/>
        <color rgb="FF000000"/>
        <rFont val="Arial1"/>
      </rPr>
      <t>contracting, repeat order, shopping, and negotiated procurement.</t>
    </r>
  </si>
  <si>
    <r>
      <t>5. Schedule for Each Procurement Activity</t>
    </r>
    <r>
      <rPr>
        <sz val="11"/>
        <color rgb="FF000000"/>
        <rFont val="Arial1"/>
      </rPr>
      <t xml:space="preserve"> - Major procurement activities (advertising/posting; submission and </t>
    </r>
    <r>
      <rPr>
        <sz val="11"/>
        <color rgb="FF000000"/>
        <rFont val="Arial1"/>
      </rPr>
      <t>receipt/Opening of bids;  award of contract; contract signing).</t>
    </r>
  </si>
  <si>
    <r>
      <t>6. Source of Funds</t>
    </r>
    <r>
      <rPr>
        <sz val="11"/>
        <color rgb="FF000000"/>
        <rFont val="Arial1"/>
      </rPr>
      <t xml:space="preserve"> - Whether GoP, Foreign Assisted or Special Purpose Fund</t>
    </r>
  </si>
  <si>
    <r>
      <t xml:space="preserve">7. Estimated Budget </t>
    </r>
    <r>
      <rPr>
        <sz val="11"/>
        <color rgb="FF000000"/>
        <rFont val="Arial1"/>
      </rPr>
      <t>- Agency approved estimate of project/program costs</t>
    </r>
  </si>
  <si>
    <r>
      <t>8. Remarks</t>
    </r>
    <r>
      <rPr>
        <sz val="11"/>
        <color rgb="FF000000"/>
        <rFont val="Arial1"/>
      </rPr>
      <t xml:space="preserve"> - brief description of program or project</t>
    </r>
  </si>
  <si>
    <t>GoP</t>
  </si>
  <si>
    <t>Foreign</t>
  </si>
  <si>
    <t>Special Purpose Fund</t>
  </si>
  <si>
    <t>Corporate Budget</t>
  </si>
  <si>
    <t>Income</t>
  </si>
  <si>
    <t>Others</t>
  </si>
  <si>
    <t>Others - Foreign-funded procurement</t>
  </si>
  <si>
    <t>Palawan Council for Sustainable Development Staff (PCSDS) Annual Procurement Plan for FY 2020</t>
  </si>
  <si>
    <t>AFD, EEED, EMED, EPRPD, DMD North, DMD South</t>
  </si>
  <si>
    <t>ICT Equipment</t>
  </si>
  <si>
    <t>OED, AFD, EEED, EMED, EPRPD, DMD North, DMD South, DMD Calamian, EZMED</t>
  </si>
  <si>
    <t>100000100001000 (GMS)</t>
  </si>
  <si>
    <t>AFD</t>
  </si>
  <si>
    <t>Transportation Equipment (motor vehicles) 
- 2 pickups
- 1 coaster 
- 1 passenger van
- 8 motorcycles</t>
  </si>
  <si>
    <t>DMD South</t>
  </si>
  <si>
    <t>310100100006000 (SEP)</t>
  </si>
  <si>
    <t>Travelling Expenses</t>
  </si>
  <si>
    <t>100000100001000 (GMS)
310100100001000 (ACE)
310100100002000 (EMES)
310100100003000 (EZ)
310100100004000 (KRM)
310100100005000 (RMPD)
310100100006000 (SEP)
310100100007000 (WCM)</t>
  </si>
  <si>
    <t>100000100001000 (GMS)
310100100001000 (ACE)
310100100002000 (EMES)
310100100003000 (EZ)
310100100006000 (SEP)
310100100007000 (WCM)</t>
  </si>
  <si>
    <t>100000100001000 (GMS)
310100100001000 (ACE)
310100100002000 (EMES)
310100100003000 (EZ)
310100100006000 (SEP)</t>
  </si>
  <si>
    <t>Office Supplies Expenses</t>
  </si>
  <si>
    <t>ICT Office Supplies</t>
  </si>
  <si>
    <t>Fuel, Oil &amp; Lubricants</t>
  </si>
  <si>
    <t>100000100001000 (GMS)
310100100001000 (ACE)
310100100002000 (EMES)
310100100003000 (EZ)
310100100004000 (KRM)
310100100006000 (SEP)
310100100007000 (WCM)</t>
  </si>
  <si>
    <t>100000100001000 (GMS)
310100100001000 (ACE)
310100100006000 (SEP)</t>
  </si>
  <si>
    <t>AFD, EEED, DMD North</t>
  </si>
  <si>
    <t>Communication – Mobile</t>
  </si>
  <si>
    <t>OED, AFD, EEED, EPRPD, DMD North, DMD South, DMD Calamian, EZMED</t>
  </si>
  <si>
    <t>100000100001000 (GMS)
310100100001000 (ACE)
310100100003000 (EZ)
310100100006000 (SEP)
310100100007000 (WCM)</t>
  </si>
  <si>
    <t>Communication – Landline</t>
  </si>
  <si>
    <t>Communication - Cable, Satellite, Telegraph, &amp; Radio Expenses</t>
  </si>
  <si>
    <t>EEED</t>
  </si>
  <si>
    <t>310100100001000 (ACE)</t>
  </si>
  <si>
    <t>Other Professional Services</t>
  </si>
  <si>
    <t>EPRPD</t>
  </si>
  <si>
    <t>EMED</t>
  </si>
  <si>
    <t>EZMED</t>
  </si>
  <si>
    <t>Other General Services - ICT Services</t>
  </si>
  <si>
    <t>Repairs &amp; Maintenance - Buildings &amp; Other Structures</t>
  </si>
  <si>
    <t>Repairs &amp; Maintenance - Machinery &amp; Equipment</t>
  </si>
  <si>
    <t>Repairs &amp; Maintenance - Transportation Equipment</t>
  </si>
  <si>
    <t>Repairs &amp; Maintenance - Furniture &amp; Fixtures</t>
  </si>
  <si>
    <t>Insurance Expenses</t>
  </si>
  <si>
    <t>310100100007000 (WCM)</t>
  </si>
  <si>
    <t>Advertising</t>
  </si>
  <si>
    <t>Printing &amp; Publication</t>
  </si>
  <si>
    <t>100000100001000 (GMS)
310100100001000 (ACE)
310100100003000 (EZ)
310100100004000 (KRM)
310100100006000 (SEP)
310100100007000 (WCM)</t>
  </si>
  <si>
    <t>Representation Expenses</t>
  </si>
  <si>
    <t>Rent / Lease</t>
  </si>
  <si>
    <t>DMD North</t>
  </si>
  <si>
    <t>310100100003000 (EZ)</t>
  </si>
  <si>
    <t>OED</t>
  </si>
  <si>
    <t>310100100004000 (KRM)</t>
  </si>
  <si>
    <t>310100100005000 (RMPD)</t>
  </si>
  <si>
    <t>Prepared by:</t>
  </si>
  <si>
    <t>Recommending Approval:</t>
  </si>
  <si>
    <t>MICHELLE ANDREA AUGUST F. SABUYA</t>
  </si>
  <si>
    <t>RYAN FUENTES, EnP</t>
  </si>
  <si>
    <t>BAC SECRETARIAT</t>
  </si>
  <si>
    <t>BAC CHAIR</t>
  </si>
  <si>
    <t>Approval:</t>
  </si>
  <si>
    <t>NELSON P. DEVANADERA</t>
  </si>
  <si>
    <t>HEAD OF PROCURING ENTITY</t>
  </si>
  <si>
    <t xml:space="preserve">Vehicles:
AFD = 4 motorcycles (440) and 1 pickup (2,100) = 2,540
EEED = 1 coaster (5,000) and 1 passenger van (2,200) = 7,200
EMED = 1 pickup = 2,100
EPRPD = 1 motorcycle = 110
DMD South = 2 motorcycles = 220
DMD North = 1 motorcycle = 110
</t>
  </si>
  <si>
    <t>OED = 530
AFD = 619
EEED = 1,329
EMED = 393
EPRPD = 1,105
DMD North = 300
DMD South = 881
DMD Calamian = 341
EZMED = 1,381</t>
  </si>
  <si>
    <t>Computer Software</t>
  </si>
  <si>
    <t>OED = 182
AFD = 168
EEED = 232
EMED = 32
EPRPD = 581
DMD North = 20
DMD South = 84
DMD Calamian = 4
EZMED = 49</t>
  </si>
  <si>
    <t>Other Supplies and Materials Expenses</t>
  </si>
  <si>
    <t>AFD = 100
EEED = 39
DMD North = 120</t>
  </si>
  <si>
    <t>AFD = 200</t>
  </si>
  <si>
    <t>EEED = 180</t>
  </si>
  <si>
    <t>Communication - Internet Subscription Expenses</t>
  </si>
  <si>
    <t>EEED = KAP Survey = 300</t>
  </si>
  <si>
    <t>EPRPD = ICCA = 300</t>
  </si>
  <si>
    <t>EZMED = 3 CH assessed (415) + 3 pop. Research Econ. Impt Spp. (1,000)= 1,415</t>
  </si>
  <si>
    <t>EEED = 25 risograph maintenance + 300 risograph supplies (ink and papers) = 325</t>
  </si>
  <si>
    <t>EEED = Webhosting = 30</t>
  </si>
  <si>
    <t>EEED = Internet connection service = 108</t>
  </si>
  <si>
    <t>EZMED = CD Asia Online Libraries = 27</t>
  </si>
  <si>
    <t>AFD = 60</t>
  </si>
  <si>
    <t>AFD = 250</t>
  </si>
  <si>
    <t>AFD = 80</t>
  </si>
  <si>
    <t>AFD = 2,343</t>
  </si>
  <si>
    <t>AFD = 225</t>
  </si>
  <si>
    <t>EZMED = 45</t>
  </si>
  <si>
    <t>EEED = 60</t>
  </si>
  <si>
    <t>AFD = 172</t>
  </si>
  <si>
    <t>OED = 700</t>
  </si>
  <si>
    <t>DMD Calamian</t>
  </si>
  <si>
    <t>AFD = 564</t>
  </si>
  <si>
    <t>DMD South = 60</t>
  </si>
  <si>
    <t>EZMED = 180</t>
  </si>
  <si>
    <t>Other Maintenance and Operating Expenses</t>
  </si>
  <si>
    <t>Other MOE for WMF: 
EZMED = 4,063</t>
  </si>
  <si>
    <t>Remarks 2</t>
  </si>
  <si>
    <t>Assumption: Travelling expenses is airfare procured through Government Fares Agreement (GFA). 
Amount is assumed to be 70% of travelling expenses in the NEP. 30% is assumed to cover the Daily Travel Expenses and other travel expenses.
Amount here can be adjusted by the division to cover airfare.</t>
  </si>
  <si>
    <r>
      <rPr>
        <b/>
        <u/>
        <sz val="8"/>
        <color rgb="FF000000"/>
        <rFont val="Arial1"/>
      </rPr>
      <t>Amount is fixed for all items</t>
    </r>
    <r>
      <rPr>
        <sz val="8"/>
        <color rgb="FF000000"/>
        <rFont val="Arial1"/>
      </rPr>
      <t xml:space="preserve">, except for those identified below as adjustable.
</t>
    </r>
    <r>
      <rPr>
        <b/>
        <u/>
        <sz val="8"/>
        <color rgb="FF000000"/>
        <rFont val="Arial1"/>
      </rPr>
      <t>Schedule for Each Procurement Activity may be adjusted by end-user, but we advise procurement of items as early as possible.</t>
    </r>
  </si>
  <si>
    <r>
      <t xml:space="preserve">For all subscription (internet, radio, webhosting) and rental procurement </t>
    </r>
    <r>
      <rPr>
        <b/>
        <u/>
        <sz val="8"/>
        <color rgb="FF000000"/>
        <rFont val="Arial1"/>
      </rPr>
      <t>with previous contracts</t>
    </r>
    <r>
      <rPr>
        <sz val="8"/>
        <color rgb="FF000000"/>
        <rFont val="Arial1"/>
      </rPr>
      <t>, renewal of procurement for the same supplier will require cost-benefit analysis.</t>
    </r>
  </si>
  <si>
    <t xml:space="preserve">For all ICT items here and below (ICT equipment, computer software, office supplies, other general services), specific items to be procured are to be based on those included in the approved ISSP.  </t>
  </si>
  <si>
    <t>EEED, EPRPD, EMED, DMD Calamian</t>
  </si>
  <si>
    <t>EEED = Ineo+Colored Printer supplies and ink (150) + Laser printing supplies ink and papers (50) = 200
EMED = Plotter-scanner supplies ink and papers (150) + Laser printing supplies ink and papers (50) = 200
EPRPD = Plotter-scanner supplies ink and papers (300) + Laser printing supplies ink and papers (50) = 350
DMD Calamian = Plotter-scanner supplies ink and papers = 150</t>
  </si>
  <si>
    <t>EPRPD, EMED</t>
  </si>
  <si>
    <t>EMED = 2*11 = 22 Maintenance cost for drone (underwater + aerial)
EPRPD = 2*11 = 22 Maintenance cost for drone (underwater + aerial)</t>
  </si>
  <si>
    <t>AFD = 55 Cloud storage</t>
  </si>
  <si>
    <t xml:space="preserve">For all Representation Expenses here and below, items can be split into specific procurement schedules, but we suggest quarterly or semestral procurement in advance. </t>
  </si>
  <si>
    <t xml:space="preserve">Items here must be specified and given corresponding procurement schedule. </t>
  </si>
  <si>
    <r>
      <t xml:space="preserve">Assumption: Amount here is for the supplies allocated for 1st half of the year. 
</t>
    </r>
    <r>
      <rPr>
        <b/>
        <u/>
        <sz val="8"/>
        <color rgb="FF000000"/>
        <rFont val="Arial1"/>
      </rPr>
      <t>Items here must be broken down and detailed in the Division PPMP CSE form.</t>
    </r>
  </si>
  <si>
    <r>
      <t xml:space="preserve">Assumption: Amount here is for the supplies allocated for 2nd half of the year. 
</t>
    </r>
    <r>
      <rPr>
        <b/>
        <u/>
        <sz val="8"/>
        <color rgb="FF000000"/>
        <rFont val="Arial1"/>
      </rPr>
      <t>Items here must be broken down and detailed in the Division PPMP CSE form.</t>
    </r>
  </si>
  <si>
    <t>OED = 150
AFD = 419
EEED = 193
EMED = 175 (EMES) + 172 (KRM)
EPRPD = 185 (EZ) + 25 (RMPD)
DMD North = 114
DMD South = 75
DMD Calamian = 65
EZMED = 512</t>
  </si>
  <si>
    <t>OED = 150
AFD = 418
EEED = 193
EMED = 175 (EMES) + 173 (KRM)
EPRPD = 186 (EZ) + 25 (RMPD)
DMD North = 113
DMD South = 75
DMD Calamian = 65
EZMED = 511</t>
  </si>
  <si>
    <t>OED = 139
AFD = 219
EEED = 176
EMED = 129 (EMES)
EPRPD = 401 (EZ)
DMD North = 141
DMD South = 145
DMD Calamian = 122
EZMED = 188</t>
  </si>
  <si>
    <t>OED = 132
AFD = 664
EEED = 80
EMED = 90 (EMES) + 70 (KRM)
EPRPD = 85 (EZ)
DMD North = 192
DMD South = 194
DMD Calamian = 94
EZMED = 1,404</t>
  </si>
  <si>
    <t>OED = 50
AFD = 60
EEED = 7
EPRPD = 36 (EZ)
DMD North = 14
DMD South = 16
DMD Calamian = 14
EZMED = 95</t>
  </si>
  <si>
    <t>AFD = 180
EMED = 12 (EMES) + 12 (KRM)
DMD North = 20
DMD South = 24
DMD Calamian = 24</t>
  </si>
  <si>
    <t>AFD = 50
EEED = 100
EMED = 150 (KRM)
EPRPD = 30 (EZ)
DMD North = 10
DMD South = 12
DMD Calamian = 10
EZMED = 50</t>
  </si>
  <si>
    <t>AFD = 165
EEED = 100
EMED = 30 (EMES) + 75 (KRM)
EPRPD = 130 (EZ)
DMD North = 55
DMD South = 63
DMD Calamian = 43
EZMED = 816</t>
  </si>
  <si>
    <t>AFD, EEED, EMED, EPRPD, DMD North, DMD South, DMD Calamian, EZMED</t>
  </si>
  <si>
    <t>OED = 840
AFD = 745
EEED = 217
EMED = 114 (EMES) + 207 (KRM)
EPRPD = 412 (EZ) + 76 (RMPD)
DMD North = 598
DMD South = 452
DMD Calamian = 361
EZMED = 1,245</t>
  </si>
  <si>
    <t>AFD, EEED, EPRPD, EMED, DMD North, DMD South, DMD Calamian, EZMED</t>
  </si>
  <si>
    <t>AFD = 108 Internet connection service (monthly) + 300 Internet connection service = 408</t>
  </si>
  <si>
    <t>310100100002000 (EMES)
310100100003000 (EZ)</t>
  </si>
  <si>
    <t>310100100001000 (ACE)
310100100002000 (EMES)
310100100003000 (EZ)
310100100006000 (SEP)</t>
  </si>
  <si>
    <t>100000100001000 (GMS)
310100100002000 (EMES)
310100100004000 (KRM)
310100100006000 (SEP)</t>
  </si>
  <si>
    <t>AFD, EMED, DMD North, DMD South, DMD Calamian</t>
  </si>
  <si>
    <t>Remarks 3</t>
  </si>
  <si>
    <r>
      <t>The following procurement activities are subject to "</t>
    </r>
    <r>
      <rPr>
        <b/>
        <u/>
        <sz val="8"/>
        <rFont val="Arial1"/>
      </rPr>
      <t>Early Procurement Activities</t>
    </r>
    <r>
      <rPr>
        <sz val="8"/>
        <rFont val="Arial1"/>
      </rPr>
      <t xml:space="preserve">" within the year 2019 (August to December) </t>
    </r>
    <r>
      <rPr>
        <b/>
        <u/>
        <sz val="8"/>
        <rFont val="Arial1"/>
      </rPr>
      <t>short of award</t>
    </r>
    <r>
      <rPr>
        <sz val="8"/>
        <rFont val="Arial1"/>
      </rPr>
      <t xml:space="preserve">:
1. Items with Competitive Bidding, Limited Source Bidding (LSB), and Negotiated Procurement (Two-Failed Biddings) as modes of procurement.
2. Procurement activities intended to commence implementation during the first quarter of FY 2019. 
</t>
    </r>
  </si>
  <si>
    <r>
      <t xml:space="preserve">All items/stocks available in DBM-PS shall be detailed in a separate Division PPMP CSE form.
</t>
    </r>
    <r>
      <rPr>
        <sz val="8"/>
        <color rgb="FF000000"/>
        <rFont val="Arial1"/>
      </rPr>
      <t xml:space="preserve">
The complete set of PPMP to be submitted by each division shall include:
1. Consolidated PPMP
2. PPMP CSE
3. Specs for goods and services
4. TOR for consultancy</t>
    </r>
  </si>
  <si>
    <r>
      <t xml:space="preserve">In filling up column B, ensure clarity and accuracy in describing each procurement program/project. </t>
    </r>
    <r>
      <rPr>
        <b/>
        <u/>
        <sz val="8"/>
        <color rgb="FF000000"/>
        <rFont val="Arial1"/>
      </rPr>
      <t>Be as specific as possible</t>
    </r>
    <r>
      <rPr>
        <sz val="8"/>
        <color rgb="FF000000"/>
        <rFont val="Arial1"/>
      </rPr>
      <t xml:space="preserve"> in describing the procurement program/project/activity. Include complete specifications rather than generic description such as "office supplies", "computer software". For consolidated or lumped procurement, </t>
    </r>
    <r>
      <rPr>
        <b/>
        <u/>
        <sz val="8"/>
        <color rgb="FF000000"/>
        <rFont val="Arial1"/>
      </rPr>
      <t>enumerate all items in the Specifications Form</t>
    </r>
    <r>
      <rPr>
        <sz val="8"/>
        <color rgb="FF000000"/>
        <rFont val="Arial1"/>
      </rPr>
      <t xml:space="preserve">. </t>
    </r>
  </si>
  <si>
    <r>
      <t xml:space="preserve">  </t>
    </r>
    <r>
      <rPr>
        <b/>
        <u/>
        <sz val="12"/>
        <color theme="1"/>
        <rFont val="Verdana"/>
        <family val="2"/>
      </rPr>
      <t>PROJECT PROCUREMENT MANAGEMENT PLAN (PPMP)</t>
    </r>
  </si>
  <si>
    <r>
      <t>END-USER/UNIT</t>
    </r>
    <r>
      <rPr>
        <sz val="12"/>
        <color theme="1"/>
        <rFont val="Verdana"/>
        <family val="2"/>
      </rPr>
      <t xml:space="preserve">: </t>
    </r>
    <r>
      <rPr>
        <b/>
        <u/>
        <sz val="12"/>
        <color theme="1"/>
        <rFont val="Verdana"/>
        <family val="2"/>
      </rPr>
      <t>xxx Division</t>
    </r>
  </si>
  <si>
    <t>Charged to GAA</t>
  </si>
  <si>
    <t>Projects, Programs and Activities (PAPs)</t>
  </si>
  <si>
    <t>CODE</t>
  </si>
  <si>
    <t>GENERAL DESCRIPTION</t>
  </si>
  <si>
    <t>QUANTITY/</t>
  </si>
  <si>
    <t>ESTIMATED BUDGET</t>
  </si>
  <si>
    <t>SCHEDULE/MILESTONE OF ACTIVITIES</t>
  </si>
  <si>
    <t>SIZE</t>
  </si>
  <si>
    <t>Jan</t>
  </si>
  <si>
    <t>Feb</t>
  </si>
  <si>
    <t>Mar</t>
  </si>
  <si>
    <t>Apr</t>
  </si>
  <si>
    <t>May</t>
  </si>
  <si>
    <t>Jun</t>
  </si>
  <si>
    <t>July</t>
  </si>
  <si>
    <t>Aug</t>
  </si>
  <si>
    <t>Sept</t>
  </si>
  <si>
    <t>Oct</t>
  </si>
  <si>
    <t xml:space="preserve">Nov </t>
  </si>
  <si>
    <t>Dec</t>
  </si>
  <si>
    <t>express mailing for expedient delivery, ABC from Cluster 2</t>
  </si>
  <si>
    <t>from previous budget of 136,800 pegged at 1200/pax</t>
  </si>
  <si>
    <t>originally alloted for Cluster 2</t>
  </si>
  <si>
    <t>Notes:</t>
  </si>
  <si>
    <t>TOTAL BUDGET:</t>
  </si>
  <si>
    <t>+ 10% Provision for Inflation</t>
  </si>
  <si>
    <t xml:space="preserve">+ 10% Contingency  </t>
  </si>
  <si>
    <t xml:space="preserve">TOTAL ESTIMATED BUDGET:  </t>
  </si>
  <si>
    <r>
      <t>NOTE:</t>
    </r>
    <r>
      <rPr>
        <sz val="8"/>
        <color theme="1"/>
        <rFont val="Verdana"/>
        <family val="2"/>
      </rPr>
      <t xml:space="preserve">      Technical Specifications for each Item/Project being proposed shall be submitted as part of the PPMP</t>
    </r>
  </si>
  <si>
    <t>Prepared By:                                                                                            Submitted By:</t>
  </si>
  <si>
    <t xml:space="preserve">                End-user</t>
  </si>
  <si>
    <t>(name)</t>
  </si>
  <si>
    <t xml:space="preserve">                  PMO III</t>
  </si>
  <si>
    <t>xxx</t>
  </si>
  <si>
    <t xml:space="preserve">                           </t>
  </si>
  <si>
    <t xml:space="preserve">                    Division Head</t>
  </si>
  <si>
    <t>Head, (name of end-user unit)</t>
  </si>
  <si>
    <t>Laptop (standard)</t>
  </si>
  <si>
    <t>Laptop (High-end)</t>
  </si>
  <si>
    <t>Etc.</t>
  </si>
  <si>
    <t>MS Office</t>
  </si>
  <si>
    <t>Adobe Photoshop</t>
  </si>
  <si>
    <t>(Specify)</t>
  </si>
  <si>
    <t xml:space="preserve">Transportation Equipment (motor vehicles) </t>
  </si>
  <si>
    <t>IVB - Palawan</t>
  </si>
  <si>
    <t>ANNUAL PROCUREMENT PLAN-COMMON SUPPLIES AND EQUIPMENT (APP-CSE) 2019 FORM</t>
  </si>
  <si>
    <t>A025-58435</t>
  </si>
  <si>
    <t>Introduction:</t>
  </si>
  <si>
    <t xml:space="preserve">Listed in this template are all the common supplies and equipment (CSE) carried in stock by the Procurement Service (PS) that may be purchased by government agencies. Agencies must accomplish this form and submit  in order to purchase CSEs from the PS.  Consistent with DBM Circular No. 2016-9 dated October 27, 2016 , the APP-CSE shall serve as the agency's APR for all its CSE requirements. Items in the template has been arranged in accordance with UNSPSC coding and this is in preparation for integration of the APP-CSE template in the Modernized Government Electronic Procurement System (MGEPS). </t>
  </si>
  <si>
    <t>Instructions:</t>
  </si>
  <si>
    <t>1. Download the worksheet file APP-CSE 2019 template at www.ps-philgeps.gov.ph</t>
  </si>
  <si>
    <t>2. Indicate the agency’s monthly requirement per item in the APP-CSE 2019 form.</t>
  </si>
  <si>
    <t>3. The agency should indicate zero if an item is not being purchased by the agency or purchased for a particular month.</t>
  </si>
  <si>
    <t xml:space="preserve">4. Agency must not delete any item in the template; neither should it include line items or revise the template.  </t>
  </si>
  <si>
    <t>5. An APP-CSE is considered incorrect or invalid if</t>
  </si>
  <si>
    <t>a. form used is other than the prescribed format  which can be downloaded only at www.ps- philgeps.gov.ph  and;</t>
  </si>
  <si>
    <t xml:space="preserve">b. correct format is used but fields were deleted and/or inserted  in PART I of the template </t>
  </si>
  <si>
    <t>6. Fill out your CSE requirements that are available for purchase in the PS under the PART I.  For other Items that are not available from the PS but is regularly purchased by the agency from other sources, agency must indicate the items  in the PART II  and indicate likewise the unit prices based on its last purchase.</t>
  </si>
  <si>
    <t>7. Once accomplished and finalized, the APP-CSE 2019 form should be:</t>
  </si>
  <si>
    <t xml:space="preserve">a. Saved using this format: APP2019_Name of Agency_Main or Regional Office (e.g. APP2019 _DBM_Central Office, APP2019 _DBM_Region IVA). </t>
  </si>
  <si>
    <t>b. Printed and signed by the agency Property/Supply Officer, Budget Officer and Head of the Procuring Entity.  An unsigned APP-CSE or that which lacks any of the three (3) signatures will be considered as an invalid submission.</t>
  </si>
  <si>
    <t>8. The SIGNED COPY of the APP-CSE must be scanned and saved as pdf format.  Together with the excel file, the signed copy in pdf format should be submitted using the online facility at PS website . Ensure that two files are submitted.</t>
  </si>
  <si>
    <t>9.  An agency may revise its APP-CSE during the year if there will be changes in its requirements.  However, it should submit an original APP-CSE within the prescribed deadline.  Agency may follow the same procedure as indicated in No. 7 when submitting the revised copy.All requirements in excess of the quantities indicated in the original APP-CSE will not be served if not covered by a revised APP-CSE.</t>
  </si>
  <si>
    <t>10. For further assistance/clarification, agencies may call the Marketing and Sales Division of the Procurement Service at telephone no.(02)689-7750 local 4019 and look for Ms. Evelyn I. Torres or Ms. Anna Liz C. Bona.</t>
  </si>
  <si>
    <r>
      <t xml:space="preserve">Note: Consistent with </t>
    </r>
    <r>
      <rPr>
        <b/>
        <i/>
        <sz val="12"/>
        <rFont val="Candara"/>
        <family val="2"/>
      </rPr>
      <t>Memorandum Circular No. 2018-1 dated May 28, 2018</t>
    </r>
    <r>
      <rPr>
        <i/>
        <sz val="12"/>
        <rFont val="Candara"/>
        <family val="2"/>
      </rPr>
      <t xml:space="preserve"> the APP-CSE for FY 2019 must be submitted on or before </t>
    </r>
    <r>
      <rPr>
        <b/>
        <i/>
        <sz val="12"/>
        <rFont val="Candara"/>
        <family val="2"/>
      </rPr>
      <t>August 31, 2018</t>
    </r>
    <r>
      <rPr>
        <i/>
        <sz val="12"/>
        <rFont val="Candara"/>
        <family val="2"/>
      </rPr>
      <t>.</t>
    </r>
  </si>
  <si>
    <t>Department/Bureau/Office:</t>
  </si>
  <si>
    <t>PALAWAN COUNCIL FOR SUSTAINABLE DEVELOPMENT STAFF</t>
  </si>
  <si>
    <t>Agency Account Code:</t>
  </si>
  <si>
    <t>A025</t>
  </si>
  <si>
    <t>Contact Person:</t>
  </si>
  <si>
    <t>Michelle Andrea August F. Sabuya</t>
  </si>
  <si>
    <t>Region:</t>
  </si>
  <si>
    <t>Organization Type:</t>
  </si>
  <si>
    <t>PALAWAN COUNCIL FOR SUSTAINABLE DEVELOPMENT</t>
  </si>
  <si>
    <t>Position:</t>
  </si>
  <si>
    <t>BAC Secretary</t>
  </si>
  <si>
    <t>Address:</t>
  </si>
  <si>
    <t>PCSD Building, Sports Complex Road, Barangay Santa Monica, Puerto Princesa City</t>
  </si>
  <si>
    <t xml:space="preserve">E-mail : </t>
  </si>
  <si>
    <t>mitchie592003@gmail.com</t>
  </si>
  <si>
    <t xml:space="preserve">                </t>
  </si>
  <si>
    <t xml:space="preserve">Telephone/Mobile Nos: </t>
  </si>
  <si>
    <t>Item &amp; Specifications</t>
  </si>
  <si>
    <t>Unit of Measure</t>
  </si>
  <si>
    <t>Monthly Quantity Requirement</t>
  </si>
  <si>
    <t>Total Quantity
for the year</t>
  </si>
  <si>
    <t xml:space="preserve">Price Catalogue </t>
  </si>
  <si>
    <t>Total Amount
for the year</t>
  </si>
  <si>
    <t>Q1</t>
  </si>
  <si>
    <t>Q1
AMOUNT</t>
  </si>
  <si>
    <t xml:space="preserve">April </t>
  </si>
  <si>
    <t xml:space="preserve">May </t>
  </si>
  <si>
    <t>June</t>
  </si>
  <si>
    <t>Q2</t>
  </si>
  <si>
    <t>Q2
AMOUNT</t>
  </si>
  <si>
    <t>Q3</t>
  </si>
  <si>
    <t>Q3
AMOUNT</t>
  </si>
  <si>
    <t>Nov</t>
  </si>
  <si>
    <t>Q4</t>
  </si>
  <si>
    <t>Q4
AMOUNT</t>
  </si>
  <si>
    <t>PART I. AVAILABLE AT PROCUREMENT SERVICE STORES</t>
  </si>
  <si>
    <t>Pesticides or Pest Repellents</t>
  </si>
  <si>
    <t>10191509-IN-A01</t>
  </si>
  <si>
    <t>INSECTICIDE, aerosol type, net content: 600ml min</t>
  </si>
  <si>
    <t>can</t>
  </si>
  <si>
    <t>Solvents</t>
  </si>
  <si>
    <t>12191601-AL-E01</t>
  </si>
  <si>
    <t>ALCOHOL, ethyl, 68%-70%, scented, 500ml (-5ml)</t>
  </si>
  <si>
    <t>bottle</t>
  </si>
  <si>
    <t>Color Compounds and Dispersions</t>
  </si>
  <si>
    <t>12171703-SI-P01</t>
  </si>
  <si>
    <t>STAMP PAD INK, purple or violet</t>
  </si>
  <si>
    <t>Films</t>
  </si>
  <si>
    <t>13111203-AC-F01</t>
  </si>
  <si>
    <t>ACETATE, thickness: 0.075mm min (gauge #3)</t>
  </si>
  <si>
    <t>roll</t>
  </si>
  <si>
    <t>13111201-CF-P02</t>
  </si>
  <si>
    <t>CARBON FILM, PE, black, size 210mm x 297mm</t>
  </si>
  <si>
    <t>box</t>
  </si>
  <si>
    <t>CARBON FILM, PE, black, size 216mm x 330mm</t>
  </si>
  <si>
    <t>Paper Materials and Products</t>
  </si>
  <si>
    <t>14111525-CA-A01</t>
  </si>
  <si>
    <t>CARTOLINA, assorted colors</t>
  </si>
  <si>
    <t>pack</t>
  </si>
  <si>
    <t>14111506-CF-L11</t>
  </si>
  <si>
    <t>CONTINUOUS FORM, 1 PLY, 280 x 241mm</t>
  </si>
  <si>
    <t>14111506-CF-L12</t>
  </si>
  <si>
    <t>CONTINUOUS FORM, 1 PLY, 280 x 378mm</t>
  </si>
  <si>
    <t>14111506-CF-L22</t>
  </si>
  <si>
    <t>CONTINUOUS FORM, 2 ply, 280 x 378mm, carbonless</t>
  </si>
  <si>
    <t>14111506-CF-L21</t>
  </si>
  <si>
    <t>CONTINUOUS FORM, 2 ply, 280mm x 241mm, carbonless</t>
  </si>
  <si>
    <t>14111506-CF-L31</t>
  </si>
  <si>
    <t>CONTINUOUS FORM, 3 PLY, 280 x 241mm, carbonless</t>
  </si>
  <si>
    <t>14111506-CF-L32</t>
  </si>
  <si>
    <t>CONTINUOUS FORM, 3 PLY, 280 x 378mm, carbonless</t>
  </si>
  <si>
    <t>14111609-LL-C01</t>
  </si>
  <si>
    <t>LOOSELEAF COVER, made of chipboard, for legal</t>
  </si>
  <si>
    <t>bundle</t>
  </si>
  <si>
    <t>14111514-NP-S02</t>
  </si>
  <si>
    <t>NOTE PAD, stick on, 50mm x 76mm (2" x 3") min</t>
  </si>
  <si>
    <t>pad</t>
  </si>
  <si>
    <t>14111514-NP-S04</t>
  </si>
  <si>
    <t>NOTE PAD, stick on, 76mm x 100mm (3" x 4") min</t>
  </si>
  <si>
    <t>14111514-NP-S03</t>
  </si>
  <si>
    <t>NOTE PAD, stick on, 76mm x 76mm (3" x 3") min</t>
  </si>
  <si>
    <t>14111514-NB-S01</t>
  </si>
  <si>
    <t>NOTEBOOK, STENOGRAPHER, spiral, 40 leaves</t>
  </si>
  <si>
    <t>piece</t>
  </si>
  <si>
    <t>14111507-PP-M01</t>
  </si>
  <si>
    <t>PAPER, MULTICOPY, 80gsm, size: 210mm x 297mm</t>
  </si>
  <si>
    <t>ream</t>
  </si>
  <si>
    <t>14111507-PP-M02</t>
  </si>
  <si>
    <t>PAPER, MULTICOPY, 80gsm, size: 216mm x 330mm</t>
  </si>
  <si>
    <t>14111507-PP-C01</t>
  </si>
  <si>
    <t>PAPER, Multi-Purpose (COPY) A4, 70 gsm</t>
  </si>
  <si>
    <t>14111507-PP-C02</t>
  </si>
  <si>
    <t>PAPER, Multi-Purpose (COPY) Legal, 70 gsm</t>
  </si>
  <si>
    <t>14111531-PP-R01</t>
  </si>
  <si>
    <t>PAPER, PAD, ruled, size: 216mm x 330mm (± 2mm)</t>
  </si>
  <si>
    <t>14111503-PA-P01</t>
  </si>
  <si>
    <t>PAPER, PARCHMENT, size: 210 x 297mm, multi-purpose</t>
  </si>
  <si>
    <t>14111818-TH-P02</t>
  </si>
  <si>
    <t>PAPER, THERMAL, 55gsm, size: 216mm±1mm x 30m-0.3m</t>
  </si>
  <si>
    <t>14111531-RE-B01</t>
  </si>
  <si>
    <t>RECORD BOOK, 300 PAGES, size: 214mm x 278mm min</t>
  </si>
  <si>
    <t>book</t>
  </si>
  <si>
    <t>14111531-RE-B02</t>
  </si>
  <si>
    <t>RECORD BOOK, 500 PAGES, size: 214mm x 278mm min</t>
  </si>
  <si>
    <t>14111704-TT-P01</t>
  </si>
  <si>
    <t>TOILET TISSUE PAPER 2-plys sheets, 150 pulls</t>
  </si>
  <si>
    <t>Batteries and Cells and Accessories</t>
  </si>
  <si>
    <t>26111702-BT-A01</t>
  </si>
  <si>
    <t>BATTERY, dry cell, AA, 2 pieces per blister pack</t>
  </si>
  <si>
    <t xml:space="preserve">pack </t>
  </si>
  <si>
    <t>26111702-BT-A02</t>
  </si>
  <si>
    <t>BATTERY, dry cell, AAA, 2 pieces per blister pack</t>
  </si>
  <si>
    <t>26111702-BT-A03</t>
  </si>
  <si>
    <t>BATTERY, dry cell, D, 1.5 volts, alkaline</t>
  </si>
  <si>
    <t>Manufacturing Components and Supplies</t>
  </si>
  <si>
    <t>31201610-GL-J01</t>
  </si>
  <si>
    <t>GLUE, all purpose, gross weight: 200 grams min</t>
  </si>
  <si>
    <t>jar</t>
  </si>
  <si>
    <t>31151804-SW-H01</t>
  </si>
  <si>
    <t>STAPLE WIRE, for heavy duty staplers, (23/13)</t>
  </si>
  <si>
    <t>31151804-SW-S01</t>
  </si>
  <si>
    <t>STAPLE WIRE, STANDARD, (26/6)</t>
  </si>
  <si>
    <t>31201502-TA-E01</t>
  </si>
  <si>
    <t>TAPE, ELECTRICAL, 18mm x 16M min</t>
  </si>
  <si>
    <t>31201503-TA-M01</t>
  </si>
  <si>
    <t>TAPE, MASKING, width: 24mm (±1mm)</t>
  </si>
  <si>
    <t>31201503-TA-M02</t>
  </si>
  <si>
    <t>TAPE, MASKING, width: 48mm (±1mm)</t>
  </si>
  <si>
    <t>31201517-TA-P01</t>
  </si>
  <si>
    <t>TAPE, PACKAGING, width: 48mm (±1mm)</t>
  </si>
  <si>
    <t>31201512-TA-T01</t>
  </si>
  <si>
    <t>TAPE, TRANSPARENT, width: 24mm (±1mm)</t>
  </si>
  <si>
    <t>31201512-TA-T02</t>
  </si>
  <si>
    <t>TAPE, TRANSPARENT, width: 48mm (±1mm)</t>
  </si>
  <si>
    <t>31151507-TW-P01</t>
  </si>
  <si>
    <t>TWINE, plastic, one (1) kilo per roll</t>
  </si>
  <si>
    <t>Heating and Ventilation and Air Circulation</t>
  </si>
  <si>
    <t>40101604-EF-G01</t>
  </si>
  <si>
    <t>ELECTRIC FAN, INDUSTRIAL, ground type, metal blade</t>
  </si>
  <si>
    <t>unit</t>
  </si>
  <si>
    <t>40101604-EF-C01</t>
  </si>
  <si>
    <t>ELECTRIC FAN, ORBIT type, ceiling,  metal blade</t>
  </si>
  <si>
    <t>40101604-EF-S01</t>
  </si>
  <si>
    <t>ELECTRIC FAN, STAND type, plastic blade</t>
  </si>
  <si>
    <t>40101604-EF-W01</t>
  </si>
  <si>
    <t>ELECTRIC FAN, WALL type, plastic blade</t>
  </si>
  <si>
    <t>Lighting and Fixtures and Accessories</t>
  </si>
  <si>
    <t>39101605-FL-T01</t>
  </si>
  <si>
    <t>FLUORESCENT LAMP,  18 WATTS, linear tubular (T8)</t>
  </si>
  <si>
    <t>39101628-LB-L01</t>
  </si>
  <si>
    <t>Ligth Bulb, LED, 7 watts 1 pc in individual box</t>
  </si>
  <si>
    <t>Measuring and Observing and Testing Equipment</t>
  </si>
  <si>
    <t>41111604-RU-P02</t>
  </si>
  <si>
    <t>RULER, plastic, 450mm (18"), width: 38mm min</t>
  </si>
  <si>
    <t>Cleaning Equipment and Supplies</t>
  </si>
  <si>
    <t>47131812-AF-A01</t>
  </si>
  <si>
    <t>AIR FRESHENER, aerosol, 280ml/150g min</t>
  </si>
  <si>
    <t>47131604-BR-S01</t>
  </si>
  <si>
    <t>BROOM, soft (tambo)</t>
  </si>
  <si>
    <t>47131604-BR-T01</t>
  </si>
  <si>
    <t>BROOM, STICK (TING-TING), usable length: 760mm min</t>
  </si>
  <si>
    <t>47131829-TB-C01</t>
  </si>
  <si>
    <t>CLEANER,TOILET BOWL AND URINAL, 900ml-1000ml cap</t>
  </si>
  <si>
    <t>47131805-CL-P01</t>
  </si>
  <si>
    <t>CLEANSER, SCOURING POWDER, 350g min./can</t>
  </si>
  <si>
    <t xml:space="preserve">can </t>
  </si>
  <si>
    <t>47131811-DE-B02</t>
  </si>
  <si>
    <t>DETERGENT BAR, 140 grams as packed</t>
  </si>
  <si>
    <t>bar</t>
  </si>
  <si>
    <t>47131811-DE-P02</t>
  </si>
  <si>
    <t>DETERGENT POWDER, all purpose, 1kg</t>
  </si>
  <si>
    <t>47131803-DS-A01</t>
  </si>
  <si>
    <t>DISINFECTANT SPRAY, aerosol type, 400-550 grams</t>
  </si>
  <si>
    <t>47131601-DU-P01</t>
  </si>
  <si>
    <t>DUST PAN, non-rigid plastic, w/ detachable handle</t>
  </si>
  <si>
    <t>47131802-FW-P02</t>
  </si>
  <si>
    <t>FLOOR WAX, PASTE, RED</t>
  </si>
  <si>
    <t>47131830-FC-A01</t>
  </si>
  <si>
    <t>FURNITURE CLEANER, aerosol type, 300ml min per can</t>
  </si>
  <si>
    <t>47121804-MP-B01</t>
  </si>
  <si>
    <t>MOP BUCKET, heavy duty, hard plastic</t>
  </si>
  <si>
    <t>47131613-MP-H02</t>
  </si>
  <si>
    <t>MOPHANDLE, heavy duty, aluminum, screw type</t>
  </si>
  <si>
    <t>47131619-MP-R01</t>
  </si>
  <si>
    <t>MOPHEAD, made of rayon, weight: 400 grams min</t>
  </si>
  <si>
    <t>47131501-RG-C01</t>
  </si>
  <si>
    <t>RAGS, all cotton, 32 pieces per kilogram min</t>
  </si>
  <si>
    <t>47131602-SC-N01</t>
  </si>
  <si>
    <t>SCOURING PAD, made of synthetic nylon, 140 x 220mm</t>
  </si>
  <si>
    <t>47121701-TB-P02</t>
  </si>
  <si>
    <t>TRASHBAG, plastic, transparent</t>
  </si>
  <si>
    <t>47121702-WB-P01</t>
  </si>
  <si>
    <t>WASTEBASKET, non-rigid plastic</t>
  </si>
  <si>
    <t>Information and Communication Technology (ICT) Equipment and Devices and Accessories</t>
  </si>
  <si>
    <t>43211507-DCT-03</t>
  </si>
  <si>
    <t>Desktop Computer, branded</t>
  </si>
  <si>
    <t>43202003-DV-W01</t>
  </si>
  <si>
    <t>DVD REWRITABLE, speed: 4x min, 4.7GB capacity min</t>
  </si>
  <si>
    <t>43201827-HD-X02</t>
  </si>
  <si>
    <t>EXTERNAL HARD DRIVE, 1TB, 2.5"HDD, USB 3.0</t>
  </si>
  <si>
    <t>43202010-FD-U01</t>
  </si>
  <si>
    <t>FLASH DRIVE, 16 GB capacity</t>
  </si>
  <si>
    <t>43211503-LCT-02</t>
  </si>
  <si>
    <t>Laptop Computer, branded</t>
  </si>
  <si>
    <t>43211708-MO-O01</t>
  </si>
  <si>
    <t>MOUSE, optical, USB connection type</t>
  </si>
  <si>
    <t>43212102-PR-D02</t>
  </si>
  <si>
    <t>PRINTER, IMPACT DOT MATRIX, 24 pins, 136 column</t>
  </si>
  <si>
    <t>43212102-PR-D01</t>
  </si>
  <si>
    <t>PRINTER, IMPACT DOT MATRIX, 9 pins, 80 columns</t>
  </si>
  <si>
    <t>43212105-PR-L01</t>
  </si>
  <si>
    <t>PRINTER, LASER, monochrome, network-ready</t>
  </si>
  <si>
    <t>N/A</t>
  </si>
  <si>
    <t>PRINTER, LASER, Color</t>
  </si>
  <si>
    <t>PRINTER, Inkjet, Monochrome</t>
  </si>
  <si>
    <t>PRINTER, Inkjet, Color</t>
  </si>
  <si>
    <t>Hub/Switches</t>
  </si>
  <si>
    <t>Network Routers</t>
  </si>
  <si>
    <t>Wireless Access Point</t>
  </si>
  <si>
    <t>Office Equipment and Accessories and Supplies</t>
  </si>
  <si>
    <t>44121710-CH-W01</t>
  </si>
  <si>
    <t>CHALK, molded, white, dustless, length: 78mm min</t>
  </si>
  <si>
    <t>44122105-BF-C01</t>
  </si>
  <si>
    <t>CLIP, BACKFOLD, all metal, clamping: 19mm (-1mm)</t>
  </si>
  <si>
    <t>44122105-BF-C02</t>
  </si>
  <si>
    <t>CLIP, BACKFOLD, all metal, clamping: 25mm (-1mm)</t>
  </si>
  <si>
    <t>44122105-BF-C03</t>
  </si>
  <si>
    <t>CLIP, BACKFOLD, all metal, clamping: 32mm (-1mm)</t>
  </si>
  <si>
    <t>44122105-BF-C04</t>
  </si>
  <si>
    <t>CLIP, BACKFOLD, all metal, clamping: 50mm (-1mm)</t>
  </si>
  <si>
    <t>44121801-CT-R01</t>
  </si>
  <si>
    <t>CORRECTION TAPE, film base type, UL 6m min</t>
  </si>
  <si>
    <t>44111515-DF-B01</t>
  </si>
  <si>
    <t>DATA FILE BOX, made of chipboard, with closed ends</t>
  </si>
  <si>
    <t>44122011-DF-F01</t>
  </si>
  <si>
    <t>DATA FOLDER, made of chipboard, taglia lock</t>
  </si>
  <si>
    <t>44121506-EN-D01</t>
  </si>
  <si>
    <t>ENVELOPE, DOCUMENTARY, for A4 size document</t>
  </si>
  <si>
    <t>44121506-EN-D02</t>
  </si>
  <si>
    <t>ENVELOPE, DOCUMENTARY, for legal size document</t>
  </si>
  <si>
    <t>44121506-EN-X01</t>
  </si>
  <si>
    <t>ENVELOPE, EXPANDING, KRAFTBOARD,for legal size doc</t>
  </si>
  <si>
    <t>44121506-EN-X02</t>
  </si>
  <si>
    <t>ENVELOPE, EXPANDING, PLASTIC, 0.50mm thickness min</t>
  </si>
  <si>
    <t>44121506-EN-M01</t>
  </si>
  <si>
    <t>ENVELOPE, MAILING,white, 80gsm (-5%)</t>
  </si>
  <si>
    <t>44121504-EN-W01</t>
  </si>
  <si>
    <t>ENVELOPE, mailing, white, with window</t>
  </si>
  <si>
    <t>44111912-ER-B01</t>
  </si>
  <si>
    <t>ERASER, FELT, for blackboard/whiteboard</t>
  </si>
  <si>
    <t>44122118-FA-P01</t>
  </si>
  <si>
    <t>FASTENER, METAL, 70mm between prongs</t>
  </si>
  <si>
    <t>44111515-FO-X01</t>
  </si>
  <si>
    <t>FILE ORGANIZER, expanding, plastic, 12 pockets</t>
  </si>
  <si>
    <t>44122018-FT-D01</t>
  </si>
  <si>
    <t>FILE TAB DIVIDER, bristol board, for A4</t>
  </si>
  <si>
    <t>set</t>
  </si>
  <si>
    <t>44122018-FT-D02</t>
  </si>
  <si>
    <t>FILE TAB DIVIDER, bristol board, for legal</t>
  </si>
  <si>
    <t>44122011-FO-F01</t>
  </si>
  <si>
    <t>FOLDER, FANCY, for A4 size documents</t>
  </si>
  <si>
    <t>44122011-FO-F02</t>
  </si>
  <si>
    <t>FOLDER, FANCY, for legal size documents</t>
  </si>
  <si>
    <t>44122011-FO-L01</t>
  </si>
  <si>
    <t>FOLDER, L-TYPE, PLASTIC, for A4 size documents</t>
  </si>
  <si>
    <t>44122011-FO-L02</t>
  </si>
  <si>
    <t>FOLDER, L-TYPE, PLASTIC, for legal size documents</t>
  </si>
  <si>
    <t>44122027-FO-P01</t>
  </si>
  <si>
    <t>FOLDER, PRESSBOARD, size: 240mm x 370mm (-5mm)</t>
  </si>
  <si>
    <t>44122011-FO-T03</t>
  </si>
  <si>
    <t>FOLDER, TAGBOARD, for A4 size documents</t>
  </si>
  <si>
    <t>44122011-FO-T04</t>
  </si>
  <si>
    <t>FOLDER, TAGBOARD, for legal size documents</t>
  </si>
  <si>
    <t>44122008-IT-T01</t>
  </si>
  <si>
    <t>INDEX TAB, self-adhesive, transparent</t>
  </si>
  <si>
    <t>44111515-MF-B02</t>
  </si>
  <si>
    <t>MAGAZINE FILE BOX, LARGE size, made of chipboard</t>
  </si>
  <si>
    <t>44121716-MA-F01</t>
  </si>
  <si>
    <t>MARKER, FLUORESCENT, 3 assorted colors per set</t>
  </si>
  <si>
    <t>44121708-MW-B01</t>
  </si>
  <si>
    <t>MARKER, whiteboard, black, felt tip, bullet type</t>
  </si>
  <si>
    <t>44121708-MW-B02</t>
  </si>
  <si>
    <t>MARKER, whiteboard, blue, felt tip, bullet type</t>
  </si>
  <si>
    <t>44121708-MW-B03</t>
  </si>
  <si>
    <t>MARKER, whiteboard, red, felt tip, bullet type</t>
  </si>
  <si>
    <t>44121708-MP-B01</t>
  </si>
  <si>
    <t>MARKER, PERMANENT, bullet type, black</t>
  </si>
  <si>
    <t>44121708-MP-B02</t>
  </si>
  <si>
    <t>MARKER, PERMANENT, bullet type, blue</t>
  </si>
  <si>
    <t>44121708-MP-B03</t>
  </si>
  <si>
    <t>MARKER, PERMANENT, bullet type, red</t>
  </si>
  <si>
    <t>44122104-PC-G01</t>
  </si>
  <si>
    <t>PAPER CLIP, vinyl/plastic coat, length: 32mm min</t>
  </si>
  <si>
    <t>44122104-PC-J02</t>
  </si>
  <si>
    <t>PAPER CLIP, vinyl/plastic coat, length: 48mm min</t>
  </si>
  <si>
    <t>44121706-PE-L01</t>
  </si>
  <si>
    <t>PENCIL, lead, w/ eraser, wood cased, hardness: HB</t>
  </si>
  <si>
    <t>44122037-RB-P10</t>
  </si>
  <si>
    <t>RING BINDER, 80 rings, plastic, 32mm x 1.12m</t>
  </si>
  <si>
    <t>44122101-RU-B01</t>
  </si>
  <si>
    <t>RUBBER BAND, 70mm min lay flat length (#18)</t>
  </si>
  <si>
    <t>44121905-SP-F01</t>
  </si>
  <si>
    <t>STAMP PAD, FELT, bed dimension: 60mm x 100mm min</t>
  </si>
  <si>
    <t>44121612-BL-H01</t>
  </si>
  <si>
    <t>CUTTER BLADE, for heavy duty cutter</t>
  </si>
  <si>
    <t>44121612-CU-H01</t>
  </si>
  <si>
    <t>CUTTER KNIFE, for general purpose</t>
  </si>
  <si>
    <t>44103202-DS-M01</t>
  </si>
  <si>
    <t>DATING AND STAMPING MACHINE, heavy duty</t>
  </si>
  <si>
    <t>44121619-PS-M01</t>
  </si>
  <si>
    <t>PENCIL SHARPENER, manual, single cutter head</t>
  </si>
  <si>
    <t>44101602-PU-P01</t>
  </si>
  <si>
    <t>PUNCHER, paper, heavy duty, with two hole guide</t>
  </si>
  <si>
    <t>44121618-SS-S01</t>
  </si>
  <si>
    <t>SCISSORS, symmetrical, blade length: 65mm min</t>
  </si>
  <si>
    <t>pair</t>
  </si>
  <si>
    <t>44121615-ST-S01</t>
  </si>
  <si>
    <t>STAPLER, STANDARD TYPE, load cap: 200 staples min</t>
  </si>
  <si>
    <t>44121615-ST-B01</t>
  </si>
  <si>
    <t>STAPLER, BINDER TYPE, heavy duty, desktop</t>
  </si>
  <si>
    <t>44121613-SR-P01</t>
  </si>
  <si>
    <t>STAPLE REMOVER, PLIER-TYPE</t>
  </si>
  <si>
    <t>44121605-TD-T01</t>
  </si>
  <si>
    <t>TAPE DISPENSER, TABLE TOP, for 24mm width tape</t>
  </si>
  <si>
    <t>44101602-PB-M01</t>
  </si>
  <si>
    <t>BINDING AND PUNCHING MACHINE, binding cap: 50mm</t>
  </si>
  <si>
    <t>44101807-CA-C01</t>
  </si>
  <si>
    <t>CALCULATOR, compact, 12 digits</t>
  </si>
  <si>
    <t>44101714-FX-M01</t>
  </si>
  <si>
    <t>FACSIMILE MACHINE, uses thermal paper</t>
  </si>
  <si>
    <t>44101601-PT-M01</t>
  </si>
  <si>
    <t>PAPER TRIMMER/CUTTING MACHINE, max paper size: B4</t>
  </si>
  <si>
    <t>44101603-PS-M01</t>
  </si>
  <si>
    <t>PAPER SHREDDER, cutting width: 3mm-4mm (Entry Level)</t>
  </si>
  <si>
    <t>44101603-PS-M02</t>
  </si>
  <si>
    <t>PAPER SHREDDER, cutting width: 3mm-4mm (Mid-Level)</t>
  </si>
  <si>
    <t>Printer or Facsimile or Photocopier Supplies</t>
  </si>
  <si>
    <t>44103109-BR-D05</t>
  </si>
  <si>
    <t xml:space="preserve">DRUM CART, BROTHER DR-3455 </t>
  </si>
  <si>
    <t>cart</t>
  </si>
  <si>
    <t>44103105-CA-C04</t>
  </si>
  <si>
    <t>INK CART, CANON CL-741, Col.</t>
  </si>
  <si>
    <t>44103105-CA-C02</t>
  </si>
  <si>
    <t>INK CART, CANON CL-811, Colored</t>
  </si>
  <si>
    <t>44103105-CA-B04</t>
  </si>
  <si>
    <t xml:space="preserve">INK CART, CANON PG-740, Black </t>
  </si>
  <si>
    <t>44103105-CA-B02</t>
  </si>
  <si>
    <t>INK CART, CANON PG-810, Black</t>
  </si>
  <si>
    <t>44103105-EP-B17</t>
  </si>
  <si>
    <t>INK CART, EPSON C13T664100 (T6641), Black</t>
  </si>
  <si>
    <t>44103105-EP-C17</t>
  </si>
  <si>
    <t>INK CART, EPSON C13T664200 (T6642), Cyan</t>
  </si>
  <si>
    <t>44103105-EP-M17</t>
  </si>
  <si>
    <t>INK CART, EPSON C13T664300 (T6643), Magenta</t>
  </si>
  <si>
    <t>44103105-EP-Y17</t>
  </si>
  <si>
    <t>INK CART, EPSON C13T664400 (T6644), Yellow</t>
  </si>
  <si>
    <t>44103105-HP-B40</t>
  </si>
  <si>
    <t xml:space="preserve">INK CART, HP C2P04AA (HP62) Black </t>
  </si>
  <si>
    <t>44103105-HP-T40</t>
  </si>
  <si>
    <t xml:space="preserve">INK CART, HP C2P06AA (HP62) Tri-color </t>
  </si>
  <si>
    <t>44103105-HP-B09</t>
  </si>
  <si>
    <t>INK CART, HP C9351AA, (HP21), Black</t>
  </si>
  <si>
    <t>44103105-HP-T10</t>
  </si>
  <si>
    <t>INK CART, HP C9352AA, (HP22), Tri-color</t>
  </si>
  <si>
    <t>44103105-HP-T30</t>
  </si>
  <si>
    <t>INK CART, HP C9363WA, (HP97), Tri-color</t>
  </si>
  <si>
    <t>44103105-HP-P48</t>
  </si>
  <si>
    <t>INK CART, HP C9397A (HP72) 69ml Photo Black</t>
  </si>
  <si>
    <t>44103105-HP-C48</t>
  </si>
  <si>
    <t>INK CART, HP C9398A (HP72) 69ml Cyan</t>
  </si>
  <si>
    <t>44103105-HP-M48</t>
  </si>
  <si>
    <t>INK CART, HP C9399A (HP72) 69ml Magenta</t>
  </si>
  <si>
    <t>44103105-HP-Y48</t>
  </si>
  <si>
    <t xml:space="preserve">INK CART, HP C9400A (HP72) 69ml Yellow </t>
  </si>
  <si>
    <t>44103105-HP-G48</t>
  </si>
  <si>
    <t xml:space="preserve">INK CART, HP C9401A (HP72) 69ml Gray </t>
  </si>
  <si>
    <t>44103105-HP-B48</t>
  </si>
  <si>
    <t>INK CART, HP C9403A (HP72) 130ml Matte Black</t>
  </si>
  <si>
    <t>44103105-HP-B17</t>
  </si>
  <si>
    <t>INK CART, HP CC640WA, (HP60),  Black</t>
  </si>
  <si>
    <t>44103105-HP-T17</t>
  </si>
  <si>
    <t>INK CART, HP CC643WA, (HP60), Tri-color</t>
  </si>
  <si>
    <t>44103105-HP-B35</t>
  </si>
  <si>
    <t>INK CART, HP CD887AA, (HP703), Black</t>
  </si>
  <si>
    <t>44103105-HP-T35</t>
  </si>
  <si>
    <t>INK CART, HP CD888AA, (HP703), Tri-color</t>
  </si>
  <si>
    <t>44103105-HX-C40</t>
  </si>
  <si>
    <t>INK CART, HP CD972AA, (HP 920XL), Cyan</t>
  </si>
  <si>
    <t>44103105-HX-M40</t>
  </si>
  <si>
    <t>INK CART, HP CD973AA, (HP 920XL), Magenta</t>
  </si>
  <si>
    <t>44103105-HX-Y40</t>
  </si>
  <si>
    <t>INK CART, HP CD974AA, (HP 920XL), Yellow</t>
  </si>
  <si>
    <t>44103105-HX-B40</t>
  </si>
  <si>
    <t>INK CART, HP CD975AA, (HP 920XL), Black</t>
  </si>
  <si>
    <t>44103105-HP-B20</t>
  </si>
  <si>
    <t>INK CART, HP CH561WA, (HP61), Black</t>
  </si>
  <si>
    <t>44103105-HP-T20</t>
  </si>
  <si>
    <t>INK CART, HP CH562WA, (HP61), Tricolor</t>
  </si>
  <si>
    <t>44103105-HP-B49</t>
  </si>
  <si>
    <t xml:space="preserve">INK CART, HP CH565A (HP82) Black </t>
  </si>
  <si>
    <t>44103105-HP-C49</t>
  </si>
  <si>
    <t xml:space="preserve">INK CART, HP CH566A (HP82) Cyan </t>
  </si>
  <si>
    <t>44103105-HP-M49</t>
  </si>
  <si>
    <t xml:space="preserve">INK CART, HP CH567A (HP82) Magenta </t>
  </si>
  <si>
    <t>44103105-HP-Y49</t>
  </si>
  <si>
    <t xml:space="preserve">INK CART, HP CH568A (HP82) Yellow </t>
  </si>
  <si>
    <t>44103105-HX-B43</t>
  </si>
  <si>
    <t>INK CART, HP CN045AA, (HP950XL), Black</t>
  </si>
  <si>
    <t>44103105-HX-C43</t>
  </si>
  <si>
    <t>INK CART, HP CN046AA, (HP951XL), Cyan</t>
  </si>
  <si>
    <t>44103105-HX-M43</t>
  </si>
  <si>
    <t>INK CART, HP CN047AA, (HP951XL), Magenta</t>
  </si>
  <si>
    <t>44103105-HX-Y43</t>
  </si>
  <si>
    <t>INK CART, HP CN048AA, (HP951XL). Yellow</t>
  </si>
  <si>
    <t>44103105-HP-B36</t>
  </si>
  <si>
    <t>INK CART, HP CN692AA, (HP704), Black</t>
  </si>
  <si>
    <t>44103105-HP-T36</t>
  </si>
  <si>
    <t>INK CART, HP CN693AA, (HP704), Tri-color</t>
  </si>
  <si>
    <t>44103105-HP-B33</t>
  </si>
  <si>
    <t>INK CART, HP CZ107AA, (HP678), Black</t>
  </si>
  <si>
    <t>44103105-HP-T33</t>
  </si>
  <si>
    <t>INK CART, HP CZ108AA, (HP678), Tricolor</t>
  </si>
  <si>
    <t>44103105-HP-B42</t>
  </si>
  <si>
    <t>INK CART, HP CZ121A (HP685A), Black</t>
  </si>
  <si>
    <t>44103105-HP-C33</t>
  </si>
  <si>
    <t>INK CART, HP CZ122A (HP685A), Cyan</t>
  </si>
  <si>
    <t>44103105-HP-M33</t>
  </si>
  <si>
    <t>INK CART, HP CZ123A (HP685A), Magenta</t>
  </si>
  <si>
    <t>44103105-HP-Y33</t>
  </si>
  <si>
    <t>INK CART, HP CZ124A (HP685A), Yellow</t>
  </si>
  <si>
    <t>44103105-HP-T43</t>
  </si>
  <si>
    <t>INK CART, HP F6V26AA (HP680) Tri-color</t>
  </si>
  <si>
    <t>44103105-HP-B43</t>
  </si>
  <si>
    <t xml:space="preserve">INK CART, HP F6V27AA (HP680) Black </t>
  </si>
  <si>
    <t>44103105-HP-C50</t>
  </si>
  <si>
    <t xml:space="preserve">INK CART, HP L0S51AA (HP955) Cyan Original </t>
  </si>
  <si>
    <t>44103105-HP-M50</t>
  </si>
  <si>
    <t>INK CART, HP L0S54AA (HP955) Magenta Original</t>
  </si>
  <si>
    <t>44103105-HP-Y50</t>
  </si>
  <si>
    <t xml:space="preserve">INK CART, HP L0S57AA (HP955) Yellow Original </t>
  </si>
  <si>
    <t>44103105-HP-B50</t>
  </si>
  <si>
    <t xml:space="preserve">INK CART, HP L0S60AA (HP955) Black Original </t>
  </si>
  <si>
    <t>44103105-HX-C48</t>
  </si>
  <si>
    <t>INK CART, HP L0S63AA (HP955XL) Cyan Original</t>
  </si>
  <si>
    <t>44103105-HX-M48</t>
  </si>
  <si>
    <t xml:space="preserve">INK CART, HP L0S66AA (HP955XL) Magenta Original </t>
  </si>
  <si>
    <t>44103105-HX-Y48</t>
  </si>
  <si>
    <t xml:space="preserve">INK CART, HP L0S69AA (HP955XL) Yellow Original </t>
  </si>
  <si>
    <t>44103105-HX-B48</t>
  </si>
  <si>
    <t>INK CART, HP L0S72AA (HP955XL) Black Original</t>
  </si>
  <si>
    <t>44103105-HP-C51</t>
  </si>
  <si>
    <t xml:space="preserve">INK CART, HP T6L89AA (HP905) Cyan Original </t>
  </si>
  <si>
    <t>44103105-HP-M51</t>
  </si>
  <si>
    <t>INK CART, HP T6L93AA (HP905) Magenta Original</t>
  </si>
  <si>
    <t>44103105-HP-Y51</t>
  </si>
  <si>
    <t>INK CART, HP T6L97AA (HP905) Yellow Original</t>
  </si>
  <si>
    <t>44103105-HP-B51</t>
  </si>
  <si>
    <t>INK CART, HP T6M01AA (HP905) Black Original</t>
  </si>
  <si>
    <t>44103105-HX-C49</t>
  </si>
  <si>
    <t xml:space="preserve">INK CART, HP T6M05AA (HP905XL) Cyan Original </t>
  </si>
  <si>
    <t>44103105-HX-M49</t>
  </si>
  <si>
    <t xml:space="preserve">INK CART, HP T6M09AA (HP905XL) Magenta Original </t>
  </si>
  <si>
    <t>44103105-HX-Y49</t>
  </si>
  <si>
    <t>INK CART, HP T6M13AA (HP905XL) Yellow Original</t>
  </si>
  <si>
    <t>44103105-HX-B49</t>
  </si>
  <si>
    <t>INK CART, HP T6M17AA (HP905XL) Black Original</t>
  </si>
  <si>
    <t>44103112-EP-R05</t>
  </si>
  <si>
    <t>RIBBON CART, EPSON C13S015516 (#8750), Black</t>
  </si>
  <si>
    <t>44103112-EP-R07</t>
  </si>
  <si>
    <t>RIBBON CART, EPSON C13S015531 (S015086), Black</t>
  </si>
  <si>
    <t>44103112-EP-R13</t>
  </si>
  <si>
    <t>RIBBON CART, EPSON C13S015632, Black, forLX-310</t>
  </si>
  <si>
    <t>44103103-BR-B03</t>
  </si>
  <si>
    <t>TONER CART,  BROTHER TN-2025, Black</t>
  </si>
  <si>
    <t>44103103-BR-B04</t>
  </si>
  <si>
    <t>TONER CART,  BROTHER TN-2130, Black</t>
  </si>
  <si>
    <t>44103103-BR-B05</t>
  </si>
  <si>
    <t>TONER CART,  BROTHER TN-2150, Black</t>
  </si>
  <si>
    <t>44103103-BR-B09</t>
  </si>
  <si>
    <t>TONER CART,  BROTHER TN-3320, Black</t>
  </si>
  <si>
    <t>44103103-BR-B11</t>
  </si>
  <si>
    <t>TONER CART,  BROTHER TN-3350, Black, for HL5450DN (CU Printer)</t>
  </si>
  <si>
    <t>44103103-HP-B12</t>
  </si>
  <si>
    <t>TONER CART, HP CB435A, Black</t>
  </si>
  <si>
    <t>44103103-HP-B14</t>
  </si>
  <si>
    <t>TONER CART, HP CB540A, Black</t>
  </si>
  <si>
    <t>44103103-HP-B18</t>
  </si>
  <si>
    <t>TONER CART, HP CE255A, Black</t>
  </si>
  <si>
    <t>44103103-HP-B21</t>
  </si>
  <si>
    <t>TONER CART, HP CE278A, Black</t>
  </si>
  <si>
    <t>44103103-HP-B22</t>
  </si>
  <si>
    <t>TONER CART, HP CE285A (HP85A), Black</t>
  </si>
  <si>
    <t>44103103-HP-B23</t>
  </si>
  <si>
    <t>TONER CART, HP CE310A, Black</t>
  </si>
  <si>
    <t>44103103-HP-C23</t>
  </si>
  <si>
    <t>TONER CART, HP CE311A, Cyan</t>
  </si>
  <si>
    <t>44103103-HP-Y23</t>
  </si>
  <si>
    <t>TONER CART, HP CE312A, Yellow</t>
  </si>
  <si>
    <t>44103103-HP-M23</t>
  </si>
  <si>
    <t>TONER CART, HP CE313A, Magenta</t>
  </si>
  <si>
    <t>44103103-HP-B24</t>
  </si>
  <si>
    <t>TONER CART, HP CE320A, Black</t>
  </si>
  <si>
    <t>44103103-HP-C24</t>
  </si>
  <si>
    <t>TONER CART, HP CE321A, Cyan</t>
  </si>
  <si>
    <t>44103103-HP-Y24</t>
  </si>
  <si>
    <t>TONER CART, HP CE322A, Yellow</t>
  </si>
  <si>
    <t>44103103-HP-M24</t>
  </si>
  <si>
    <t>TONER CART, HP CE323A, Magenta</t>
  </si>
  <si>
    <t>44103103-HP-B25</t>
  </si>
  <si>
    <t>TONER CART, HP CE390A, Black</t>
  </si>
  <si>
    <t>44103103-HP-B26</t>
  </si>
  <si>
    <t>TONER CART, HP CE400A, Black</t>
  </si>
  <si>
    <t>44103103-HP-C26</t>
  </si>
  <si>
    <t>TONER CART, HP CE401A, Cyan</t>
  </si>
  <si>
    <t>44103103-HP-Y26</t>
  </si>
  <si>
    <t>TONER CART, HP CE402A, Yellow</t>
  </si>
  <si>
    <t>44103103-HP-M26</t>
  </si>
  <si>
    <t>TONER CART, HP CE403A, Magenta</t>
  </si>
  <si>
    <t>44103103-HP-B27</t>
  </si>
  <si>
    <t>TONER CART, HP CE410A, (HP305), Black</t>
  </si>
  <si>
    <t>44103103-HP-C27</t>
  </si>
  <si>
    <t>TONER CART, HP CE411A, (HP305), Cyan</t>
  </si>
  <si>
    <t>44103103-HP-Y27</t>
  </si>
  <si>
    <t>TONER CART, HP CE412A, (HP305), Yellow</t>
  </si>
  <si>
    <t>44103103-HP-M27</t>
  </si>
  <si>
    <t>TONER CART, HP CE413A, (HP305), Magenta</t>
  </si>
  <si>
    <t>44103103-HP-B28</t>
  </si>
  <si>
    <t>TONER CART, HP CE505A, Black</t>
  </si>
  <si>
    <t>44103103-HX-B28</t>
  </si>
  <si>
    <t>TONER CART, HP CE505X, Black, high cap</t>
  </si>
  <si>
    <t>44103103-HP-B52</t>
  </si>
  <si>
    <t xml:space="preserve">TONER CART, HP CF217A (HP17A) Black LaserJet </t>
  </si>
  <si>
    <t>44103103-HP-B53</t>
  </si>
  <si>
    <t xml:space="preserve">TONER CART, HP CF226A (HP26A) Black LaserJet </t>
  </si>
  <si>
    <t>44103103-HX-B50</t>
  </si>
  <si>
    <t xml:space="preserve">TONER CART, HP CF226XC (HP26XC) Black LaserJet </t>
  </si>
  <si>
    <t>44103103-HP-B55</t>
  </si>
  <si>
    <t xml:space="preserve">TONER CART, HP CF280A, LaserJet Pro M401/M425 2.7K Black </t>
  </si>
  <si>
    <t>44103103-HP-B51</t>
  </si>
  <si>
    <t xml:space="preserve">TONER CART, HP CF280XC </t>
  </si>
  <si>
    <t>44103103-HP-B56</t>
  </si>
  <si>
    <t xml:space="preserve">TONER CART, HP CF281A (HP81A) Black LaserJet </t>
  </si>
  <si>
    <t>44103103-HP-B57</t>
  </si>
  <si>
    <t xml:space="preserve">TONER CART, HP CF283A (HP83A) LaserJet  Black </t>
  </si>
  <si>
    <t>44103103-HX-B51</t>
  </si>
  <si>
    <t xml:space="preserve">TONER CART, HP CF283XC (HP83X) Blk Contract LJ </t>
  </si>
  <si>
    <t>44103103-HP-B58</t>
  </si>
  <si>
    <t>TONER CART, HP CF287A (HP87) black</t>
  </si>
  <si>
    <t>44103103-HP-B59</t>
  </si>
  <si>
    <t>TONER CART, HP CF310AC (HP826) black</t>
  </si>
  <si>
    <t>44103103-HP-C59</t>
  </si>
  <si>
    <t>TONER CART, HP CF311AC (HP826) cyan</t>
  </si>
  <si>
    <t>44103103-HP-Y59</t>
  </si>
  <si>
    <t>TONER CART, HP CF312AC (HP826) yellow</t>
  </si>
  <si>
    <t>44103103-HP-M59</t>
  </si>
  <si>
    <t xml:space="preserve">TONER CART, HP CF313AC (HP826) magenta </t>
  </si>
  <si>
    <t>44103103-HX-B52</t>
  </si>
  <si>
    <t xml:space="preserve">TONER CART, HP CF325XC (HP25X) Black LaserJet </t>
  </si>
  <si>
    <t>44103103-HP-B60</t>
  </si>
  <si>
    <t xml:space="preserve">TONER CART, HP CF350A Black LJ </t>
  </si>
  <si>
    <t>44103103-HP-C60</t>
  </si>
  <si>
    <t xml:space="preserve">TONER CART, HP CF351A Cyan LJ </t>
  </si>
  <si>
    <t>44103103-HP-Y60</t>
  </si>
  <si>
    <t xml:space="preserve">TONER CART, HP CF352A Yellow LJ </t>
  </si>
  <si>
    <t>44103103-HP-M60</t>
  </si>
  <si>
    <t xml:space="preserve">TONER CART, HP CF353A Magenta LJ </t>
  </si>
  <si>
    <t>44103103-HP-B61</t>
  </si>
  <si>
    <t xml:space="preserve">TONER CART, HP CF360A (HP508A) Black LaserJet </t>
  </si>
  <si>
    <t>44103103-HX-B53</t>
  </si>
  <si>
    <t xml:space="preserve">TONER CART, HP CF360XC (HP508X) Black Contract LJ </t>
  </si>
  <si>
    <t>44103103-HP-C61</t>
  </si>
  <si>
    <t xml:space="preserve">TONER CART, HP CF361A (HP508A) Cyan LaserJet </t>
  </si>
  <si>
    <t>44103103-HX-C53</t>
  </si>
  <si>
    <t xml:space="preserve">TONER CART, HP CF361XC (HP508X) Cyan Contract LJ </t>
  </si>
  <si>
    <t>44103103-HP-Y61</t>
  </si>
  <si>
    <t xml:space="preserve">TONER CART, HP CF362A (HP508A) Yellow LaserJet </t>
  </si>
  <si>
    <t>44103103-HX-Y53</t>
  </si>
  <si>
    <t xml:space="preserve">TONER CART, HP CF362XC (HP508X) Yellow Contract LJ </t>
  </si>
  <si>
    <t>44103103-HP-M61</t>
  </si>
  <si>
    <t xml:space="preserve">TONER CART, HP CF363A (HP508A) Magenta LaserJet </t>
  </si>
  <si>
    <t>44103103-HX-M53</t>
  </si>
  <si>
    <t>TONER CART, HP CF363XC (HP508X) Magenta Contract LJ</t>
  </si>
  <si>
    <t>44103103-HP-B62</t>
  </si>
  <si>
    <t xml:space="preserve">TONER CART, HP CF400A (HP201A) Black LaserJet </t>
  </si>
  <si>
    <t>44103103-HP-C62</t>
  </si>
  <si>
    <t xml:space="preserve">TONER CART, HP CF401A (HP201A) Cyan LaserJet </t>
  </si>
  <si>
    <t>44103103-HP-Y62</t>
  </si>
  <si>
    <t xml:space="preserve">TONER CART, HP CF402A (HP201A) Yellow LaserJet </t>
  </si>
  <si>
    <t>44103103-HP-M62</t>
  </si>
  <si>
    <t xml:space="preserve">TONER CART, HP CF403A (HP201A) Magenta LaserJet </t>
  </si>
  <si>
    <t>44103103-HP-B63</t>
  </si>
  <si>
    <t>TONER CART, HP CF410A (HP410A) black</t>
  </si>
  <si>
    <t>44103103-HX-B54</t>
  </si>
  <si>
    <t xml:space="preserve">TONER CART, HP CF410XC (HP410XC) black </t>
  </si>
  <si>
    <t>44103103-HP-C63</t>
  </si>
  <si>
    <t>TONER CART, HP CF411A (HP410A) cyan</t>
  </si>
  <si>
    <t>44103103-HX-C54</t>
  </si>
  <si>
    <t xml:space="preserve">TONER CART, HP CF411XC (HP410XC) cyan </t>
  </si>
  <si>
    <t>44103103-HP-Y63</t>
  </si>
  <si>
    <t>TONER CART, HP CF412A (HP410A) yellow</t>
  </si>
  <si>
    <t>44103103-HX-Y54</t>
  </si>
  <si>
    <t xml:space="preserve">TONER CART, HP CF412XC (HP410XC) yellow </t>
  </si>
  <si>
    <t>44103103-HP-M63</t>
  </si>
  <si>
    <t>TONER CART, HP CF413A (HP410A) magenta</t>
  </si>
  <si>
    <t>44103103-HX-M54</t>
  </si>
  <si>
    <t xml:space="preserve">TONER CART, HP CF413XC (HP410XC) magenta </t>
  </si>
  <si>
    <t>44103103-HP-B34</t>
  </si>
  <si>
    <t>TONER CART, HP Q2612A, Black</t>
  </si>
  <si>
    <t>44103103-HP-B39</t>
  </si>
  <si>
    <t>TONER CART, HP Q5942A, Black</t>
  </si>
  <si>
    <t>44103103-HP-B48</t>
  </si>
  <si>
    <t>TONER CART, HP Q7553A, Black</t>
  </si>
  <si>
    <t>44103103-LX-B03</t>
  </si>
  <si>
    <t>TONER CART, LEXMARK E360H11P, Black</t>
  </si>
  <si>
    <t>44103103-LX-B05</t>
  </si>
  <si>
    <t>TONER CART, LEXMARK T650A11P, Black</t>
  </si>
  <si>
    <t>44103103-SA-B06</t>
  </si>
  <si>
    <t>TONER CART, SAMSUNG MLT-D101S, Black</t>
  </si>
  <si>
    <t>44103103-SA-B07</t>
  </si>
  <si>
    <t>TONER CART, SAMSUNG MLT-D103S, Black</t>
  </si>
  <si>
    <t>44103103-SA-B08</t>
  </si>
  <si>
    <t>TONER CART, SAMSUNG MLT-D104S, Black</t>
  </si>
  <si>
    <t>44103103-SA-B09</t>
  </si>
  <si>
    <t>TONER CART, SAMSUNG MLT-D105L, Black</t>
  </si>
  <si>
    <t>44103103-SA-B14</t>
  </si>
  <si>
    <t>TONER CART, SAMSUNG MLT-D108S, Black</t>
  </si>
  <si>
    <t>44103103-SA-B21</t>
  </si>
  <si>
    <t xml:space="preserve">TONER CART, SAMSUNG MLT-D203E, Black </t>
  </si>
  <si>
    <t>44103103-SA-B18</t>
  </si>
  <si>
    <t>TONER CART, SAMSUNG MLT-D203L, Black</t>
  </si>
  <si>
    <t>44103103-SA-B20</t>
  </si>
  <si>
    <t>TONER CART, SAMSUNG MLT-D203U, black</t>
  </si>
  <si>
    <t>44103103-SA-B12</t>
  </si>
  <si>
    <t>TONER CART, SAMSUNG MLT-D205E, Black</t>
  </si>
  <si>
    <t>44103103-SA-B05</t>
  </si>
  <si>
    <t>TONER CART, SAMSUNG MLT-D205L, Black</t>
  </si>
  <si>
    <t>44103103-SA-B10</t>
  </si>
  <si>
    <t>TONER CART, SAMSUNG SCX-D6555A, Black</t>
  </si>
  <si>
    <t>44103103-BR-B15</t>
  </si>
  <si>
    <t>TONER CARTRIDGE, BROTHER TN-3478, Blackf, for printer HL-6400DW (12,000 pages)</t>
  </si>
  <si>
    <t>44103103-CA-B00</t>
  </si>
  <si>
    <t>TONER CARTRIDGE, CANON 324 II, for  printer LBP6780x</t>
  </si>
  <si>
    <t>Audio and Visual Equipment and Supplies</t>
  </si>
  <si>
    <t>45121517-DO-C01</t>
  </si>
  <si>
    <t>DOCUMENT CAMERA, 3.2M pixels</t>
  </si>
  <si>
    <t>45111609-MM-P01</t>
  </si>
  <si>
    <t>MULTIMEDIA PROJECTOR, 4000 min ANSI Lumens</t>
  </si>
  <si>
    <t>Flag or Accessories</t>
  </si>
  <si>
    <t>55121905-PH-F01</t>
  </si>
  <si>
    <t>PHILIPPINE NATIONAL FLAG, 100% polyester</t>
  </si>
  <si>
    <t>Printed Publications</t>
  </si>
  <si>
    <t>55101524-RA-H01</t>
  </si>
  <si>
    <t>HANDBOOK (RA 9184), 7th Edition</t>
  </si>
  <si>
    <t>Fire Fighting Equipment</t>
  </si>
  <si>
    <t>46191601-FE-M01</t>
  </si>
  <si>
    <t>FIRE EXTINGUISHER, DRY CHEMICAL, 4.5kgs</t>
  </si>
  <si>
    <t>46191601-FE-H01</t>
  </si>
  <si>
    <t>FIRE EXTINGUISHER, PURE HCFC 123, 4.5kgs</t>
  </si>
  <si>
    <t>Consumer Electronics</t>
  </si>
  <si>
    <t>52161535-DV-R01</t>
  </si>
  <si>
    <t>DIGITAL VOICE RECORDER, memory: 4GB (expandable)</t>
  </si>
  <si>
    <t>Furniture and Furnishings</t>
  </si>
  <si>
    <t>56101504-CM-B01</t>
  </si>
  <si>
    <t>CHAIR, monobloc, beige, with backrest, w/o armrest</t>
  </si>
  <si>
    <t>56101504-CM-W01</t>
  </si>
  <si>
    <t>CHAIR,monobloc, white, with backrest, w/o armrest</t>
  </si>
  <si>
    <t>56101519-TM-S01</t>
  </si>
  <si>
    <t>TABLE, MONOBLOC, WHITE, 889 x 889mm (35" x 35")min</t>
  </si>
  <si>
    <t>56101519-TM-S02</t>
  </si>
  <si>
    <t>TABLE, MONOBLOC, BEIGE, 889 x 889mm (35" x 35")min</t>
  </si>
  <si>
    <t>Arts and Crafts Equipment and Accessories and Supplies</t>
  </si>
  <si>
    <t>60121413-CB-P01</t>
  </si>
  <si>
    <t>CLEARBOOK, 20 transparent pockets, for A4 size</t>
  </si>
  <si>
    <t>60121413-CB-P02</t>
  </si>
  <si>
    <t>CLEARBOOK, 20 transparent pockets, for LEGAL size</t>
  </si>
  <si>
    <t>60121534-ER-P01</t>
  </si>
  <si>
    <t>ERASER, PLASTIC/RUBBER, for pencil draft/writing</t>
  </si>
  <si>
    <t>60121524-SP-G01</t>
  </si>
  <si>
    <t>SIGN PEN, BLACK, liquid/gel ink, 0.5mm needle tip</t>
  </si>
  <si>
    <t>60121524-SP-G02</t>
  </si>
  <si>
    <t>SIGN PEN, BLUE, liquid/gel ink, 0.5mm needle tip</t>
  </si>
  <si>
    <t>60121524-SP-G03</t>
  </si>
  <si>
    <t>SIGN PEN, RED, liquid/gel ink, 0.5mm needle tip</t>
  </si>
  <si>
    <t>60121124-WR-P01</t>
  </si>
  <si>
    <t>WRAPPING PAPER, kraft, 65gsm (-5%)</t>
  </si>
  <si>
    <t>SOFTWARE</t>
  </si>
  <si>
    <t>43230000-SFT-001</t>
  </si>
  <si>
    <t>Business function specific software</t>
  </si>
  <si>
    <t>license</t>
  </si>
  <si>
    <t>43230000-SFT-002</t>
  </si>
  <si>
    <t>Finance accounting and enterprise resource planning ERP software</t>
  </si>
  <si>
    <t>43230000-SFT-003</t>
  </si>
  <si>
    <t>Computer game or entertainment software</t>
  </si>
  <si>
    <t>43230000-SFT-004</t>
  </si>
  <si>
    <t>Content authoring and editing software</t>
  </si>
  <si>
    <t>43230000-SFT-005</t>
  </si>
  <si>
    <t>Content management software</t>
  </si>
  <si>
    <t>43230000-SFT-006</t>
  </si>
  <si>
    <t>Data management and query software</t>
  </si>
  <si>
    <t>43230000-SFT-007</t>
  </si>
  <si>
    <t>Development software</t>
  </si>
  <si>
    <t>43230000-SFT-008</t>
  </si>
  <si>
    <t>Educational or reference software</t>
  </si>
  <si>
    <t>43230000-SFT-009</t>
  </si>
  <si>
    <t>Industry specific software</t>
  </si>
  <si>
    <t>43230000-SFT-010</t>
  </si>
  <si>
    <t>Network applications software</t>
  </si>
  <si>
    <t>43230000-SFT-011</t>
  </si>
  <si>
    <t>Network management software</t>
  </si>
  <si>
    <t>43230000-SFT-012</t>
  </si>
  <si>
    <t>Networking software</t>
  </si>
  <si>
    <t>43230000-SFT-013</t>
  </si>
  <si>
    <t>Operating environment software</t>
  </si>
  <si>
    <t>43230000-SFT-014</t>
  </si>
  <si>
    <t>Security and protection software</t>
  </si>
  <si>
    <t>43230000-SFT-015</t>
  </si>
  <si>
    <t>Utility and device driver software</t>
  </si>
  <si>
    <t>43230000-SFT-016</t>
  </si>
  <si>
    <t>Information exchange software</t>
  </si>
  <si>
    <t>OTHER SOFTWARE</t>
  </si>
  <si>
    <t>PASSENGER AIR TRANSPORTATION</t>
  </si>
  <si>
    <t>78111501-GFA-001</t>
  </si>
  <si>
    <t>* Airline Ticket</t>
  </si>
  <si>
    <t>ticket</t>
  </si>
  <si>
    <t>PART II. OTHER ITEMS NOT AVALABLE AT PS BUT REGULARLY PURCHASED FROM OTHER SOURCES (Note: Please indicate price of items)</t>
  </si>
  <si>
    <t>COMMON ELECTRICAL SUPPLIES</t>
  </si>
  <si>
    <t>COMMON OFFICE EQUIPMENT</t>
  </si>
  <si>
    <t>COMMON OFFICE SUPPLIES</t>
  </si>
  <si>
    <t>COMMON JANITORIAL SUPPLIES</t>
  </si>
  <si>
    <t>All Purpose Cleaner (blue)</t>
  </si>
  <si>
    <t>Bleach (zonrox)</t>
  </si>
  <si>
    <t>Deodorizer (albatros)</t>
  </si>
  <si>
    <t>Dishwashing Paste/Liquid</t>
  </si>
  <si>
    <t xml:space="preserve">Dishwashing Foam </t>
  </si>
  <si>
    <t>Door Mat (fabric)</t>
  </si>
  <si>
    <t>Liquid / Hand Soap</t>
  </si>
  <si>
    <t>Liquid Soap (salato)</t>
  </si>
  <si>
    <t>Garbage Bag (large)</t>
  </si>
  <si>
    <t xml:space="preserve">Office Equipment and Accessories </t>
  </si>
  <si>
    <t>CABINET, Steel, 4-door</t>
  </si>
  <si>
    <t>CABINET, Steel, 2 layers</t>
  </si>
  <si>
    <t>CABINET, Steel, 3 layers</t>
  </si>
  <si>
    <t>CABINET, Steel, 4 layers</t>
  </si>
  <si>
    <t>CALCULATOR, Scientific</t>
  </si>
  <si>
    <t>CERTIFICATE HOLDER, Glass A4</t>
  </si>
  <si>
    <t>CERTIFICATE HOLDER, Plastic A4</t>
  </si>
  <si>
    <t>CERTIFICATE JACKET ordinary (A4 size Plastic)</t>
  </si>
  <si>
    <t>CLOCK</t>
  </si>
  <si>
    <t>CONFERENCE CHAIR</t>
  </si>
  <si>
    <t>CORK BOARD, 3 x 4ft</t>
  </si>
  <si>
    <t>CUTTER KNIFE, Heavy Duty</t>
  </si>
  <si>
    <t>CUTTER NT (metal, Heavy Duty)</t>
  </si>
  <si>
    <t>CUTTING MATT / Base A3</t>
  </si>
  <si>
    <t>GLASS FRAME FOR CERTIFICATE, A4</t>
  </si>
  <si>
    <t>GUN TACKER</t>
  </si>
  <si>
    <t>ID JACKET WITH LACE</t>
  </si>
  <si>
    <t>METER TAPE</t>
  </si>
  <si>
    <t>METER TAPE (50m)</t>
  </si>
  <si>
    <t>OFFICE DRY SEAL</t>
  </si>
  <si>
    <t>OFFICE TABLES AND CHAIRS,</t>
  </si>
  <si>
    <t>PLASTIC BOX, Large size</t>
  </si>
  <si>
    <t>PLAQUES (BEST ECAN BOARD)</t>
  </si>
  <si>
    <t>RING BINDER, 1/2 inch</t>
  </si>
  <si>
    <t>RING BINDER, 3/4 inch</t>
  </si>
  <si>
    <t>RING BINDER, 5/8"</t>
  </si>
  <si>
    <t>RING BINDER, 1 inch</t>
  </si>
  <si>
    <t>RING BINDER, 1 1/4 inch (32mm), 10 pieces per bundle</t>
  </si>
  <si>
    <t>RING BINDER, 2 inch</t>
  </si>
  <si>
    <t>SAFE BOX, w/ lock, portable</t>
  </si>
  <si>
    <t>SCISSORS, 6 inches</t>
  </si>
  <si>
    <t>SCISSORS</t>
  </si>
  <si>
    <t>STAPLER, with built-in remover</t>
  </si>
  <si>
    <t>STAPLER, standard, with built-in remover</t>
  </si>
  <si>
    <t>SWIVEL CHAIR, mesh, black</t>
  </si>
  <si>
    <t>ELECTRIC FAN stand</t>
  </si>
  <si>
    <t>TELEPHONE, Landline Telephone Unit</t>
  </si>
  <si>
    <t>Office Supplies</t>
  </si>
  <si>
    <t>FABRIC (Black) for Exhibit (10 meter)</t>
  </si>
  <si>
    <t>PVC Cards (Standars ID Size)</t>
  </si>
  <si>
    <t>PVC COVER, Long</t>
  </si>
  <si>
    <t>PVC COVER , A4</t>
  </si>
  <si>
    <t>RUBBER LOOP for PVC Card</t>
  </si>
  <si>
    <t>STORAGE BOX, 30 capacity</t>
  </si>
  <si>
    <t>STORAGE BOX, 30 Capacity (Large)</t>
  </si>
  <si>
    <t>STORAGE BOX, 25L</t>
  </si>
  <si>
    <t>STORAGE BOX, 70L</t>
  </si>
  <si>
    <t>STORAGE BOX, 75L</t>
  </si>
  <si>
    <t>Audio and visual presentation and composing equipment</t>
  </si>
  <si>
    <t>Photographic or filming or video equipment</t>
  </si>
  <si>
    <t>SALATO SOAP</t>
  </si>
  <si>
    <t>TEST TUBE BRUSH, big</t>
  </si>
  <si>
    <t>WHITE HAND TOWEL</t>
  </si>
  <si>
    <t>ZONROX (Original), 1L</t>
  </si>
  <si>
    <t>bot</t>
  </si>
  <si>
    <t xml:space="preserve">CARTOLINA assorted colors </t>
  </si>
  <si>
    <t>CONCORDE TEXTURED PAPER (Cream) 90gsm short</t>
  </si>
  <si>
    <t>CONCORDE TEXTURED PAPER (Cream) 90gsm long</t>
  </si>
  <si>
    <t>ILLUSTRATION BOARD 1/4</t>
  </si>
  <si>
    <t>KRAFT 250 BOARD PAPER (220gsm) Dark Brown</t>
  </si>
  <si>
    <t>NOTEBOOK</t>
  </si>
  <si>
    <t>NOTEBOOK, Cattleya Filler</t>
  </si>
  <si>
    <t>NOTE/POST-IT PAD, stick on, (1/2"x3") - yellow only</t>
  </si>
  <si>
    <t>NOTE/POST-IT PAD, stick-on (1/2"x3")</t>
  </si>
  <si>
    <t>NOTE/POST-IT PAD, stick on, (5"x3")</t>
  </si>
  <si>
    <t>NOTE/POST-IT PAD, stick-on (5"x3")</t>
  </si>
  <si>
    <t>PAPER, Bond (A0 size)</t>
  </si>
  <si>
    <t>PAPER, A3 size, 100gsm, 500 per ream</t>
  </si>
  <si>
    <t>PAPER, A3 size, 100gsm</t>
  </si>
  <si>
    <t>PAPER, A3 size, 80gsm white</t>
  </si>
  <si>
    <t>PAPER, A3 size, 70gsm white</t>
  </si>
  <si>
    <t>Paper Bond Subs 18 (long) for riso</t>
  </si>
  <si>
    <t>Paper Bond Subs 18 (A4) for riso</t>
  </si>
  <si>
    <t>PAPER, Construction Paper, assorted color Long</t>
  </si>
  <si>
    <t>PAPER, Construction Paper, assorted color A4</t>
  </si>
  <si>
    <t>PAPER, Letterhead, A4 size</t>
  </si>
  <si>
    <t>PAPER, Letterhead, Folio size</t>
  </si>
  <si>
    <t>PAPER, MULTICOLOR, short (metacard)</t>
  </si>
  <si>
    <t>PAPER, Multipurpose, A3 size, 250 per ream</t>
  </si>
  <si>
    <t>PAPER, Multi-Purpose (COPY) Letter, 70 gsm</t>
  </si>
  <si>
    <t>PAPER, PCSD LETTERHEAD (A4)</t>
  </si>
  <si>
    <t>PAPER, PCSD LETTERHEAD (Long)</t>
  </si>
  <si>
    <t>PAPER, Photopaper (5 sheets per pack)</t>
  </si>
  <si>
    <t>PAPER, Photopaper, 120gsm, short (glossy for inkjet)</t>
  </si>
  <si>
    <t>PAPER, Photopaper, 120gsm, long (glossyfor inkjet)</t>
  </si>
  <si>
    <t>PAPER, POSTER TYPE, A3, 250gsm, white</t>
  </si>
  <si>
    <t>PAPER, Special, 220gsm, A4 size, packs of 10</t>
  </si>
  <si>
    <t>PAPER, Specialty Paper, Cream colored, A4 size</t>
  </si>
  <si>
    <t>PAPER, Specialty Paper, Cream colored, Folio size</t>
  </si>
  <si>
    <t>PAPER, Specialty Paper / Board Long</t>
  </si>
  <si>
    <t>PAPER, Specialty Paper / Board Short</t>
  </si>
  <si>
    <t>PAPER, Specialty Paper, Textured for business card, 8.5x11, 220gsm</t>
  </si>
  <si>
    <t>PAPER, Sticker Paper (10 sheets per pack)</t>
  </si>
  <si>
    <t>PAPER, Sticker Paper</t>
  </si>
  <si>
    <t>PAPER, Sticker Paper, A4</t>
  </si>
  <si>
    <t>PAPER, Sticker Paper (100 sheets per pack)</t>
  </si>
  <si>
    <t>PAPER, Sticker Paper, 8.5 x 11 (matte)</t>
  </si>
  <si>
    <t>PAPER, Sticker Paper, 8.5 x 14 (matte)</t>
  </si>
  <si>
    <t>PAPER, Vellum (10 sheets per pack)</t>
  </si>
  <si>
    <t>PAPER, Vellum 100 8.5 x 13 (500's)</t>
  </si>
  <si>
    <t>PAPER, Vellum 100 8.5 x 11 (500's)</t>
  </si>
  <si>
    <t>PAPER, Vellum (8.5 x 13)</t>
  </si>
  <si>
    <t>PAPER BOND, Assorted Color A4</t>
  </si>
  <si>
    <t>Paper Bond Assorted Color A4</t>
  </si>
  <si>
    <t>Paper Bond Assorted Color Long</t>
  </si>
  <si>
    <t>POCKET NOTEBOOK</t>
  </si>
  <si>
    <t>PUSH PIN</t>
  </si>
  <si>
    <t>PVC COVER, A4 size</t>
  </si>
  <si>
    <t>PVC COVER, Folio size</t>
  </si>
  <si>
    <t>RECORD BOOK, 200 Pages</t>
  </si>
  <si>
    <t>SPECIALTY BOARD for Poster, A3, 300gsm, white</t>
  </si>
  <si>
    <t>VELLUM BOARD 220 gsm (long)</t>
  </si>
  <si>
    <t>VELLUM BOARD 220 gsm (short)</t>
  </si>
  <si>
    <t>Yellow / White pad</t>
  </si>
  <si>
    <t xml:space="preserve">Lighting and fixtures and accessories </t>
  </si>
  <si>
    <t>FLASHLIGHT</t>
  </si>
  <si>
    <t>HEADLAMP</t>
  </si>
  <si>
    <t>LIGHT BULB</t>
  </si>
  <si>
    <t>LED Lamp 12W</t>
  </si>
  <si>
    <t>LED Lamp 7W</t>
  </si>
  <si>
    <t>Electrical equipment and components and supplies</t>
  </si>
  <si>
    <t>LIGHTING FIXTURES AND FIXES SPOTLIGHTS</t>
  </si>
  <si>
    <t>LED BULBS</t>
  </si>
  <si>
    <t>Computer Supplies</t>
  </si>
  <si>
    <t>CD, Blank, 50pcs per pack</t>
  </si>
  <si>
    <t xml:space="preserve">CD-R (Recordable) </t>
  </si>
  <si>
    <t>CD-R (Recordable) Spindle 100pcs</t>
  </si>
  <si>
    <t>CD-RW (Rewritable) Spindle 100pcs</t>
  </si>
  <si>
    <t>DVD-R Spindle 50pcs</t>
  </si>
  <si>
    <t>DVD-RW Spindle 50pcs</t>
  </si>
  <si>
    <t>EXTERNAL HARD DRIVE</t>
  </si>
  <si>
    <t>EXTERNAL HARD DRIVE (1TB)</t>
  </si>
  <si>
    <t>EXTERNAL HARD DRIVE, 2TB</t>
  </si>
  <si>
    <t>FEMALE TO MALE EXTENDER</t>
  </si>
  <si>
    <t>FLASH DRIVE, 4GB</t>
  </si>
  <si>
    <t>FLASH DRIVE, 16GB, USB 2.0, plug and play</t>
  </si>
  <si>
    <t>FLASH DRIVE, 32GB, USB 2.0, plug and play</t>
  </si>
  <si>
    <t>FLASH DRIVE, 32GB</t>
  </si>
  <si>
    <t>HARD DISK DRIVE (HDD) for DESKTOP</t>
  </si>
  <si>
    <t>HDMI ADAPTER</t>
  </si>
  <si>
    <t>HDMI CABLE 5mtr</t>
  </si>
  <si>
    <t>HDMI CABLE 15mtr</t>
  </si>
  <si>
    <t>HDMI CABLE (20meter)</t>
  </si>
  <si>
    <t>HDMI TO VGA ADAPTER</t>
  </si>
  <si>
    <t>KEYBOARD</t>
  </si>
  <si>
    <t>MEMORY CARD (32-64GB)</t>
  </si>
  <si>
    <t>MEMORY CARD READER</t>
  </si>
  <si>
    <t>MOUSE, Wired</t>
  </si>
  <si>
    <t>MOUSE, Wireless</t>
  </si>
  <si>
    <t>MOUSE (wireless)</t>
  </si>
  <si>
    <t>LASER POINTER PRESENTER (with clicker)</t>
  </si>
  <si>
    <t>POWER BANK</t>
  </si>
  <si>
    <t>POWER BANK, 10,000mAh</t>
  </si>
  <si>
    <t>POWERED 4-way splitter for VGA</t>
  </si>
  <si>
    <t>POWERED 4-way splitter for HDMI</t>
  </si>
  <si>
    <t>RECORDER</t>
  </si>
  <si>
    <t>RECORDER, Digital Voice Recorder, 4GB (expandable)</t>
  </si>
  <si>
    <t>UNINTERRUPTED POWER SUPPLY (UPS)</t>
  </si>
  <si>
    <t>UTP CAT 6 Cable</t>
  </si>
  <si>
    <t>VGA Cable (3 meter)</t>
  </si>
  <si>
    <t>VGA Cable (10 meter)</t>
  </si>
  <si>
    <t>VGA Cable (20 meter)</t>
  </si>
  <si>
    <t>VGA Cable (50 meter)</t>
  </si>
  <si>
    <t>VIDEO CONVERTER</t>
  </si>
  <si>
    <t>VIDEO 8 PLAYER- RECORDER</t>
  </si>
  <si>
    <t>Common ICT Equipment</t>
  </si>
  <si>
    <t>BATTERY CHARGER</t>
  </si>
  <si>
    <t>CARBON FIBER TRIPOD kit w/ 8V10H (100mm)</t>
  </si>
  <si>
    <t>ELECTRONIC STAPLE for EH-70F (no. 70FE)</t>
  </si>
  <si>
    <t>PHONE, Android cellular cellphone</t>
  </si>
  <si>
    <t>PVC vertical blinds (per panel)</t>
  </si>
  <si>
    <t>LAPEL MICROPHONE</t>
  </si>
  <si>
    <t>MICROPHONE (solar/battery operated)</t>
  </si>
  <si>
    <t>Night vision binocular (waterproof)</t>
  </si>
  <si>
    <t>Night vision eyeglasses</t>
  </si>
  <si>
    <t>POCKET WIFI</t>
  </si>
  <si>
    <t>PRINTER, (Portable)</t>
  </si>
  <si>
    <t>RADIO</t>
  </si>
  <si>
    <t>RADIO (AM/FM)</t>
  </si>
  <si>
    <t>RADIO, Digital handheld radio with extra battery pack and quick charger (waterproof)</t>
  </si>
  <si>
    <t xml:space="preserve">RAM for DESKTOP, 4GB </t>
  </si>
  <si>
    <t>Sandisk Ultra sdhc 32gb memory card (digital camera)</t>
  </si>
  <si>
    <t>Sandisk Ultra sdhc 32gb memory card (drone &amp; go pro)</t>
  </si>
  <si>
    <t>SCANNER, Flatbed (A3)</t>
  </si>
  <si>
    <t>SCANNER, Flatbed (A4)</t>
  </si>
  <si>
    <t>SD Memory Card 64GB</t>
  </si>
  <si>
    <t>SPY VOICE RECORDER</t>
  </si>
  <si>
    <t>TABLET</t>
  </si>
  <si>
    <t>Tablet</t>
  </si>
  <si>
    <t>TABLET, Art Drawing Tablet</t>
  </si>
  <si>
    <t>WIRELESS LAVALIER MICROPHONE WITH AUDIO RECORDER</t>
  </si>
  <si>
    <t>CONSUMABLES</t>
  </si>
  <si>
    <t>ACRYLIC PAINT (black)+</t>
  </si>
  <si>
    <t>ACRYLIC PAINT (green)</t>
  </si>
  <si>
    <t>ACRYLIC PAINT (red)</t>
  </si>
  <si>
    <t>ACRYLIC PAINT (white)</t>
  </si>
  <si>
    <t>ACRYLIC PAINT (yellow)</t>
  </si>
  <si>
    <t>BATTERY, AA, energizer+C746</t>
  </si>
  <si>
    <t>BATTERY, AA, energizer</t>
  </si>
  <si>
    <t>BATTERY, AAA, energizer</t>
  </si>
  <si>
    <t>BATTERY BUTTON CR2032</t>
  </si>
  <si>
    <t>BATTERY (Energizer),9v  with charger</t>
  </si>
  <si>
    <t xml:space="preserve">BATTERY, for Drone </t>
  </si>
  <si>
    <t>BORAX, for specimens</t>
  </si>
  <si>
    <t>CHLORINE, for specimens, 500mL</t>
  </si>
  <si>
    <t>COTTON, for specimen rolls</t>
  </si>
  <si>
    <t>ETHANOL</t>
  </si>
  <si>
    <t>FIRST AID KIT</t>
  </si>
  <si>
    <t>GUN TACKER STAPLE</t>
  </si>
  <si>
    <t>MARKER INK, Whiteboard, 50mL</t>
  </si>
  <si>
    <t>MARKER INK, Permanent</t>
  </si>
  <si>
    <t>MOTHBALLS, for specimens</t>
  </si>
  <si>
    <t>ORGANIC BABY OIL, for specimens, 1000L</t>
  </si>
  <si>
    <t>PRINTER HEAD (Epson &amp; Brother)</t>
  </si>
  <si>
    <t>PRINTER INK</t>
  </si>
  <si>
    <t>PRINTER INK, Epson Ink Refil 001 (black)</t>
  </si>
  <si>
    <t>PRINTER INK, Epson Ink Refil 001 (cyan)</t>
  </si>
  <si>
    <t>PRINTER INK, Epson Ink Refil 001 (magenta)</t>
  </si>
  <si>
    <t>PRINTER INK, Epson Ink Refil 001 (yellow)</t>
  </si>
  <si>
    <t>PRINTER INK, Epson Ink Refil 664 (black)</t>
  </si>
  <si>
    <t>PRINTER INK, Epson Ink Refil 664 (cyan)</t>
  </si>
  <si>
    <t>PRINTER INK, Epson Ink Refil 664 (magenta)</t>
  </si>
  <si>
    <t>PRINTER INK, Epson Ink Refil 664 (yellow)</t>
  </si>
  <si>
    <t>PRINTER INK BOTTLE, (Black)</t>
  </si>
  <si>
    <t>PRINTER INK BOTTLE, (Cyan)</t>
  </si>
  <si>
    <t>PRINTER INK BOTTLE, (Magenta)</t>
  </si>
  <si>
    <t>PRINTER INK BOTTLE, (Yellow)</t>
  </si>
  <si>
    <t>PRINTER INK BOTTLE, Epson L360 (set)</t>
  </si>
  <si>
    <t>PRINTER INK BOTTLE, Epson L565 (Black)</t>
  </si>
  <si>
    <t>PRINTER INK BOTTLE, Epson L565 black</t>
  </si>
  <si>
    <t>PRINTER INK BOTTLE, Epson L565 cyan</t>
  </si>
  <si>
    <t>PRINTER INK BOTTLE, Epson L565 magenta</t>
  </si>
  <si>
    <t>PRINTER INK BOTTLE, Epson L565 yellow</t>
  </si>
  <si>
    <t>PRINTER INK BOTTLE,  Epson L1300 (Black)</t>
  </si>
  <si>
    <t>PRINTER INK BOTTLE,  Epson L1300 (Cyan)</t>
  </si>
  <si>
    <t>PRINTER INK BOTTLE,  Epson L1300 (Magenta)</t>
  </si>
  <si>
    <t>PRINTER INK BOTTLE,  Epson L1300 (Yellow)</t>
  </si>
  <si>
    <t>PRINTER INK BOTTLE, Epson L1455 (Black, Cyan, Magenta, Yellow)</t>
  </si>
  <si>
    <t>PRINTER INK BOTTLE, Epson L1455 black</t>
  </si>
  <si>
    <t>PRINTER INK BOTTLE, Epson L1455 cyan</t>
  </si>
  <si>
    <t>PRINTER INK BOTTLE, Epson L1455 magenta</t>
  </si>
  <si>
    <t>PRINTER INK BOTTLE, Epson L1455 yellow</t>
  </si>
  <si>
    <t>PRINTER INK BOTTLE, Epson L6170 (Black, Cyan, Magenta, Yellow)</t>
  </si>
  <si>
    <t>PRINTER INK BOTTLE, Epson L6170 (Black)</t>
  </si>
  <si>
    <t>PRINTER INK BOTTLE, Epson L6170 (Cyan)</t>
  </si>
  <si>
    <t>PRINTER INK BOTTLE, Epson L6170 (Magenta)</t>
  </si>
  <si>
    <t>PRINTER INK BOTTLE, Epson L6170 (Yellow)</t>
  </si>
  <si>
    <t>PRINTER INK CART, Brother DCP T700W (Black)</t>
  </si>
  <si>
    <t>PRINTER INK CART, Brother DCP T700W (Cyan)</t>
  </si>
  <si>
    <t>PRINTER INK CART, Brother DCP T700W (Magenta)</t>
  </si>
  <si>
    <t>PRINTER INK CART, Brother DCP T700W (Yellow)</t>
  </si>
  <si>
    <t>PRINTER INK CART, Brother, DCP J100 (B, C, M, Y)</t>
  </si>
  <si>
    <t>PRINTER INK CART, HP Designjet T795 (Black)</t>
  </si>
  <si>
    <t>PRINTER INK CART, HP Designjet T795 (Cyan)</t>
  </si>
  <si>
    <t>PRINTER INK CART, HP Designjet T795 (Magenta)</t>
  </si>
  <si>
    <t>PRINTER INK CART, HP Designjet T795 (Yellow)</t>
  </si>
  <si>
    <t>TONER, for Xerox Machine</t>
  </si>
  <si>
    <t>TONER, Kyocera Cartridge TK-1125-1To2 M70NL0 original black</t>
  </si>
  <si>
    <t>TONER, SAMSUNG EXPRESS CARTRIDGE (magenta)</t>
  </si>
  <si>
    <t>TONER, SAMSUNG EXPRESS CARTRIDGE (yellow)</t>
  </si>
  <si>
    <t>TONER, SAMSUNG EXPRESS CARTRIDGE (cyan)</t>
  </si>
  <si>
    <t>TONER, SAMSUNG EXPRESS CARTRIDGE (black)</t>
  </si>
  <si>
    <t xml:space="preserve">UNIVERSAL LAPTOP CHARGER </t>
  </si>
  <si>
    <t>Other Categories</t>
  </si>
  <si>
    <t xml:space="preserve">ACRYLIC BROCHURE HOLDER </t>
  </si>
  <si>
    <t>ALUMINUM FOIL (Reynolds), in rolls</t>
  </si>
  <si>
    <t>BACKPACK</t>
  </si>
  <si>
    <t>BLANK ACRYLIC KEYCHAIN (rectangle)</t>
  </si>
  <si>
    <t xml:space="preserve">CHEMICAL SPILL KIT for Toxic Waste </t>
  </si>
  <si>
    <t>kit</t>
  </si>
  <si>
    <t>DISSECTING MATERIALS</t>
  </si>
  <si>
    <t>DISTILLED WATER, Wilkins</t>
  </si>
  <si>
    <t>liter</t>
  </si>
  <si>
    <t>DIVING CRATE</t>
  </si>
  <si>
    <t>DRY BAG (10L)</t>
  </si>
  <si>
    <t>DRY BAG</t>
  </si>
  <si>
    <t>ECO-BAG  (drawstring)</t>
  </si>
  <si>
    <t>ECO-BAG w/ print</t>
  </si>
  <si>
    <t>FOLDABLE FAN / sublimation print</t>
  </si>
  <si>
    <t>FOLDABLE PARTITION SYSTEM</t>
  </si>
  <si>
    <t>HEAVY DUTY RUBBER GLOVES, blue, medium, box 100 pcs</t>
  </si>
  <si>
    <t>HEAVY DUTY RUBBER GLOVES, blue, large, box 100 pcs</t>
  </si>
  <si>
    <t>IDP YMCKO Ribbon Kita- #650634</t>
  </si>
  <si>
    <t>JERGENS LOTION, 500mL</t>
  </si>
  <si>
    <t>LABORATORY GOWN, medium</t>
  </si>
  <si>
    <t>LABORATORY GOWN, large</t>
  </si>
  <si>
    <t>LABORATORY REAGENTS, NitraVer Reagent Powder Pillows (100 pcs/pack)</t>
  </si>
  <si>
    <t>LABORATORY REAGENTS, PhosVer Reagent Powder Pillows (100 pcs/pack)</t>
  </si>
  <si>
    <t>NITRILE LABORATORY GLOVES, blue, medium, box 50 pairs</t>
  </si>
  <si>
    <t>NITRILE LABORATORY GLOVES, blue, large, box 50 pairs</t>
  </si>
  <si>
    <t>OUTDOOR TARP SHELTER</t>
  </si>
  <si>
    <t>PHOTOTRANSECT FRAME</t>
  </si>
  <si>
    <t>PLASTIC BAG (Ice bag), box 100s</t>
  </si>
  <si>
    <t>RECTANGULAR PLASTIC FOLDING EVENT/BANQUET TABLES (6'X2')</t>
  </si>
  <si>
    <t>RECTANGULAR TABLE COVER</t>
  </si>
  <si>
    <t>RED CARPET (20M)</t>
  </si>
  <si>
    <t>STANCHION BALL POST DESIGN W/ VELVET ROPE</t>
  </si>
  <si>
    <t>post</t>
  </si>
  <si>
    <t>TENT</t>
  </si>
  <si>
    <t>T-SHIRT w/ sublimation print</t>
  </si>
  <si>
    <t>VINYL STICKER</t>
  </si>
  <si>
    <t>WATER BAG BACKPACK</t>
  </si>
  <si>
    <t xml:space="preserve">A. TOTAL </t>
  </si>
  <si>
    <t>B. ADDITIONAL PROVISION FOR INFLATION      (10% of TOTAL)</t>
  </si>
  <si>
    <t>C. GRAND TOTAL (A + B)</t>
  </si>
  <si>
    <t>D. APPROVED BUDGET BY THE AGENCY HEAD
In Figures and Words:</t>
  </si>
  <si>
    <t>G. MONTHLY CASH REQUIREMENTS</t>
  </si>
  <si>
    <t>G.1 Available at Procurement Service Stores</t>
  </si>
  <si>
    <t>G.2 Other Items not available at PS but regulary purchased from other sources</t>
  </si>
  <si>
    <t>TOTAL MONTHLY CASH REQUIREMENTS</t>
  </si>
  <si>
    <t>*Agency must put the monthly requirement for air tickets both local and international.</t>
  </si>
  <si>
    <t xml:space="preserve">We hereby warrant that the total amount reflected in this Annual Supplies/ Equipment Procurement Plan to procure the listed common-use supplies, materials and equipment has been included in or is within our approved budget for the year. </t>
  </si>
  <si>
    <t>Certified Funds Available / Certified Appropriate Funds Available:</t>
  </si>
  <si>
    <t>Approved by:</t>
  </si>
  <si>
    <t>Arnel B. Cariño</t>
  </si>
  <si>
    <t>Mary Ann P. Sapad</t>
  </si>
  <si>
    <t>Nelson P. Devanadera</t>
  </si>
  <si>
    <t>Property/Supplier Officer</t>
  </si>
  <si>
    <t>Accountant / Local Budget Officer</t>
  </si>
  <si>
    <t>Head of Office/Agency</t>
  </si>
  <si>
    <t>Date Prepared:</t>
  </si>
  <si>
    <t>23/08/2018</t>
  </si>
  <si>
    <t>In determining the schedule of each procurement activity (Columns E-H), use the following timeline generator: 
https://gppb.gov.ph/timelines/timelines.htm
Select appropriate tab:
1. Goods
2. Consulting services
3. Infrastructure Projects</t>
  </si>
  <si>
    <t>ITEM</t>
  </si>
  <si>
    <t>NUMBER OF ITEMS</t>
  </si>
  <si>
    <t>AMOUNT</t>
  </si>
  <si>
    <t>TOTAL</t>
  </si>
  <si>
    <t>SPECIFICATIONS/REMARKS</t>
  </si>
  <si>
    <t>Laptop/ Desktop/ High-end Laptop/ High-end desktop</t>
  </si>
  <si>
    <t>• The suppliers shall supply ICT equipment which fulfils at least ENERGY STAR 6.1 for computers and 7.0 for monitors criteria.
• The supplier shall supply products with a visible On/Off switch.
• In case of desktop computers: The supplier shall supply products which are designed so that the memory, hard disk, USB drive,  and CD drive are readily accessible and can be changed easily for upgrades.
• The supplier shall supply notebooks and desktop computers where the availability of replacement batteries and power supplies is guaranteed for at least 5 years after end of production.
• The supplier shall supply the products in recyclable packages and shall provide a packaging take-back service.</t>
  </si>
  <si>
    <t>Printer</t>
  </si>
  <si>
    <t>• The supplier shall supply products which comply with the latest version of the International ENERGY STAR requirements (currently version 2.0 for Imaging Equipment). 
• The supplier shall supply products which contain user instructions for green performance management.
• The supplier shall supply products which must be capable of using recycled content paper without voiding the manufacturer’s warranty.
• The supplier shall supply products with a function to reduce the quantity of paper consumed, especially 2-side copying for all copiers with a monochrome printing/copying speed of 25 images per minute for A4 size paper.</t>
  </si>
  <si>
    <t>All Food and Catering Services</t>
  </si>
  <si>
    <t>1. The service supplier shall have its own environmental policy. The environmental policy shall cover environmental procurement, the reduction of waste and energy consumption, and water saving.
2. The service supplier shall provide local or regional products or products which are produced in a sustainable way (e.g. produced according to good agriculture practices, organic, avoiding overfishing, no products from threatened species) when offering food and beverages.
3. The service supplier shall provide a vegetarian offer.
4. The service supplier shall eliminate the use of non-essential disposable products like plastic bags, single-use utensils, etc. When disposable products are used, the supplier shall use recycled materials where possible.
5. The service supplier shall post its environmental policy in places where employees can easily notice them</t>
  </si>
  <si>
    <t>INSTRUCTIONS</t>
  </si>
  <si>
    <t>1. Fill up the column "Specifications" completely based on your specs in PPMP. Consider the price of the item when defining your specs.
2. Add Green Product Specifications for the following products:
a. Toilet paper
b. Record books
c. Multicopy paper
d. Plastic trashbag
e. Chairs (made of plastic)
f. LEDs
g. Cleaner (toilet bowl and urinal cleaner)
h. Detergent powder
i. Liquid handsoap
j. Disinfectant spray
k. Computers, monitors, and laptops
l. Copiers
m. Refrigerators and freezers
n. Air conditioners
o. Paints and varnishes
p. Textiles (like uniforms or work clothes; this covers clothing and accessories made of textiles, interior textiles and fibers, yarn and fabric)
q. Toilets and urinals
r. Vehicles
s. Food and catering services
t. Training facilities/hotels/venues (as accommodations as well as event locations such as venues for conferences and other events)
For each of the items above, copy "specifications" from the following document: https://www.gppb.gov.ph/downloadables/forms/GPP%20Technical%20Specifications%20Doc%20-%20Final.docx</t>
  </si>
  <si>
    <t>PCSDS Travel Plan for FY 2020</t>
  </si>
  <si>
    <t>Name of Division: ______________________</t>
  </si>
  <si>
    <t>Name of Activity</t>
  </si>
  <si>
    <t>Type of Activity
[L&amp;D*, fieldwork, meeting, others (please specify)]</t>
  </si>
  <si>
    <t>Objective</t>
  </si>
  <si>
    <t>Name of Traveller and His/Her Role in the Activity</t>
  </si>
  <si>
    <t>Permanent Official Station</t>
  </si>
  <si>
    <t>Destination</t>
  </si>
  <si>
    <t>Cluster 
(I, II, III)**</t>
  </si>
  <si>
    <t>Inclusive Dates
(YYYY-MM-DD)</t>
  </si>
  <si>
    <t>Number of Days</t>
  </si>
  <si>
    <t>Corresponding Daily Travel Expenses (DTE)</t>
  </si>
  <si>
    <t>Final DTE (to be adjusted if hotel/lodging and meals are shouldered by organizer/sponsor)</t>
  </si>
  <si>
    <t>Source of Fund***</t>
  </si>
  <si>
    <t>Registration Fee/ Training Fee</t>
  </si>
  <si>
    <t>Mode of Roundtrip Transportation and Transport Cost
(outside Palawan or outside permanent official station)+</t>
  </si>
  <si>
    <t>Mode of Roundtrip Transportation and Transport Cost
(within Palawan but beyond 50-km radius from permanent official station)+</t>
  </si>
  <si>
    <t>TOTAL TRANSPORT COST</t>
  </si>
  <si>
    <t>TOTAL TRAVEL COST</t>
  </si>
  <si>
    <t>Start Date</t>
  </si>
  <si>
    <t>End Date</t>
  </si>
  <si>
    <t>Office pickup/van</t>
  </si>
  <si>
    <t>Plane fare</t>
  </si>
  <si>
    <t>Ship</t>
  </si>
  <si>
    <t>Taxi</t>
  </si>
  <si>
    <t>Bus</t>
  </si>
  <si>
    <t>Land trip RT distance (km)</t>
  </si>
  <si>
    <t>Office pickup/van
(petrol, oil, lube cost)</t>
  </si>
  <si>
    <t>Boat hire</t>
  </si>
  <si>
    <t>High-Level Roundtable Discussion on Operationalizing Landscape-Based Integrated Area Development</t>
  </si>
  <si>
    <t>L&amp;D</t>
  </si>
  <si>
    <t>Identify mechanisms for collaboration among agencies in formulating and executing watershed-based integrated development plans</t>
  </si>
  <si>
    <t>Ryan Fuentes (discussant)</t>
  </si>
  <si>
    <t>Puerto Princesa City</t>
  </si>
  <si>
    <t>Makati City</t>
  </si>
  <si>
    <t>Cluster III</t>
  </si>
  <si>
    <t>Regular</t>
  </si>
  <si>
    <t>*L&amp;D may include learning and development interventions/training programs. This may include convention, conference, symposium, workshop, forum, orientation, seminar, and short course.</t>
  </si>
  <si>
    <t xml:space="preserve">**Cluster I = Regions I, II, III, V, VIII, IX, XII, XIII, ARMM = Php 1,500 maximum DTE
</t>
  </si>
  <si>
    <t xml:space="preserve">**Cluster II = Regions CAR, VI, VII, X, XI = Php 1,800 maximum DTE
</t>
  </si>
  <si>
    <t xml:space="preserve">**Cluster III = Regions NCR, IV-A, IV-B = Php 2,200 maximum DTE
</t>
  </si>
  <si>
    <t>***WMF may be used for the following activities only: (a) rehabilitation or restoration of habitats, (b) wildlife scientific research, (c) enforcement and monitoring activities, and (d) enhancement of capabilities of relevant agencies</t>
  </si>
  <si>
    <t>+For officials claiming Tranportation Allowance (TA), all taxi/bus fare/land transport costs are charged to their respective TA.</t>
  </si>
  <si>
    <t>Breakdown of DTE is as follows:</t>
  </si>
  <si>
    <t>Cluster I</t>
  </si>
  <si>
    <t>Cluster II</t>
  </si>
  <si>
    <t>Cluster III (Regions NCR, IV-A, IV-B)</t>
  </si>
  <si>
    <t>Day of arrival at point of destination (regardless of time) and succeeding day/s thereof on official business</t>
  </si>
  <si>
    <t>Hotel/lodging (50%)</t>
  </si>
  <si>
    <t>Meals (30%)</t>
  </si>
  <si>
    <t>Incidental expenses (20%)</t>
  </si>
  <si>
    <t>Day of departure for permanent official station (regardless of time) if other than date of arrival</t>
  </si>
  <si>
    <t>LIST OF APPROVED 2020 ICT EQUIPMENT</t>
  </si>
  <si>
    <t>Equipment</t>
  </si>
  <si>
    <t>Expense Class</t>
  </si>
  <si>
    <t>Unit Cost
(Php '000)</t>
  </si>
  <si>
    <t>Division</t>
  </si>
  <si>
    <t xml:space="preserve">Total </t>
  </si>
  <si>
    <t>Amount (Php'000)</t>
  </si>
  <si>
    <t>EPRPD-Planning</t>
  </si>
  <si>
    <t>EPRPD-EZM</t>
  </si>
  <si>
    <t>DMD-South</t>
  </si>
  <si>
    <t>DMD-North</t>
  </si>
  <si>
    <t>DMD-Calamian</t>
  </si>
  <si>
    <t>HARDWARE</t>
  </si>
  <si>
    <t xml:space="preserve">Desktops      </t>
  </si>
  <si>
    <t>High-end computer</t>
  </si>
  <si>
    <t xml:space="preserve">Laptops       </t>
  </si>
  <si>
    <t>High-end laptop</t>
  </si>
  <si>
    <t>Projector</t>
  </si>
  <si>
    <t>Battery powered LCD travel projector</t>
  </si>
  <si>
    <t>Full mobile printers (portable)</t>
  </si>
  <si>
    <t xml:space="preserve">Multi-function printers </t>
  </si>
  <si>
    <t>A3 printer</t>
  </si>
  <si>
    <t>Wireless battery operated portable printer</t>
  </si>
  <si>
    <t>DSLR camera</t>
  </si>
  <si>
    <t>Go pro (underwater camera)</t>
  </si>
  <si>
    <t>High Definition Video camera</t>
  </si>
  <si>
    <t>GPS</t>
  </si>
  <si>
    <t>Photocopier/fax machine</t>
  </si>
  <si>
    <t>12 MP Drone camera with extra battery</t>
  </si>
  <si>
    <t>LED Smart TV (43 inches)</t>
  </si>
  <si>
    <t>Facial and Biometrics Attendance Time Keeper Machine</t>
  </si>
  <si>
    <t>Underwater drone with case (with training)</t>
  </si>
  <si>
    <t>High resolution drone camera with extra battery (with training)</t>
  </si>
  <si>
    <t>Laser Distance Digital Range Finder Diastemeter Measuring Device Electronic Bubble Levels 198ft/60m</t>
  </si>
  <si>
    <t>Desktop PC Barebone</t>
  </si>
  <si>
    <t>High-powered UPS</t>
  </si>
  <si>
    <t>PS Kit FG10 Comcolor Finisher, FW Series</t>
  </si>
  <si>
    <t>Ineo +258 Color DF-629 RADF (sorter, finisher for digital printer)</t>
  </si>
  <si>
    <t>Combo electric binding machine</t>
  </si>
  <si>
    <t>Desktop Small UV Coating machine</t>
  </si>
  <si>
    <t>Nikkor AF 28-300 mm zoom lens</t>
  </si>
  <si>
    <t>Nikkor AF Fish Eye Lens</t>
  </si>
  <si>
    <t>Professional microphone for laptop recording</t>
  </si>
  <si>
    <t>Electric condenser omni microphone for videocam</t>
  </si>
  <si>
    <t>Electronic signature pad</t>
  </si>
  <si>
    <t>Wireless/Bluetooth vinyl cutting and embrossing machine</t>
  </si>
  <si>
    <t>Small sized  tarpaulin printing machine</t>
  </si>
  <si>
    <t>Wide monitor high-end desktop (38")</t>
  </si>
  <si>
    <t>Outdoor portable sound systems</t>
  </si>
  <si>
    <t xml:space="preserve">Night vision binocular </t>
  </si>
  <si>
    <t>High-end Digital Recording Binocular</t>
  </si>
  <si>
    <t>Tandem Global Compass/Clinometer</t>
  </si>
  <si>
    <t>Surveillance camera equipped for night vision</t>
  </si>
  <si>
    <t>Portable cargo scanner</t>
  </si>
  <si>
    <t>Satellite phone</t>
  </si>
  <si>
    <t>360 vision camera insta black</t>
  </si>
  <si>
    <t>Marine vest with GPS tracking system</t>
  </si>
  <si>
    <t>1 set CCTV Samsung 4 Camera Connections IP CCTV Kit</t>
  </si>
  <si>
    <t>Sub-total</t>
  </si>
  <si>
    <t xml:space="preserve">Adobe creative cloud master collection software
   · Adobe premiere
   · Adobe lightroom
   · In design
   · Adobe photoshop
</t>
  </si>
  <si>
    <t>Adobe collection Business Plan
   · Adobe premiere
   · In design
   · Adobe photoshop</t>
  </si>
  <si>
    <t>Music/sound templates</t>
  </si>
  <si>
    <t>Enterprise Anti-Virus</t>
  </si>
  <si>
    <t>MS Office Software</t>
  </si>
  <si>
    <t>MIRADI Software</t>
  </si>
  <si>
    <t>Maxent and distance</t>
  </si>
  <si>
    <t>SUPPLIES</t>
  </si>
  <si>
    <t>Wireless Lavalier Microphone with audio recorder</t>
  </si>
  <si>
    <t>Recorder</t>
  </si>
  <si>
    <t>UPS</t>
  </si>
  <si>
    <t>External hard drive (2TB)</t>
  </si>
  <si>
    <t>External hard drive (4TB)</t>
  </si>
  <si>
    <t xml:space="preserve">Powerbank </t>
  </si>
  <si>
    <t>Dual band Router</t>
  </si>
  <si>
    <t>Radio</t>
  </si>
  <si>
    <t>Wifi video link/dongle</t>
  </si>
  <si>
    <t>Portable wi-fi</t>
  </si>
  <si>
    <t>Mouse</t>
  </si>
  <si>
    <t>Mouse (wireless)</t>
  </si>
  <si>
    <t>Bluetooth speaker</t>
  </si>
  <si>
    <t>Keyboard</t>
  </si>
  <si>
    <t>4gb RAM for desktop</t>
  </si>
  <si>
    <t>4gb RAM for laptop</t>
  </si>
  <si>
    <t>1TB HDD for desktop</t>
  </si>
  <si>
    <t>Flash drive (32gb)</t>
  </si>
  <si>
    <t>Flash drive (16gb)</t>
  </si>
  <si>
    <t>Flash drive (64gb)</t>
  </si>
  <si>
    <t>Memory cards (32-64 GB)</t>
  </si>
  <si>
    <t>Card reader</t>
  </si>
  <si>
    <t>Android cellular cellphone</t>
  </si>
  <si>
    <t>Laser pointer with clicker</t>
  </si>
  <si>
    <t>Carbon Fiber Tripod Kit with BV10H Head (100 mm)</t>
  </si>
  <si>
    <t>OTG (On-the-go) USB (64 GB)</t>
  </si>
  <si>
    <t>IP Camera</t>
  </si>
  <si>
    <t>Rackmount Switch</t>
  </si>
  <si>
    <t>Go pro dome port</t>
  </si>
  <si>
    <t>Laptop universal charger</t>
  </si>
  <si>
    <t>White screen (portable)</t>
  </si>
  <si>
    <t>Wireless microphone</t>
  </si>
  <si>
    <t>Portable speakers with microphone and battery</t>
  </si>
  <si>
    <t>Wireless keyboard</t>
  </si>
  <si>
    <t>Point-of-scale Printer</t>
  </si>
  <si>
    <t>Wireless touch keyboard and mouse</t>
  </si>
  <si>
    <t>Port USB Hub with Individual Power Switches</t>
  </si>
  <si>
    <t>Printer ink set</t>
  </si>
  <si>
    <t>CAT 6 Cable</t>
  </si>
  <si>
    <t>Pocket wi-fi</t>
  </si>
  <si>
    <t>Flash Unit for DSLR</t>
  </si>
  <si>
    <t>Benro Heavy Duty Tripod</t>
  </si>
  <si>
    <t>1 TB external drive</t>
  </si>
  <si>
    <t>32 GB memory card for binocular</t>
  </si>
  <si>
    <t>35 Mile Weatherproof 2 way radios walkie talkie</t>
  </si>
  <si>
    <t>Digital handheld radio with extra battery pack and quick charger (water proof)</t>
  </si>
  <si>
    <t>GENERAL SERVICES</t>
  </si>
  <si>
    <t>Risograph service maintenance</t>
  </si>
  <si>
    <t>Risograph supplies (ink and papers)</t>
  </si>
  <si>
    <t xml:space="preserve">Webhosting </t>
  </si>
  <si>
    <t>Ineo+Colored Printer supplies and ink</t>
  </si>
  <si>
    <t xml:space="preserve">Plotter-scanner supplies (ink and papers) </t>
  </si>
  <si>
    <t>Laser printing supplies (ink and papers)</t>
  </si>
  <si>
    <t>Internet connection service (12 months)</t>
  </si>
  <si>
    <t>internet connection service</t>
  </si>
  <si>
    <t>CD Asia Online Libraries</t>
  </si>
  <si>
    <t>Maintenance cost for drone (underwater+aerial)</t>
  </si>
  <si>
    <t>Cloud storage</t>
  </si>
  <si>
    <t>TRAININGS</t>
  </si>
  <si>
    <t>Creative media and production software</t>
  </si>
  <si>
    <t xml:space="preserve">Use of broadcasting equipment </t>
  </si>
  <si>
    <t>Training on Adobe premiere</t>
  </si>
  <si>
    <t>Social Media Training</t>
  </si>
  <si>
    <t>Training on ICT Development Essentials for Government Managers</t>
  </si>
  <si>
    <t>ICT for Disaster Risk Reduction, Climate Change, Green Growth and Sustainable Development</t>
  </si>
  <si>
    <t>Web content management training</t>
  </si>
  <si>
    <t>Data Protection Training Course</t>
  </si>
  <si>
    <t>Training on Quality Management System</t>
  </si>
  <si>
    <t>Basic Training on Geographic Information Systems</t>
  </si>
  <si>
    <t>Basic Remote Sensing/ENVI Analytics</t>
  </si>
  <si>
    <t>Training on radio broadcasting and feature writing</t>
  </si>
  <si>
    <t>Training analysis using maxent and distance</t>
  </si>
  <si>
    <t>PROFESSIONAL SERVICE</t>
  </si>
  <si>
    <t>Web Designer/Web Administrator</t>
  </si>
  <si>
    <t>IT Assistant @ 13k</t>
  </si>
  <si>
    <t>Data and privacy security officer</t>
  </si>
  <si>
    <t>IEC Officer</t>
  </si>
  <si>
    <t>Multi-media specialist</t>
  </si>
  <si>
    <t>Layout/Graphic Artist</t>
  </si>
  <si>
    <t>Social Media Specialist</t>
  </si>
  <si>
    <t>GIS Specialist/Project Manager</t>
  </si>
  <si>
    <t>Radio Station Technician</t>
  </si>
  <si>
    <t>Remote Sensing Specialist</t>
  </si>
  <si>
    <t>PALAWEN (Palawan Law Enforcement Network) Developer</t>
  </si>
  <si>
    <t>Unmanned Air Vehicle (AUV) drone operator</t>
  </si>
  <si>
    <t>DETAILED COST ITEMS</t>
  </si>
  <si>
    <t>OFFICE EQUIPMENT</t>
  </si>
  <si>
    <t xml:space="preserve">TRAININGS </t>
  </si>
  <si>
    <t>SERVICES</t>
  </si>
  <si>
    <t>Year 1 (2018)</t>
  </si>
  <si>
    <t>Software</t>
  </si>
  <si>
    <t>General Services</t>
  </si>
  <si>
    <t xml:space="preserve">ICT Training </t>
  </si>
  <si>
    <t>Prof Services</t>
  </si>
  <si>
    <t xml:space="preserve">ANNEX __. Breakdown of Capital Outlay and MOOE per Object of Expenditure </t>
  </si>
  <si>
    <t>Based on Draft NEP as of July 10, 2019</t>
  </si>
  <si>
    <t xml:space="preserve">Instructions: </t>
  </si>
  <si>
    <t>1. Use the following as basis for your division PPMP, Travel Plan, WFP, and Job Order procurement plan.</t>
  </si>
  <si>
    <t>2. WFP for Regular Fund and for WMF-SAGF should be presented separately.</t>
  </si>
  <si>
    <t xml:space="preserve">3. Details of all ICT-related expenditures per division are found in a separate worksheet (Ref_ICT). </t>
  </si>
  <si>
    <t xml:space="preserve">Name of Division/Unit/Section: </t>
  </si>
  <si>
    <t>PAP</t>
  </si>
  <si>
    <t>CO (Php '000)</t>
  </si>
  <si>
    <t xml:space="preserve">                                                       MOOE (Php '000)</t>
  </si>
  <si>
    <t>ICT Equipment 
(details per division in Annex D)</t>
  </si>
  <si>
    <t>Computer Software (details per division in Annex D)</t>
  </si>
  <si>
    <t xml:space="preserve">Motor Vehicles
</t>
  </si>
  <si>
    <t>TOTAL CO</t>
  </si>
  <si>
    <t>Travelling Expenses-Local</t>
  </si>
  <si>
    <t>ICT Training Expenses 
(details per division in Annex D)</t>
  </si>
  <si>
    <t>Training Expenses</t>
  </si>
  <si>
    <t>ICT Office Supplies 
(details per division in Annex D)</t>
  </si>
  <si>
    <t>Accountable Forms Expenses</t>
  </si>
  <si>
    <t>Fuel, Oil, and Lubricants Expenses</t>
  </si>
  <si>
    <t>Water Expenses</t>
  </si>
  <si>
    <t>Electricity Expenses</t>
  </si>
  <si>
    <t>Postage and Courier Services</t>
  </si>
  <si>
    <t xml:space="preserve">Mobile </t>
  </si>
  <si>
    <t>Landline</t>
  </si>
  <si>
    <t>Internet Subscription Expenses</t>
  </si>
  <si>
    <t>Cable, Satellite, Telegraph, and Radio Expenses</t>
  </si>
  <si>
    <t>Extraordinary and Miscellaneous Expenses</t>
  </si>
  <si>
    <t xml:space="preserve">Other Professional Services </t>
  </si>
  <si>
    <t>Janitorial Services</t>
  </si>
  <si>
    <t>Security Services</t>
  </si>
  <si>
    <t>Other General Services-ICT Services 
(details per division in Annex D)</t>
  </si>
  <si>
    <t>Repairs and Maintenance</t>
  </si>
  <si>
    <t>Taxes, Duties, and Licenses</t>
  </si>
  <si>
    <t>Fidelity Bond Premium</t>
  </si>
  <si>
    <t>Advertising Expenses</t>
  </si>
  <si>
    <t>Printing and Publication Expenses</t>
  </si>
  <si>
    <t xml:space="preserve">Representation Expenses </t>
  </si>
  <si>
    <t>Transportation and Delivery Expenses</t>
  </si>
  <si>
    <r>
      <t>Rents -</t>
    </r>
    <r>
      <rPr>
        <sz val="10"/>
        <color theme="1"/>
        <rFont val="Calibri"/>
        <family val="2"/>
        <scheme val="minor"/>
      </rPr>
      <t>Building and Structures</t>
    </r>
  </si>
  <si>
    <t>Library and Other Reading Materials Subscription Expenses</t>
  </si>
  <si>
    <t>TOTAL MOOE</t>
  </si>
  <si>
    <t>Buildings</t>
  </si>
  <si>
    <t>Other Machinery and Equipment</t>
  </si>
  <si>
    <t>Motor Vehicles</t>
  </si>
  <si>
    <t>Furniture and Fixtures</t>
  </si>
  <si>
    <t>OED (incl. Secretariat)</t>
  </si>
  <si>
    <t>GMS</t>
  </si>
  <si>
    <t>ACE (Regular)</t>
  </si>
  <si>
    <t>ACE (WMF)</t>
  </si>
  <si>
    <t>EMES (Regular)</t>
  </si>
  <si>
    <t>EMES (WMF)</t>
  </si>
  <si>
    <t>KRM (Regular)</t>
  </si>
  <si>
    <t>KRM (WMF)</t>
  </si>
  <si>
    <t>EPRPD (Planning &amp; EZMD)</t>
  </si>
  <si>
    <t>ECAN Zoning (Regular)</t>
  </si>
  <si>
    <t>ECAN Zoning (WMF)</t>
  </si>
  <si>
    <t>Resource Mob (Regular)</t>
  </si>
  <si>
    <t>SEP Clearance (Regular)</t>
  </si>
  <si>
    <t>SEP Clearance (WMF)</t>
  </si>
  <si>
    <t>EZMED (ERED)</t>
  </si>
  <si>
    <t>Wildlife and Cave (Regular)</t>
  </si>
  <si>
    <t>Wildlife and Cave (WMF)</t>
  </si>
  <si>
    <t>total</t>
  </si>
  <si>
    <t>1. The service supplier shall have its own environmental policy. The environmental policy shall cover the reduction of chemical substances usage, the reduction of waste and energy consumption, and water saving.
2. The service supplier shall provide organic, local or regional products or products which are produced in a sustainable way (esp. avoid overfishing, no products from threatened species) when offering food and beverages.
3. The service supplier shall ensure that indoor lighting is energy efficient.
4. The service supplier shall reduce packaging and usage of disposable containers for food, drink and condiments.
5. The service supplier shall post its environmental policies or targets in places where guests and employees can easily notice them.</t>
  </si>
  <si>
    <t xml:space="preserve">All Training Facilities/Hotels/Venues    </t>
  </si>
  <si>
    <t>EXTERNAL HARD DRIVE, 2TB, 2.5"HDD, USB 3.0</t>
  </si>
  <si>
    <t>FLASH DRIVE OTG, 64 GB capacity</t>
  </si>
  <si>
    <t>POS Printer</t>
  </si>
  <si>
    <t>Plane Ticket</t>
  </si>
  <si>
    <t xml:space="preserve">IT Assistant </t>
  </si>
  <si>
    <t>Computer Technician</t>
  </si>
  <si>
    <t>Data and Privacy Security Officer</t>
  </si>
  <si>
    <t>Desktop Computer, barebone</t>
  </si>
  <si>
    <t>High Power UNINTERRUPTED POWER SUPPLY (UPS)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</si>
</sst>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_(* #,##0.00_);_(* \(#,##0.00\);_(* &quot;-&quot;??_);_(@_)"/>
    <numFmt numFmtId="165" formatCode="#,##0.00&quot; &quot;;&quot; (&quot;#,##0.00&quot;)&quot;;&quot; -&quot;#&quot; &quot;;@&quot; &quot;"/>
    <numFmt numFmtId="166" formatCode="[$$-409]#,##0.00;[Red]&quot;-&quot;[$$-409]#,##0.00"/>
    <numFmt numFmtId="167" formatCode="0.0"/>
    <numFmt numFmtId="168" formatCode="_-[$₱-3409]* #,##0.00_-;\-[$₱-3409]* #,##0.00_-;_-[$₱-3409]* &quot;-&quot;??_-;_-@_-"/>
    <numFmt numFmtId="169" formatCode="[$-409]mmmm\ d\,\ yyyy;@"/>
    <numFmt numFmtId="170" formatCode="yyyy\-mm\-dd;@"/>
    <numFmt numFmtId="171" formatCode="#,##0.0"/>
  </numFmts>
  <fonts count="74">
    <font>
      <sz val="11"/>
      <color rgb="FF000000"/>
      <name val="Arial1"/>
    </font>
    <font>
      <sz val="11"/>
      <color theme="1"/>
      <name val="Calibri"/>
      <family val="2"/>
      <scheme val="minor"/>
    </font>
    <font>
      <sz val="11"/>
      <color theme="1"/>
      <name val="Calibri"/>
      <family val="2"/>
      <scheme val="minor"/>
    </font>
    <font>
      <sz val="11"/>
      <color rgb="FF000000"/>
      <name val="Arial1"/>
    </font>
    <font>
      <sz val="10"/>
      <color rgb="FF000000"/>
      <name val="Arial1"/>
    </font>
    <font>
      <u/>
      <sz val="10"/>
      <color rgb="FF0000FF"/>
      <name val="Arial1"/>
    </font>
    <font>
      <b/>
      <i/>
      <sz val="16"/>
      <color rgb="FF000000"/>
      <name val="Arial1"/>
    </font>
    <font>
      <b/>
      <i/>
      <u/>
      <sz val="11"/>
      <color rgb="FF000000"/>
      <name val="Arial1"/>
    </font>
    <font>
      <b/>
      <sz val="14"/>
      <color rgb="FF000000"/>
      <name val="Arial1"/>
    </font>
    <font>
      <b/>
      <sz val="9"/>
      <color rgb="FF000000"/>
      <name val="Arial1"/>
    </font>
    <font>
      <b/>
      <sz val="8"/>
      <color rgb="FF000000"/>
      <name val="Arial1"/>
    </font>
    <font>
      <sz val="9"/>
      <color rgb="FF000000"/>
      <name val="Arial1"/>
    </font>
    <font>
      <sz val="8"/>
      <color rgb="FF000000"/>
      <name val="Arial1"/>
    </font>
    <font>
      <b/>
      <sz val="10"/>
      <color rgb="FF000000"/>
      <name val="Arial1"/>
    </font>
    <font>
      <b/>
      <sz val="11"/>
      <color rgb="FF000000"/>
      <name val="Arial1"/>
    </font>
    <font>
      <sz val="8"/>
      <name val="Arial1"/>
    </font>
    <font>
      <b/>
      <u/>
      <sz val="8"/>
      <color rgb="FF000000"/>
      <name val="Arial1"/>
    </font>
    <font>
      <b/>
      <sz val="9"/>
      <name val="Arial1"/>
    </font>
    <font>
      <b/>
      <u/>
      <sz val="8"/>
      <name val="Arial1"/>
    </font>
    <font>
      <u/>
      <sz val="11"/>
      <color theme="10"/>
      <name val="Arial1"/>
    </font>
    <font>
      <b/>
      <sz val="11"/>
      <color theme="1"/>
      <name val="Calibri"/>
      <family val="2"/>
      <scheme val="minor"/>
    </font>
    <font>
      <sz val="11"/>
      <color theme="0"/>
      <name val="Calibri"/>
      <family val="2"/>
      <scheme val="minor"/>
    </font>
    <font>
      <i/>
      <sz val="9"/>
      <color theme="1"/>
      <name val="Verdana"/>
      <family val="2"/>
    </font>
    <font>
      <b/>
      <sz val="12"/>
      <color theme="1"/>
      <name val="Verdana"/>
      <family val="2"/>
    </font>
    <font>
      <b/>
      <u/>
      <sz val="12"/>
      <color theme="1"/>
      <name val="Verdana"/>
      <family val="2"/>
    </font>
    <font>
      <i/>
      <sz val="12"/>
      <color theme="1"/>
      <name val="Verdana"/>
      <family val="2"/>
    </font>
    <font>
      <sz val="12"/>
      <color theme="1"/>
      <name val="Verdana"/>
      <family val="2"/>
    </font>
    <font>
      <b/>
      <i/>
      <sz val="12"/>
      <color theme="1"/>
      <name val="Verdana"/>
      <family val="2"/>
    </font>
    <font>
      <b/>
      <sz val="9"/>
      <color theme="1"/>
      <name val="Verdana"/>
      <family val="2"/>
    </font>
    <font>
      <sz val="9"/>
      <color theme="1"/>
      <name val="Calibri"/>
      <family val="2"/>
      <scheme val="minor"/>
    </font>
    <font>
      <b/>
      <sz val="8"/>
      <color theme="1"/>
      <name val="Verdana"/>
      <family val="2"/>
    </font>
    <font>
      <sz val="8"/>
      <color theme="1"/>
      <name val="Verdana"/>
      <family val="2"/>
    </font>
    <font>
      <i/>
      <sz val="8"/>
      <color theme="1"/>
      <name val="Verdana"/>
      <family val="2"/>
    </font>
    <font>
      <sz val="10"/>
      <color theme="1"/>
      <name val="Calibri"/>
      <family val="2"/>
      <scheme val="minor"/>
    </font>
    <font>
      <b/>
      <u/>
      <sz val="9"/>
      <color theme="1"/>
      <name val="Verdana"/>
      <family val="2"/>
    </font>
    <font>
      <b/>
      <sz val="12"/>
      <color theme="1"/>
      <name val="Calibri"/>
      <family val="2"/>
      <scheme val="minor"/>
    </font>
    <font>
      <sz val="10"/>
      <name val="Arial"/>
      <family val="2"/>
    </font>
    <font>
      <u/>
      <sz val="8"/>
      <color theme="1"/>
      <name val="Verdana"/>
      <family val="2"/>
    </font>
    <font>
      <sz val="9"/>
      <color theme="1"/>
      <name val="Verdana"/>
      <family val="2"/>
    </font>
    <font>
      <b/>
      <sz val="10"/>
      <name val="Arial1"/>
    </font>
    <font>
      <sz val="8"/>
      <name val="Candara"/>
      <family val="2"/>
    </font>
    <font>
      <b/>
      <sz val="12"/>
      <name val="Candara"/>
      <family val="2"/>
    </font>
    <font>
      <b/>
      <sz val="14"/>
      <name val="Candara"/>
      <family val="2"/>
    </font>
    <font>
      <i/>
      <sz val="12"/>
      <name val="Candara"/>
      <family val="2"/>
    </font>
    <font>
      <b/>
      <i/>
      <sz val="12"/>
      <name val="Candara"/>
      <family val="2"/>
    </font>
    <font>
      <sz val="11"/>
      <name val="Candara"/>
      <family val="2"/>
    </font>
    <font>
      <sz val="10"/>
      <name val="Candara"/>
      <family val="2"/>
    </font>
    <font>
      <u/>
      <sz val="11"/>
      <color theme="10"/>
      <name val="Candara"/>
      <family val="2"/>
    </font>
    <font>
      <b/>
      <sz val="8"/>
      <name val="Candara"/>
      <family val="2"/>
    </font>
    <font>
      <b/>
      <sz val="11"/>
      <name val="Candara"/>
      <family val="2"/>
    </font>
    <font>
      <sz val="10"/>
      <color theme="0"/>
      <name val="Candara"/>
      <family val="2"/>
    </font>
    <font>
      <b/>
      <sz val="10"/>
      <name val="Candara"/>
      <family val="2"/>
    </font>
    <font>
      <sz val="12"/>
      <name val="Candara"/>
      <family val="2"/>
    </font>
    <font>
      <sz val="10"/>
      <color theme="1"/>
      <name val="Candara"/>
      <family val="2"/>
    </font>
    <font>
      <sz val="9"/>
      <name val="Candara"/>
      <family val="2"/>
    </font>
    <font>
      <sz val="14"/>
      <name val="Candara"/>
      <family val="2"/>
    </font>
    <font>
      <b/>
      <i/>
      <sz val="9"/>
      <name val="Candara"/>
      <family val="2"/>
    </font>
    <font>
      <b/>
      <sz val="9"/>
      <name val="Candara"/>
      <family val="2"/>
    </font>
    <font>
      <sz val="12"/>
      <color theme="0"/>
      <name val="Calibri"/>
      <family val="2"/>
      <scheme val="minor"/>
    </font>
    <font>
      <sz val="12"/>
      <color theme="1"/>
      <name val="Calibri"/>
      <family val="2"/>
      <scheme val="minor"/>
    </font>
    <font>
      <sz val="11"/>
      <name val="Calibri"/>
      <family val="2"/>
      <scheme val="minor"/>
    </font>
    <font>
      <i/>
      <sz val="11"/>
      <color theme="1"/>
      <name val="Calibri"/>
      <family val="2"/>
      <scheme val="minor"/>
    </font>
    <font>
      <b/>
      <i/>
      <sz val="11"/>
      <color theme="1"/>
      <name val="Calibri"/>
      <family val="2"/>
      <scheme val="minor"/>
    </font>
    <font>
      <sz val="11"/>
      <color rgb="FFFF0000"/>
      <name val="Calibri"/>
      <family val="2"/>
      <scheme val="minor"/>
    </font>
    <font>
      <b/>
      <sz val="11"/>
      <name val="Calibri"/>
      <family val="2"/>
      <scheme val="minor"/>
    </font>
    <font>
      <b/>
      <sz val="10"/>
      <name val="Calibri"/>
      <family val="2"/>
      <scheme val="minor"/>
    </font>
    <font>
      <b/>
      <i/>
      <sz val="11"/>
      <name val="Calibri"/>
      <family val="2"/>
      <scheme val="minor"/>
    </font>
    <font>
      <i/>
      <sz val="11"/>
      <name val="Calibri"/>
      <family val="2"/>
      <scheme val="minor"/>
    </font>
    <font>
      <b/>
      <i/>
      <u/>
      <sz val="11"/>
      <name val="Calibri"/>
      <family val="2"/>
      <scheme val="minor"/>
    </font>
    <font>
      <b/>
      <u/>
      <sz val="11"/>
      <name val="Calibri"/>
      <family val="2"/>
      <scheme val="minor"/>
    </font>
    <font>
      <b/>
      <sz val="12"/>
      <name val="Calibri"/>
      <family val="2"/>
      <scheme val="minor"/>
    </font>
    <font>
      <b/>
      <sz val="10"/>
      <color theme="1"/>
      <name val="Calibri"/>
      <family val="2"/>
      <scheme val="minor"/>
    </font>
    <font>
      <b/>
      <sz val="11"/>
      <color rgb="FFFF0000"/>
      <name val="Calibri"/>
      <family val="2"/>
      <scheme val="minor"/>
    </font>
    <font>
      <sz val="11"/>
      <color theme="2" tint="-0.249977111117893"/>
      <name val="Calibri"/>
      <family val="2"/>
      <scheme val="minor"/>
    </font>
  </fonts>
  <fills count="23">
    <fill>
      <patternFill patternType="none"/>
    </fill>
    <fill>
      <patternFill patternType="gray125"/>
    </fill>
    <fill>
      <patternFill patternType="solid">
        <fgColor rgb="FFFF6600"/>
        <bgColor rgb="FFFF6600"/>
      </patternFill>
    </fill>
    <fill>
      <patternFill patternType="solid">
        <fgColor rgb="FFFFFFFF"/>
        <bgColor rgb="FFFFFFFF"/>
      </patternFill>
    </fill>
    <fill>
      <patternFill patternType="solid">
        <fgColor rgb="FF000000"/>
        <bgColor rgb="FF000000"/>
      </patternFill>
    </fill>
    <fill>
      <patternFill patternType="solid">
        <fgColor rgb="FF339966"/>
        <bgColor rgb="FF339966"/>
      </patternFill>
    </fill>
    <fill>
      <patternFill patternType="solid">
        <fgColor rgb="FFFF0000"/>
        <bgColor rgb="FFFFFFFF"/>
      </patternFill>
    </fill>
    <fill>
      <patternFill patternType="solid">
        <fgColor theme="0"/>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249977111117893"/>
        <bgColor rgb="FFFFFFFF"/>
      </patternFill>
    </fill>
    <fill>
      <patternFill patternType="solid">
        <fgColor theme="9"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39997558519241921"/>
        <bgColor indexed="64"/>
      </patternFill>
    </fill>
  </fills>
  <borders count="102">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style="double">
        <color rgb="FF000000"/>
      </bottom>
      <diagonal/>
    </border>
    <border>
      <left style="thin">
        <color rgb="FF000000"/>
      </left>
      <right/>
      <top/>
      <bottom style="double">
        <color rgb="FF000000"/>
      </bottom>
      <diagonal/>
    </border>
    <border>
      <left/>
      <right/>
      <top/>
      <bottom style="double">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style="double">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top/>
      <bottom style="double">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theme="1"/>
      </left>
      <right/>
      <top style="medium">
        <color indexed="64"/>
      </top>
      <bottom/>
      <diagonal/>
    </border>
    <border>
      <left style="thin">
        <color theme="8" tint="0.39997558519241921"/>
      </left>
      <right/>
      <top style="medium">
        <color indexed="64"/>
      </top>
      <bottom/>
      <diagonal/>
    </border>
    <border>
      <left style="thin">
        <color theme="8" tint="0.39997558519241921"/>
      </left>
      <right style="medium">
        <color indexed="64"/>
      </right>
      <top style="medium">
        <color indexed="64"/>
      </top>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theme="8" tint="0.79998168889431442"/>
      </right>
      <top style="medium">
        <color indexed="64"/>
      </top>
      <bottom style="medium">
        <color indexed="64"/>
      </bottom>
      <diagonal/>
    </border>
    <border>
      <left style="thin">
        <color theme="8" tint="0.79998168889431442"/>
      </left>
      <right style="thin">
        <color theme="8" tint="0.79998168889431442"/>
      </right>
      <top style="medium">
        <color indexed="64"/>
      </top>
      <bottom style="medium">
        <color indexed="64"/>
      </bottom>
      <diagonal/>
    </border>
    <border>
      <left style="thin">
        <color theme="8" tint="0.79998168889431442"/>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theme="8" tint="0.39997558519241921"/>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diagonalUp="1" diagonalDown="1">
      <left style="medium">
        <color indexed="64"/>
      </left>
      <right/>
      <top style="medium">
        <color indexed="64"/>
      </top>
      <bottom/>
      <diagonal style="thin">
        <color indexed="64"/>
      </diagonal>
    </border>
    <border diagonalUp="1" diagonalDown="1">
      <left/>
      <right/>
      <top style="medium">
        <color indexed="64"/>
      </top>
      <bottom/>
      <diagonal style="thin">
        <color indexed="64"/>
      </diagonal>
    </border>
    <border diagonalUp="1" diagonalDown="1">
      <left/>
      <right style="medium">
        <color indexed="64"/>
      </right>
      <top style="medium">
        <color indexed="64"/>
      </top>
      <bottom/>
      <diagonal style="thin">
        <color indexed="64"/>
      </diagonal>
    </border>
    <border diagonalUp="1" diagonalDown="1">
      <left style="medium">
        <color indexed="64"/>
      </left>
      <right/>
      <top/>
      <bottom/>
      <diagonal style="thin">
        <color indexed="64"/>
      </diagonal>
    </border>
    <border diagonalUp="1" diagonalDown="1">
      <left/>
      <right/>
      <top/>
      <bottom/>
      <diagonal style="thin">
        <color indexed="64"/>
      </diagonal>
    </border>
    <border diagonalUp="1" diagonalDown="1">
      <left/>
      <right style="medium">
        <color indexed="64"/>
      </right>
      <top/>
      <bottom/>
      <diagonal style="thin">
        <color indexed="64"/>
      </diagonal>
    </border>
    <border>
      <left style="medium">
        <color indexed="64"/>
      </left>
      <right/>
      <top/>
      <bottom/>
      <diagonal/>
    </border>
    <border>
      <left/>
      <right style="medium">
        <color indexed="64"/>
      </right>
      <top/>
      <bottom/>
      <diagonal/>
    </border>
    <border diagonalUp="1" diagonalDown="1">
      <left style="medium">
        <color indexed="64"/>
      </left>
      <right/>
      <top/>
      <bottom style="medium">
        <color indexed="64"/>
      </bottom>
      <diagonal style="thin">
        <color indexed="64"/>
      </diagonal>
    </border>
    <border diagonalUp="1" diagonalDown="1">
      <left/>
      <right/>
      <top/>
      <bottom style="medium">
        <color indexed="64"/>
      </bottom>
      <diagonal style="thin">
        <color indexed="64"/>
      </diagonal>
    </border>
    <border diagonalUp="1" diagonalDown="1">
      <left/>
      <right style="medium">
        <color indexed="64"/>
      </right>
      <top/>
      <bottom style="medium">
        <color indexed="64"/>
      </bottom>
      <diagonal style="thin">
        <color indexed="64"/>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style="medium">
        <color auto="1"/>
      </top>
      <bottom style="thin">
        <color auto="1"/>
      </bottom>
      <diagonal/>
    </border>
    <border>
      <left style="medium">
        <color auto="1"/>
      </left>
      <right style="thin">
        <color auto="1"/>
      </right>
      <top style="medium">
        <color auto="1"/>
      </top>
      <bottom/>
      <diagonal/>
    </border>
    <border>
      <left style="thin">
        <color auto="1"/>
      </left>
      <right/>
      <top/>
      <bottom style="medium">
        <color auto="1"/>
      </bottom>
      <diagonal/>
    </border>
    <border>
      <left style="thin">
        <color auto="1"/>
      </left>
      <right style="medium">
        <color auto="1"/>
      </right>
      <top/>
      <bottom style="medium">
        <color auto="1"/>
      </bottom>
      <diagonal/>
    </border>
  </borders>
  <cellStyleXfs count="24">
    <xf numFmtId="0" fontId="0" fillId="0"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0" fontId="3" fillId="2" borderId="0"/>
    <xf numFmtId="165" fontId="4" fillId="0" borderId="0"/>
    <xf numFmtId="0" fontId="5" fillId="0" borderId="0"/>
    <xf numFmtId="0" fontId="6" fillId="0" borderId="0">
      <alignment horizontal="center"/>
    </xf>
    <xf numFmtId="0" fontId="6" fillId="0" borderId="0">
      <alignment horizontal="center" textRotation="90"/>
    </xf>
    <xf numFmtId="0" fontId="7" fillId="0" borderId="0"/>
    <xf numFmtId="166" fontId="7" fillId="0" borderId="0"/>
    <xf numFmtId="0" fontId="19" fillId="0" borderId="0" applyNumberFormat="0" applyFill="0" applyBorder="0" applyAlignment="0" applyProtection="0"/>
    <xf numFmtId="43" fontId="3" fillId="0" borderId="0" applyFont="0" applyFill="0" applyBorder="0" applyAlignment="0" applyProtection="0"/>
    <xf numFmtId="0" fontId="2" fillId="0" borderId="0"/>
    <xf numFmtId="164" fontId="2" fillId="0" borderId="0" applyFont="0" applyFill="0" applyBorder="0" applyAlignment="0" applyProtection="0"/>
    <xf numFmtId="164" fontId="36" fillId="0" borderId="0" applyFont="0" applyFill="0" applyBorder="0" applyAlignment="0" applyProtection="0"/>
    <xf numFmtId="0" fontId="36" fillId="0" borderId="0"/>
    <xf numFmtId="9" fontId="3" fillId="0" borderId="0" applyFont="0" applyFill="0" applyBorder="0" applyAlignment="0" applyProtection="0"/>
  </cellStyleXfs>
  <cellXfs count="863">
    <xf numFmtId="0" fontId="0" fillId="0" borderId="0" xfId="0"/>
    <xf numFmtId="0" fontId="8" fillId="3" borderId="0" xfId="0" applyFont="1" applyFill="1" applyProtection="1">
      <protection locked="0"/>
    </xf>
    <xf numFmtId="0" fontId="8" fillId="3" borderId="0" xfId="0" applyFont="1" applyFill="1" applyAlignment="1" applyProtection="1">
      <alignment horizontal="left"/>
      <protection locked="0"/>
    </xf>
    <xf numFmtId="0" fontId="8" fillId="3" borderId="0" xfId="0" applyFont="1" applyFill="1" applyAlignment="1" applyProtection="1">
      <alignment horizontal="center"/>
      <protection locked="0"/>
    </xf>
    <xf numFmtId="0" fontId="4" fillId="3" borderId="0" xfId="0" applyFont="1" applyFill="1" applyAlignment="1" applyProtection="1">
      <alignment horizontal="center"/>
      <protection locked="0"/>
    </xf>
    <xf numFmtId="0" fontId="4" fillId="3" borderId="0" xfId="0" applyFont="1" applyFill="1" applyProtection="1">
      <protection locked="0"/>
    </xf>
    <xf numFmtId="0" fontId="9" fillId="3" borderId="0" xfId="0" applyFont="1" applyFill="1" applyAlignment="1" applyProtection="1">
      <alignment horizontal="center" vertical="top" wrapText="1"/>
      <protection locked="0"/>
    </xf>
    <xf numFmtId="0" fontId="10" fillId="3" borderId="7" xfId="0" applyFont="1" applyFill="1" applyBorder="1" applyAlignment="1" applyProtection="1">
      <alignment vertical="top" wrapText="1"/>
    </xf>
    <xf numFmtId="0" fontId="9" fillId="3" borderId="7" xfId="0" applyFont="1" applyFill="1" applyBorder="1" applyAlignment="1" applyProtection="1">
      <alignment horizontal="center" vertical="top" wrapText="1"/>
    </xf>
    <xf numFmtId="0" fontId="11" fillId="3" borderId="0" xfId="0" applyFont="1" applyFill="1" applyProtection="1">
      <protection locked="0"/>
    </xf>
    <xf numFmtId="0" fontId="12" fillId="3" borderId="0" xfId="0" applyFont="1" applyFill="1" applyProtection="1">
      <protection locked="0"/>
    </xf>
    <xf numFmtId="0" fontId="0" fillId="3" borderId="0" xfId="0" applyFill="1" applyProtection="1">
      <protection locked="0"/>
    </xf>
    <xf numFmtId="0" fontId="5" fillId="3" borderId="15" xfId="12" applyFont="1" applyFill="1" applyBorder="1" applyAlignment="1" applyProtection="1">
      <alignment wrapText="1"/>
    </xf>
    <xf numFmtId="0" fontId="5" fillId="3" borderId="7" xfId="12" applyFont="1" applyFill="1" applyBorder="1" applyAlignment="1" applyProtection="1">
      <alignment wrapText="1"/>
    </xf>
    <xf numFmtId="0" fontId="4" fillId="0" borderId="0" xfId="0" applyFont="1"/>
    <xf numFmtId="0" fontId="0" fillId="3" borderId="0" xfId="0" applyFill="1" applyProtection="1"/>
    <xf numFmtId="0" fontId="13" fillId="3" borderId="7" xfId="0" applyFont="1" applyFill="1" applyBorder="1" applyAlignment="1" applyProtection="1">
      <alignment horizontal="center" vertical="center"/>
    </xf>
    <xf numFmtId="0" fontId="0" fillId="0" borderId="0" xfId="0" applyProtection="1"/>
    <xf numFmtId="0" fontId="13" fillId="3" borderId="7" xfId="0" applyFont="1" applyFill="1" applyBorder="1" applyProtection="1"/>
    <xf numFmtId="0" fontId="9" fillId="3" borderId="16" xfId="0" applyFont="1" applyFill="1" applyBorder="1" applyAlignment="1" applyProtection="1">
      <alignment horizontal="center" vertical="center" wrapText="1"/>
    </xf>
    <xf numFmtId="0" fontId="0" fillId="4" borderId="0" xfId="0" applyFill="1" applyProtection="1"/>
    <xf numFmtId="0" fontId="4" fillId="3" borderId="15" xfId="0" applyFont="1" applyFill="1" applyBorder="1" applyAlignment="1" applyProtection="1">
      <alignment wrapText="1"/>
    </xf>
    <xf numFmtId="0" fontId="9" fillId="3" borderId="7" xfId="0" applyFont="1" applyFill="1" applyBorder="1" applyAlignment="1" applyProtection="1">
      <alignment horizontal="center" vertical="center" wrapText="1"/>
    </xf>
    <xf numFmtId="0" fontId="10" fillId="3" borderId="7" xfId="0" applyFont="1" applyFill="1" applyBorder="1" applyAlignment="1" applyProtection="1">
      <alignment horizontal="center" vertical="center" wrapText="1"/>
    </xf>
    <xf numFmtId="0" fontId="4" fillId="3" borderId="7" xfId="0" applyFont="1" applyFill="1" applyBorder="1" applyAlignment="1" applyProtection="1">
      <alignment wrapText="1"/>
    </xf>
    <xf numFmtId="0" fontId="9" fillId="3" borderId="0" xfId="0" applyFont="1" applyFill="1" applyAlignment="1" applyProtection="1">
      <alignment horizontal="center" vertical="center" wrapText="1"/>
    </xf>
    <xf numFmtId="0" fontId="0" fillId="3" borderId="7" xfId="0" applyFill="1" applyBorder="1" applyProtection="1"/>
    <xf numFmtId="0" fontId="4" fillId="3" borderId="7" xfId="0" applyFont="1" applyFill="1" applyBorder="1" applyAlignment="1" applyProtection="1">
      <alignment horizontal="center" vertical="center"/>
    </xf>
    <xf numFmtId="0" fontId="4" fillId="5" borderId="7" xfId="0" applyFont="1" applyFill="1" applyBorder="1" applyAlignment="1" applyProtection="1">
      <alignment wrapText="1"/>
    </xf>
    <xf numFmtId="0" fontId="13" fillId="3" borderId="7" xfId="0" applyFont="1" applyFill="1" applyBorder="1" applyAlignment="1" applyProtection="1">
      <alignment wrapText="1"/>
    </xf>
    <xf numFmtId="0" fontId="14" fillId="3" borderId="7" xfId="0" applyFont="1" applyFill="1" applyBorder="1" applyAlignment="1" applyProtection="1">
      <alignment vertical="top" wrapText="1"/>
    </xf>
    <xf numFmtId="0" fontId="0" fillId="0" borderId="0" xfId="0" applyProtection="1">
      <protection locked="0"/>
    </xf>
    <xf numFmtId="0" fontId="12" fillId="3" borderId="11" xfId="0" quotePrefix="1" applyFont="1" applyFill="1" applyBorder="1" applyAlignment="1" applyProtection="1">
      <alignment horizontal="left" vertical="top" wrapText="1"/>
      <protection locked="0"/>
    </xf>
    <xf numFmtId="0" fontId="10" fillId="0" borderId="7" xfId="0" applyFont="1" applyFill="1" applyBorder="1" applyAlignment="1" applyProtection="1">
      <alignment vertical="top" wrapText="1"/>
    </xf>
    <xf numFmtId="0" fontId="12" fillId="3" borderId="12" xfId="0" applyFont="1" applyFill="1" applyBorder="1" applyAlignment="1" applyProtection="1">
      <alignment vertical="top" wrapText="1"/>
      <protection locked="0"/>
    </xf>
    <xf numFmtId="0" fontId="12" fillId="3" borderId="19" xfId="0" applyFont="1" applyFill="1" applyBorder="1" applyAlignment="1" applyProtection="1">
      <alignment vertical="top"/>
      <protection locked="0"/>
    </xf>
    <xf numFmtId="0" fontId="12" fillId="3" borderId="19" xfId="0" applyFont="1" applyFill="1" applyBorder="1" applyAlignment="1" applyProtection="1">
      <alignment vertical="top" wrapText="1"/>
      <protection locked="0"/>
    </xf>
    <xf numFmtId="0" fontId="10" fillId="3" borderId="0" xfId="0" applyFont="1" applyFill="1" applyProtection="1">
      <protection locked="0"/>
    </xf>
    <xf numFmtId="0" fontId="12" fillId="3" borderId="7" xfId="0" applyFont="1" applyFill="1" applyBorder="1" applyAlignment="1" applyProtection="1">
      <alignment vertical="top" wrapText="1"/>
      <protection locked="0"/>
    </xf>
    <xf numFmtId="0" fontId="12" fillId="3" borderId="7" xfId="0" applyFont="1" applyFill="1" applyBorder="1" applyAlignment="1" applyProtection="1">
      <alignment horizontal="left" vertical="top"/>
      <protection locked="0"/>
    </xf>
    <xf numFmtId="15" fontId="12" fillId="3" borderId="7" xfId="0" applyNumberFormat="1" applyFont="1" applyFill="1" applyBorder="1" applyAlignment="1" applyProtection="1">
      <alignment vertical="top"/>
      <protection locked="0"/>
    </xf>
    <xf numFmtId="0" fontId="12" fillId="3" borderId="7" xfId="0" applyFont="1" applyFill="1" applyBorder="1" applyAlignment="1" applyProtection="1">
      <alignment vertical="top"/>
      <protection locked="0"/>
    </xf>
    <xf numFmtId="0" fontId="12" fillId="3" borderId="7" xfId="0" applyFont="1" applyFill="1" applyBorder="1" applyAlignment="1" applyProtection="1">
      <alignment horizontal="center" vertical="top"/>
      <protection locked="0"/>
    </xf>
    <xf numFmtId="0" fontId="12" fillId="3" borderId="0" xfId="0" applyFont="1" applyFill="1" applyAlignment="1" applyProtection="1">
      <alignment vertical="top"/>
      <protection locked="0"/>
    </xf>
    <xf numFmtId="0" fontId="12" fillId="3" borderId="13" xfId="0" applyFont="1" applyFill="1" applyBorder="1" applyAlignment="1" applyProtection="1">
      <alignment vertical="top"/>
      <protection locked="0"/>
    </xf>
    <xf numFmtId="0" fontId="12" fillId="3" borderId="14" xfId="0" applyFont="1" applyFill="1" applyBorder="1" applyAlignment="1" applyProtection="1">
      <alignment vertical="top"/>
      <protection locked="0"/>
    </xf>
    <xf numFmtId="0" fontId="12" fillId="3" borderId="13" xfId="0" applyFont="1" applyFill="1" applyBorder="1" applyAlignment="1" applyProtection="1">
      <alignment horizontal="center" vertical="top"/>
      <protection locked="0"/>
    </xf>
    <xf numFmtId="0" fontId="12" fillId="3" borderId="14" xfId="0" applyFont="1" applyFill="1" applyBorder="1" applyAlignment="1" applyProtection="1">
      <alignment horizontal="center" vertical="top"/>
      <protection locked="0"/>
    </xf>
    <xf numFmtId="0" fontId="4" fillId="3" borderId="0" xfId="0" applyFont="1" applyFill="1" applyAlignment="1" applyProtection="1">
      <alignment vertical="top"/>
      <protection locked="0"/>
    </xf>
    <xf numFmtId="3" fontId="12" fillId="3" borderId="7" xfId="0" applyNumberFormat="1" applyFont="1" applyFill="1" applyBorder="1" applyAlignment="1" applyProtection="1">
      <alignment horizontal="center" vertical="top"/>
      <protection locked="0"/>
    </xf>
    <xf numFmtId="0" fontId="12" fillId="0" borderId="7" xfId="0" applyFont="1" applyFill="1" applyBorder="1" applyAlignment="1" applyProtection="1">
      <alignment vertical="top"/>
      <protection locked="0"/>
    </xf>
    <xf numFmtId="0" fontId="12" fillId="3" borderId="12" xfId="0" applyFont="1" applyFill="1" applyBorder="1" applyAlignment="1" applyProtection="1">
      <alignment vertical="top"/>
      <protection locked="0"/>
    </xf>
    <xf numFmtId="0" fontId="12" fillId="3" borderId="7" xfId="0" applyFont="1" applyFill="1" applyBorder="1" applyAlignment="1" applyProtection="1">
      <alignment horizontal="left" vertical="top" wrapText="1"/>
      <protection locked="0"/>
    </xf>
    <xf numFmtId="0" fontId="15" fillId="0" borderId="7" xfId="0" applyFont="1" applyFill="1" applyBorder="1" applyAlignment="1" applyProtection="1">
      <alignment vertical="top"/>
      <protection locked="0"/>
    </xf>
    <xf numFmtId="0" fontId="12" fillId="6" borderId="12" xfId="0" applyFont="1" applyFill="1" applyBorder="1" applyAlignment="1" applyProtection="1">
      <alignment vertical="top"/>
      <protection locked="0"/>
    </xf>
    <xf numFmtId="0" fontId="12" fillId="0" borderId="7" xfId="0" applyFont="1" applyFill="1" applyBorder="1" applyAlignment="1" applyProtection="1">
      <alignment horizontal="center" vertical="top"/>
      <protection locked="0"/>
    </xf>
    <xf numFmtId="167" fontId="12" fillId="3" borderId="19" xfId="0" applyNumberFormat="1" applyFont="1" applyFill="1" applyBorder="1" applyAlignment="1" applyProtection="1">
      <alignment vertical="top"/>
      <protection locked="0"/>
    </xf>
    <xf numFmtId="0" fontId="12" fillId="0" borderId="7" xfId="0" applyFont="1" applyFill="1" applyBorder="1" applyAlignment="1" applyProtection="1">
      <alignment vertical="top" wrapText="1"/>
      <protection locked="0"/>
    </xf>
    <xf numFmtId="0" fontId="16" fillId="3" borderId="19" xfId="0" applyFont="1" applyFill="1" applyBorder="1" applyAlignment="1" applyProtection="1">
      <alignment vertical="top" wrapText="1"/>
      <protection locked="0"/>
    </xf>
    <xf numFmtId="0" fontId="15" fillId="3" borderId="19" xfId="0" applyFont="1" applyFill="1" applyBorder="1" applyAlignment="1" applyProtection="1">
      <alignment vertical="top" wrapText="1"/>
      <protection locked="0"/>
    </xf>
    <xf numFmtId="0" fontId="22" fillId="0" borderId="0" xfId="19" applyFont="1" applyAlignment="1">
      <alignment vertical="center"/>
    </xf>
    <xf numFmtId="0" fontId="2" fillId="0" borderId="0" xfId="19" applyAlignment="1">
      <alignment vertical="center"/>
    </xf>
    <xf numFmtId="0" fontId="2" fillId="0" borderId="0" xfId="19"/>
    <xf numFmtId="164" fontId="0" fillId="0" borderId="0" xfId="20" applyFont="1"/>
    <xf numFmtId="0" fontId="2" fillId="0" borderId="0" xfId="19" applyAlignment="1">
      <alignment horizontal="center" wrapText="1"/>
    </xf>
    <xf numFmtId="0" fontId="25" fillId="0" borderId="0" xfId="19" applyFont="1" applyAlignment="1">
      <alignment vertical="center"/>
    </xf>
    <xf numFmtId="0" fontId="27" fillId="0" borderId="0" xfId="19" applyFont="1" applyAlignment="1">
      <alignment vertical="center"/>
    </xf>
    <xf numFmtId="0" fontId="28" fillId="0" borderId="21" xfId="19" applyFont="1" applyBorder="1" applyAlignment="1">
      <alignment horizontal="center" vertical="center" wrapText="1"/>
    </xf>
    <xf numFmtId="0" fontId="29" fillId="0" borderId="0" xfId="19" applyFont="1"/>
    <xf numFmtId="0" fontId="28" fillId="0" borderId="24" xfId="19" applyFont="1" applyBorder="1" applyAlignment="1">
      <alignment horizontal="center" vertical="center" wrapText="1"/>
    </xf>
    <xf numFmtId="0" fontId="28" fillId="0" borderId="25" xfId="19" applyFont="1" applyBorder="1" applyAlignment="1">
      <alignment horizontal="center" vertical="center" wrapText="1"/>
    </xf>
    <xf numFmtId="0" fontId="30" fillId="0" borderId="26" xfId="19" applyFont="1" applyFill="1" applyBorder="1" applyAlignment="1">
      <alignment vertical="center" wrapText="1"/>
    </xf>
    <xf numFmtId="0" fontId="31" fillId="0" borderId="30" xfId="19" applyFont="1" applyFill="1" applyBorder="1" applyAlignment="1">
      <alignment horizontal="left" vertical="center" wrapText="1"/>
    </xf>
    <xf numFmtId="164" fontId="31" fillId="0" borderId="30" xfId="20" applyFont="1" applyFill="1" applyBorder="1" applyAlignment="1">
      <alignment horizontal="left" vertical="center" wrapText="1"/>
    </xf>
    <xf numFmtId="0" fontId="31" fillId="0" borderId="31" xfId="19" applyFont="1" applyFill="1" applyBorder="1" applyAlignment="1">
      <alignment horizontal="left" vertical="center" wrapText="1"/>
    </xf>
    <xf numFmtId="0" fontId="30" fillId="0" borderId="32" xfId="19" applyFont="1" applyFill="1" applyBorder="1" applyAlignment="1">
      <alignment vertical="center" wrapText="1"/>
    </xf>
    <xf numFmtId="0" fontId="31" fillId="0" borderId="33" xfId="19" applyFont="1" applyFill="1" applyBorder="1" applyAlignment="1">
      <alignment vertical="center" wrapText="1"/>
    </xf>
    <xf numFmtId="0" fontId="32" fillId="0" borderId="33" xfId="19" applyFont="1" applyFill="1" applyBorder="1" applyAlignment="1">
      <alignment vertical="center" wrapText="1"/>
    </xf>
    <xf numFmtId="164" fontId="31" fillId="0" borderId="33" xfId="20" applyFont="1" applyFill="1" applyBorder="1" applyAlignment="1">
      <alignment horizontal="right" vertical="center" wrapText="1"/>
    </xf>
    <xf numFmtId="0" fontId="2" fillId="0" borderId="32" xfId="19" applyBorder="1"/>
    <xf numFmtId="0" fontId="31" fillId="0" borderId="33" xfId="19" applyFont="1" applyFill="1" applyBorder="1" applyAlignment="1">
      <alignment vertical="center"/>
    </xf>
    <xf numFmtId="0" fontId="2" fillId="0" borderId="33" xfId="19" applyFill="1" applyBorder="1"/>
    <xf numFmtId="0" fontId="32" fillId="0" borderId="30" xfId="19" applyFont="1" applyFill="1" applyBorder="1" applyAlignment="1">
      <alignment vertical="center" wrapText="1"/>
    </xf>
    <xf numFmtId="0" fontId="32" fillId="0" borderId="34" xfId="19" applyFont="1" applyFill="1" applyBorder="1" applyAlignment="1">
      <alignment vertical="center" wrapText="1"/>
    </xf>
    <xf numFmtId="0" fontId="33" fillId="0" borderId="35" xfId="19" applyFont="1" applyBorder="1" applyAlignment="1">
      <alignment wrapText="1"/>
    </xf>
    <xf numFmtId="0" fontId="33" fillId="0" borderId="36" xfId="19" applyFont="1" applyBorder="1"/>
    <xf numFmtId="0" fontId="31" fillId="0" borderId="33" xfId="19" applyFont="1" applyFill="1" applyBorder="1" applyAlignment="1">
      <alignment horizontal="left" vertical="center" wrapText="1"/>
    </xf>
    <xf numFmtId="0" fontId="31" fillId="0" borderId="37" xfId="19" applyFont="1" applyFill="1" applyBorder="1" applyAlignment="1">
      <alignment vertical="center" wrapText="1"/>
    </xf>
    <xf numFmtId="0" fontId="2" fillId="0" borderId="34" xfId="19" applyFill="1" applyBorder="1"/>
    <xf numFmtId="0" fontId="33" fillId="0" borderId="35" xfId="19" applyFont="1" applyBorder="1" applyAlignment="1">
      <alignment vertical="center" wrapText="1"/>
    </xf>
    <xf numFmtId="0" fontId="31" fillId="0" borderId="33" xfId="19" applyFont="1" applyBorder="1" applyAlignment="1">
      <alignment horizontal="left" vertical="center" wrapText="1"/>
    </xf>
    <xf numFmtId="0" fontId="31" fillId="0" borderId="33" xfId="19" applyFont="1" applyBorder="1" applyAlignment="1">
      <alignment vertical="center" wrapText="1"/>
    </xf>
    <xf numFmtId="0" fontId="2" fillId="0" borderId="33" xfId="19" applyBorder="1"/>
    <xf numFmtId="0" fontId="2" fillId="0" borderId="34" xfId="19" applyBorder="1"/>
    <xf numFmtId="0" fontId="33" fillId="0" borderId="40" xfId="19" applyFont="1" applyBorder="1"/>
    <xf numFmtId="0" fontId="31" fillId="0" borderId="32" xfId="19" applyFont="1" applyBorder="1" applyAlignment="1">
      <alignment vertical="center" wrapText="1"/>
    </xf>
    <xf numFmtId="0" fontId="32" fillId="0" borderId="39" xfId="19" applyFont="1" applyFill="1" applyBorder="1" applyAlignment="1">
      <alignment vertical="center" wrapText="1"/>
    </xf>
    <xf numFmtId="0" fontId="30" fillId="0" borderId="33" xfId="19" applyFont="1" applyBorder="1" applyAlignment="1">
      <alignment horizontal="center" vertical="center" wrapText="1"/>
    </xf>
    <xf numFmtId="0" fontId="31" fillId="7" borderId="33" xfId="19" applyFont="1" applyFill="1" applyBorder="1" applyAlignment="1">
      <alignment vertical="center" wrapText="1"/>
    </xf>
    <xf numFmtId="0" fontId="31" fillId="7" borderId="34" xfId="19" applyFont="1" applyFill="1" applyBorder="1" applyAlignment="1">
      <alignment vertical="center" wrapText="1"/>
    </xf>
    <xf numFmtId="0" fontId="31" fillId="0" borderId="30" xfId="19" applyFont="1" applyFill="1" applyBorder="1" applyAlignment="1">
      <alignment vertical="center" wrapText="1"/>
    </xf>
    <xf numFmtId="0" fontId="31" fillId="7" borderId="30" xfId="19" applyFont="1" applyFill="1" applyBorder="1" applyAlignment="1">
      <alignment vertical="center" wrapText="1"/>
    </xf>
    <xf numFmtId="0" fontId="28" fillId="0" borderId="0" xfId="19" applyFont="1" applyAlignment="1">
      <alignment vertical="center"/>
    </xf>
    <xf numFmtId="0" fontId="33" fillId="0" borderId="0" xfId="19" applyFont="1" applyAlignment="1">
      <alignment vertical="center"/>
    </xf>
    <xf numFmtId="164" fontId="0" fillId="0" borderId="41" xfId="20" applyFont="1" applyBorder="1"/>
    <xf numFmtId="0" fontId="34" fillId="0" borderId="0" xfId="19" applyFont="1" applyBorder="1" applyAlignment="1">
      <alignment vertical="center"/>
    </xf>
    <xf numFmtId="0" fontId="2" fillId="0" borderId="0" xfId="19" applyBorder="1" applyAlignment="1">
      <alignment vertical="center"/>
    </xf>
    <xf numFmtId="0" fontId="2" fillId="0" borderId="0" xfId="19" applyBorder="1" applyAlignment="1">
      <alignment horizontal="center" wrapText="1"/>
    </xf>
    <xf numFmtId="0" fontId="28" fillId="0" borderId="30" xfId="19" applyFont="1" applyBorder="1" applyAlignment="1">
      <alignment vertical="center"/>
    </xf>
    <xf numFmtId="0" fontId="2" fillId="0" borderId="30" xfId="19" applyBorder="1" applyAlignment="1">
      <alignment vertical="center"/>
    </xf>
    <xf numFmtId="0" fontId="29" fillId="0" borderId="0" xfId="19" applyFont="1" applyBorder="1" applyAlignment="1">
      <alignment horizontal="left"/>
    </xf>
    <xf numFmtId="0" fontId="29" fillId="0" borderId="0" xfId="19" applyFont="1" applyBorder="1" applyAlignment="1">
      <alignment horizontal="center"/>
    </xf>
    <xf numFmtId="0" fontId="28" fillId="0" borderId="33" xfId="19" applyFont="1" applyBorder="1" applyAlignment="1">
      <alignment vertical="center"/>
    </xf>
    <xf numFmtId="0" fontId="2" fillId="0" borderId="33" xfId="19" applyBorder="1" applyAlignment="1">
      <alignment vertical="center"/>
    </xf>
    <xf numFmtId="0" fontId="33" fillId="0" borderId="0" xfId="19" applyFont="1" applyBorder="1"/>
    <xf numFmtId="0" fontId="2" fillId="0" borderId="0" xfId="19" applyBorder="1"/>
    <xf numFmtId="0" fontId="30" fillId="0" borderId="0" xfId="19" applyFont="1" applyAlignment="1">
      <alignment vertical="center"/>
    </xf>
    <xf numFmtId="164" fontId="2" fillId="0" borderId="0" xfId="21" applyFont="1"/>
    <xf numFmtId="0" fontId="37" fillId="0" borderId="0" xfId="19" applyFont="1" applyAlignment="1">
      <alignment vertical="center"/>
    </xf>
    <xf numFmtId="0" fontId="2" fillId="0" borderId="0" xfId="19" applyFont="1" applyAlignment="1">
      <alignment vertical="center"/>
    </xf>
    <xf numFmtId="0" fontId="2" fillId="0" borderId="0" xfId="19" applyFont="1"/>
    <xf numFmtId="164" fontId="2" fillId="0" borderId="0" xfId="20" applyFont="1"/>
    <xf numFmtId="0" fontId="2" fillId="0" borderId="0" xfId="19" applyFont="1" applyAlignment="1">
      <alignment horizontal="center" wrapText="1"/>
    </xf>
    <xf numFmtId="164" fontId="2" fillId="0" borderId="0" xfId="19" applyNumberFormat="1"/>
    <xf numFmtId="0" fontId="38" fillId="0" borderId="0" xfId="19" applyFont="1" applyAlignment="1">
      <alignment vertical="center"/>
    </xf>
    <xf numFmtId="0" fontId="20" fillId="0" borderId="0" xfId="19" applyFont="1" applyAlignment="1">
      <alignment vertical="center"/>
    </xf>
    <xf numFmtId="0" fontId="0" fillId="0" borderId="0" xfId="19" applyFont="1" applyAlignment="1">
      <alignment vertical="center"/>
    </xf>
    <xf numFmtId="0" fontId="38" fillId="0" borderId="0" xfId="19" applyFont="1" applyAlignment="1">
      <alignment horizontal="center" vertical="center" wrapText="1"/>
    </xf>
    <xf numFmtId="0" fontId="0" fillId="0" borderId="0" xfId="19" applyFont="1"/>
    <xf numFmtId="0" fontId="31" fillId="0" borderId="33" xfId="19" applyFont="1" applyFill="1" applyBorder="1" applyAlignment="1">
      <alignment horizontal="left" vertical="center" wrapText="1" indent="1"/>
    </xf>
    <xf numFmtId="0" fontId="13" fillId="0" borderId="7" xfId="0" applyFont="1" applyFill="1" applyBorder="1" applyAlignment="1" applyProtection="1">
      <alignment vertical="top" wrapText="1"/>
      <protection locked="0"/>
    </xf>
    <xf numFmtId="0" fontId="13" fillId="0" borderId="7" xfId="0" applyFont="1" applyFill="1" applyBorder="1" applyAlignment="1" applyProtection="1">
      <alignment vertical="top"/>
      <protection locked="0"/>
    </xf>
    <xf numFmtId="0" fontId="13" fillId="3" borderId="7" xfId="0" applyFont="1" applyFill="1" applyBorder="1" applyAlignment="1" applyProtection="1">
      <alignment vertical="top"/>
      <protection locked="0"/>
    </xf>
    <xf numFmtId="0" fontId="13" fillId="3" borderId="7" xfId="0" applyFont="1" applyFill="1" applyBorder="1" applyAlignment="1" applyProtection="1">
      <alignment vertical="top" wrapText="1"/>
      <protection locked="0"/>
    </xf>
    <xf numFmtId="0" fontId="39" fillId="0" borderId="7" xfId="0" applyFont="1" applyFill="1" applyBorder="1" applyAlignment="1" applyProtection="1">
      <alignment vertical="top"/>
      <protection locked="0"/>
    </xf>
    <xf numFmtId="0" fontId="21" fillId="0" borderId="0" xfId="0" applyFont="1"/>
    <xf numFmtId="0" fontId="41" fillId="0" borderId="0" xfId="22" applyFont="1" applyAlignment="1" applyProtection="1">
      <alignment horizontal="left" vertical="center" wrapText="1"/>
    </xf>
    <xf numFmtId="4" fontId="41" fillId="0" borderId="0" xfId="22" applyNumberFormat="1" applyFont="1" applyAlignment="1" applyProtection="1">
      <alignment horizontal="left" vertical="center" wrapText="1"/>
    </xf>
    <xf numFmtId="0" fontId="43" fillId="0" borderId="0" xfId="22" applyFont="1" applyAlignment="1" applyProtection="1">
      <alignment horizontal="center" vertical="center"/>
    </xf>
    <xf numFmtId="0" fontId="43" fillId="0" borderId="0" xfId="22" applyFont="1" applyAlignment="1" applyProtection="1">
      <alignment horizontal="left" vertical="center" indent="42"/>
    </xf>
    <xf numFmtId="0" fontId="40" fillId="0" borderId="0" xfId="22" applyFont="1" applyAlignment="1" applyProtection="1">
      <alignment horizontal="center" vertical="center"/>
    </xf>
    <xf numFmtId="0" fontId="45" fillId="0" borderId="0" xfId="22" applyFont="1" applyAlignment="1" applyProtection="1">
      <alignment horizontal="left" vertical="center" wrapText="1"/>
    </xf>
    <xf numFmtId="0" fontId="45" fillId="0" borderId="0" xfId="22" applyFont="1" applyFill="1" applyBorder="1" applyAlignment="1" applyProtection="1">
      <alignment vertical="top"/>
      <protection locked="0"/>
    </xf>
    <xf numFmtId="4" fontId="45" fillId="0" borderId="0" xfId="22" applyNumberFormat="1" applyFont="1" applyFill="1" applyAlignment="1" applyProtection="1">
      <alignment horizontal="right" vertical="center"/>
    </xf>
    <xf numFmtId="0" fontId="45" fillId="8" borderId="43" xfId="22" applyFont="1" applyFill="1" applyBorder="1" applyAlignment="1" applyProtection="1">
      <alignment horizontal="left" vertical="center"/>
    </xf>
    <xf numFmtId="0" fontId="0" fillId="0" borderId="0" xfId="0" applyFill="1" applyBorder="1"/>
    <xf numFmtId="4" fontId="45" fillId="0" borderId="0" xfId="22" applyNumberFormat="1" applyFont="1" applyFill="1" applyBorder="1" applyAlignment="1" applyProtection="1">
      <alignment horizontal="left" vertical="center" indent="6"/>
    </xf>
    <xf numFmtId="0" fontId="45" fillId="0" borderId="0" xfId="22" applyFont="1" applyAlignment="1" applyProtection="1">
      <alignment vertical="center"/>
    </xf>
    <xf numFmtId="0" fontId="45" fillId="0" borderId="0" xfId="22" applyFont="1" applyFill="1" applyAlignment="1" applyProtection="1">
      <alignment horizontal="left" vertical="center" indent="1"/>
    </xf>
    <xf numFmtId="4" fontId="46" fillId="0" borderId="0" xfId="22" applyNumberFormat="1" applyFont="1" applyAlignment="1" applyProtection="1">
      <alignment vertical="center"/>
    </xf>
    <xf numFmtId="4" fontId="45" fillId="0" borderId="0" xfId="22" applyNumberFormat="1" applyFont="1" applyFill="1" applyAlignment="1" applyProtection="1">
      <alignment vertical="center"/>
    </xf>
    <xf numFmtId="0" fontId="45" fillId="0" borderId="0" xfId="22" applyFont="1" applyFill="1" applyAlignment="1" applyProtection="1">
      <alignment vertical="center"/>
    </xf>
    <xf numFmtId="0" fontId="45" fillId="0" borderId="0" xfId="22" applyFont="1" applyFill="1" applyBorder="1" applyAlignment="1" applyProtection="1">
      <alignment vertical="center"/>
    </xf>
    <xf numFmtId="4" fontId="0" fillId="0" borderId="0" xfId="0" applyNumberFormat="1"/>
    <xf numFmtId="0" fontId="49" fillId="9" borderId="50" xfId="22" applyFont="1" applyFill="1" applyBorder="1" applyAlignment="1" applyProtection="1">
      <alignment horizontal="center" vertical="center" wrapText="1"/>
    </xf>
    <xf numFmtId="4" fontId="48" fillId="9" borderId="50" xfId="22" applyNumberFormat="1" applyFont="1" applyFill="1" applyBorder="1" applyAlignment="1" applyProtection="1">
      <alignment horizontal="center" vertical="center" wrapText="1"/>
    </xf>
    <xf numFmtId="4" fontId="48" fillId="9" borderId="48" xfId="22" applyNumberFormat="1" applyFont="1" applyFill="1" applyBorder="1" applyAlignment="1" applyProtection="1">
      <alignment horizontal="center" vertical="center" wrapText="1"/>
    </xf>
    <xf numFmtId="0" fontId="50" fillId="0" borderId="0" xfId="22" applyFont="1" applyFill="1" applyAlignment="1" applyProtection="1">
      <alignment vertical="center" wrapText="1"/>
    </xf>
    <xf numFmtId="0" fontId="50" fillId="0" borderId="0" xfId="22" applyFont="1" applyAlignment="1" applyProtection="1">
      <alignment vertical="center" wrapText="1"/>
    </xf>
    <xf numFmtId="0" fontId="46" fillId="0" borderId="0" xfId="22" applyFont="1" applyAlignment="1" applyProtection="1">
      <alignment vertical="center" wrapText="1"/>
    </xf>
    <xf numFmtId="0" fontId="41" fillId="11" borderId="46" xfId="22" applyFont="1" applyFill="1" applyBorder="1" applyAlignment="1" applyProtection="1">
      <alignment horizontal="left" vertical="center"/>
    </xf>
    <xf numFmtId="0" fontId="51" fillId="11" borderId="47" xfId="22" applyFont="1" applyFill="1" applyBorder="1" applyAlignment="1" applyProtection="1">
      <alignment horizontal="left" vertical="center"/>
    </xf>
    <xf numFmtId="0" fontId="46" fillId="11" borderId="47" xfId="22" applyFont="1" applyFill="1" applyBorder="1" applyAlignment="1" applyProtection="1">
      <alignment vertical="center" wrapText="1"/>
    </xf>
    <xf numFmtId="4" fontId="46" fillId="11" borderId="47" xfId="22" applyNumberFormat="1" applyFont="1" applyFill="1" applyBorder="1" applyAlignment="1" applyProtection="1">
      <alignment vertical="center" wrapText="1"/>
    </xf>
    <xf numFmtId="4" fontId="52" fillId="11" borderId="47" xfId="22" applyNumberFormat="1" applyFont="1" applyFill="1" applyBorder="1" applyAlignment="1" applyProtection="1">
      <alignment horizontal="center" vertical="center" wrapText="1"/>
    </xf>
    <xf numFmtId="4" fontId="46" fillId="11" borderId="51" xfId="22" applyNumberFormat="1" applyFont="1" applyFill="1" applyBorder="1" applyAlignment="1" applyProtection="1">
      <alignment vertical="center" wrapText="1"/>
    </xf>
    <xf numFmtId="0" fontId="40" fillId="7" borderId="52" xfId="22" applyFont="1" applyFill="1" applyBorder="1" applyAlignment="1" applyProtection="1">
      <alignment horizontal="center" vertical="center" wrapText="1"/>
    </xf>
    <xf numFmtId="0" fontId="40" fillId="7" borderId="0" xfId="22" applyFont="1" applyFill="1" applyBorder="1" applyAlignment="1" applyProtection="1">
      <alignment horizontal="center" vertical="center" wrapText="1"/>
    </xf>
    <xf numFmtId="0" fontId="46" fillId="7" borderId="53" xfId="22" applyFont="1" applyFill="1" applyBorder="1" applyAlignment="1" applyProtection="1">
      <alignment horizontal="left" vertical="center" wrapText="1"/>
    </xf>
    <xf numFmtId="0" fontId="46" fillId="7" borderId="54" xfId="22" applyFont="1" applyFill="1" applyBorder="1" applyAlignment="1" applyProtection="1">
      <alignment horizontal="center" vertical="center" wrapText="1"/>
    </xf>
    <xf numFmtId="1" fontId="46" fillId="8" borderId="53" xfId="22" applyNumberFormat="1" applyFont="1" applyFill="1" applyBorder="1" applyAlignment="1" applyProtection="1">
      <alignment horizontal="center" vertical="center" wrapText="1"/>
      <protection locked="0"/>
    </xf>
    <xf numFmtId="0" fontId="46" fillId="8" borderId="53" xfId="22" applyFont="1" applyFill="1" applyBorder="1" applyAlignment="1" applyProtection="1">
      <alignment horizontal="center" vertical="center" wrapText="1"/>
      <protection locked="0"/>
    </xf>
    <xf numFmtId="1" fontId="46" fillId="7" borderId="53" xfId="22" applyNumberFormat="1" applyFont="1" applyFill="1" applyBorder="1" applyAlignment="1" applyProtection="1">
      <alignment horizontal="center" vertical="center" wrapText="1"/>
    </xf>
    <xf numFmtId="4" fontId="46" fillId="7" borderId="53" xfId="22" applyNumberFormat="1" applyFont="1" applyFill="1" applyBorder="1" applyAlignment="1" applyProtection="1">
      <alignment horizontal="center" vertical="center" wrapText="1"/>
    </xf>
    <xf numFmtId="0" fontId="46" fillId="7" borderId="53" xfId="22" applyFont="1" applyFill="1" applyBorder="1" applyAlignment="1" applyProtection="1">
      <alignment horizontal="center" vertical="center" wrapText="1"/>
    </xf>
    <xf numFmtId="4" fontId="46" fillId="8" borderId="53" xfId="22" applyNumberFormat="1" applyFont="1" applyFill="1" applyBorder="1" applyAlignment="1" applyProtection="1">
      <alignment horizontal="center" vertical="center" wrapText="1"/>
      <protection locked="0"/>
    </xf>
    <xf numFmtId="4" fontId="52" fillId="7" borderId="55" xfId="22" applyNumberFormat="1" applyFont="1" applyFill="1" applyBorder="1" applyAlignment="1" applyProtection="1">
      <alignment vertical="center" wrapText="1"/>
    </xf>
    <xf numFmtId="4" fontId="46" fillId="11" borderId="47" xfId="22" applyNumberFormat="1" applyFont="1" applyFill="1" applyBorder="1" applyAlignment="1" applyProtection="1">
      <alignment horizontal="center" vertical="center" wrapText="1"/>
    </xf>
    <xf numFmtId="4" fontId="52" fillId="11" borderId="51" xfId="22" applyNumberFormat="1" applyFont="1" applyFill="1" applyBorder="1" applyAlignment="1" applyProtection="1">
      <alignment vertical="center" wrapText="1"/>
    </xf>
    <xf numFmtId="0" fontId="40" fillId="7" borderId="56" xfId="22" applyFont="1" applyFill="1" applyBorder="1" applyAlignment="1" applyProtection="1">
      <alignment horizontal="center" vertical="center" wrapText="1"/>
    </xf>
    <xf numFmtId="0" fontId="40" fillId="7" borderId="43" xfId="22" applyFont="1" applyFill="1" applyBorder="1" applyAlignment="1" applyProtection="1">
      <alignment horizontal="center" vertical="center" wrapText="1"/>
    </xf>
    <xf numFmtId="0" fontId="46" fillId="7" borderId="30" xfId="22" applyFont="1" applyFill="1" applyBorder="1" applyAlignment="1" applyProtection="1">
      <alignment horizontal="left" vertical="center" wrapText="1"/>
    </xf>
    <xf numFmtId="0" fontId="46" fillId="7" borderId="36" xfId="22" applyFont="1" applyFill="1" applyBorder="1" applyAlignment="1" applyProtection="1">
      <alignment horizontal="center" vertical="center" wrapText="1"/>
    </xf>
    <xf numFmtId="4" fontId="46" fillId="7" borderId="30" xfId="22" applyNumberFormat="1" applyFont="1" applyFill="1" applyBorder="1" applyAlignment="1" applyProtection="1">
      <alignment horizontal="center" vertical="center" wrapText="1"/>
    </xf>
    <xf numFmtId="4" fontId="52" fillId="7" borderId="31" xfId="22" applyNumberFormat="1" applyFont="1" applyFill="1" applyBorder="1" applyAlignment="1" applyProtection="1">
      <alignment vertical="center" wrapText="1"/>
    </xf>
    <xf numFmtId="0" fontId="40" fillId="7" borderId="57" xfId="22" applyFont="1" applyFill="1" applyBorder="1" applyAlignment="1" applyProtection="1">
      <alignment horizontal="center" vertical="center" wrapText="1"/>
    </xf>
    <xf numFmtId="0" fontId="46" fillId="7" borderId="58" xfId="22" applyFont="1" applyFill="1" applyBorder="1" applyAlignment="1" applyProtection="1">
      <alignment horizontal="left" vertical="center" wrapText="1"/>
    </xf>
    <xf numFmtId="0" fontId="46" fillId="7" borderId="40" xfId="22" applyFont="1" applyFill="1" applyBorder="1" applyAlignment="1" applyProtection="1">
      <alignment horizontal="center" vertical="center" wrapText="1"/>
    </xf>
    <xf numFmtId="4" fontId="46" fillId="8" borderId="24" xfId="22" applyNumberFormat="1" applyFont="1" applyFill="1" applyBorder="1" applyAlignment="1" applyProtection="1">
      <alignment horizontal="center" vertical="center" wrapText="1"/>
      <protection locked="0"/>
    </xf>
    <xf numFmtId="0" fontId="46" fillId="11" borderId="45" xfId="22" applyFont="1" applyFill="1" applyBorder="1" applyAlignment="1" applyProtection="1">
      <alignment vertical="center" wrapText="1"/>
    </xf>
    <xf numFmtId="4" fontId="46" fillId="11" borderId="45" xfId="22" applyNumberFormat="1" applyFont="1" applyFill="1" applyBorder="1" applyAlignment="1" applyProtection="1">
      <alignment vertical="center" wrapText="1"/>
    </xf>
    <xf numFmtId="1" fontId="46" fillId="8" borderId="33" xfId="22" applyNumberFormat="1" applyFont="1" applyFill="1" applyBorder="1" applyAlignment="1" applyProtection="1">
      <alignment horizontal="center" vertical="center" wrapText="1"/>
      <protection locked="0"/>
    </xf>
    <xf numFmtId="0" fontId="46" fillId="8" borderId="33" xfId="22" applyFont="1" applyFill="1" applyBorder="1" applyAlignment="1" applyProtection="1">
      <alignment horizontal="center" vertical="center" wrapText="1"/>
      <protection locked="0"/>
    </xf>
    <xf numFmtId="1" fontId="46" fillId="7" borderId="33" xfId="22" applyNumberFormat="1" applyFont="1" applyFill="1" applyBorder="1" applyAlignment="1" applyProtection="1">
      <alignment horizontal="center" vertical="center" wrapText="1"/>
    </xf>
    <xf numFmtId="4" fontId="46" fillId="7" borderId="33" xfId="22" applyNumberFormat="1" applyFont="1" applyFill="1" applyBorder="1" applyAlignment="1" applyProtection="1">
      <alignment horizontal="center" vertical="center" wrapText="1"/>
    </xf>
    <xf numFmtId="0" fontId="46" fillId="7" borderId="33" xfId="22" applyFont="1" applyFill="1" applyBorder="1" applyAlignment="1" applyProtection="1">
      <alignment horizontal="center" vertical="center" wrapText="1"/>
    </xf>
    <xf numFmtId="4" fontId="46" fillId="8" borderId="58" xfId="22" applyNumberFormat="1" applyFont="1" applyFill="1" applyBorder="1" applyAlignment="1" applyProtection="1">
      <alignment horizontal="center" vertical="center" wrapText="1"/>
      <protection locked="0"/>
    </xf>
    <xf numFmtId="0" fontId="40" fillId="7" borderId="38" xfId="22" applyFont="1" applyFill="1" applyBorder="1" applyAlignment="1" applyProtection="1">
      <alignment horizontal="center" vertical="center" wrapText="1"/>
    </xf>
    <xf numFmtId="0" fontId="46" fillId="7" borderId="33" xfId="22" applyFont="1" applyFill="1" applyBorder="1" applyAlignment="1" applyProtection="1">
      <alignment horizontal="left" vertical="center" wrapText="1"/>
    </xf>
    <xf numFmtId="0" fontId="46" fillId="7" borderId="35" xfId="22" applyFont="1" applyFill="1" applyBorder="1" applyAlignment="1" applyProtection="1">
      <alignment horizontal="center" vertical="center" wrapText="1"/>
    </xf>
    <xf numFmtId="4" fontId="46" fillId="8" borderId="33" xfId="22" applyNumberFormat="1" applyFont="1" applyFill="1" applyBorder="1" applyAlignment="1" applyProtection="1">
      <alignment horizontal="center" vertical="center" wrapText="1"/>
      <protection locked="0"/>
    </xf>
    <xf numFmtId="0" fontId="40" fillId="7" borderId="59" xfId="22" applyFont="1" applyFill="1" applyBorder="1" applyAlignment="1" applyProtection="1">
      <alignment horizontal="center" vertical="center" wrapText="1"/>
    </xf>
    <xf numFmtId="4" fontId="46" fillId="8" borderId="60" xfId="22" applyNumberFormat="1" applyFont="1" applyFill="1" applyBorder="1" applyAlignment="1" applyProtection="1">
      <alignment horizontal="center" vertical="center" wrapText="1"/>
      <protection locked="0"/>
    </xf>
    <xf numFmtId="0" fontId="46" fillId="11" borderId="49" xfId="22" applyFont="1" applyFill="1" applyBorder="1" applyAlignment="1" applyProtection="1">
      <alignment vertical="center" wrapText="1"/>
    </xf>
    <xf numFmtId="4" fontId="46" fillId="11" borderId="49" xfId="22" applyNumberFormat="1" applyFont="1" applyFill="1" applyBorder="1" applyAlignment="1" applyProtection="1">
      <alignment vertical="center" wrapText="1"/>
    </xf>
    <xf numFmtId="4" fontId="46" fillId="8" borderId="30" xfId="22" applyNumberFormat="1" applyFont="1" applyFill="1" applyBorder="1" applyAlignment="1" applyProtection="1">
      <alignment horizontal="center" vertical="center" wrapText="1"/>
      <protection locked="0"/>
    </xf>
    <xf numFmtId="0" fontId="40" fillId="7" borderId="32" xfId="22" applyFont="1" applyFill="1" applyBorder="1" applyAlignment="1" applyProtection="1">
      <alignment horizontal="center" vertical="center" wrapText="1"/>
    </xf>
    <xf numFmtId="0" fontId="40" fillId="7" borderId="30" xfId="22" applyFont="1" applyFill="1" applyBorder="1" applyAlignment="1" applyProtection="1">
      <alignment horizontal="center" vertical="center" wrapText="1"/>
    </xf>
    <xf numFmtId="0" fontId="40" fillId="7" borderId="42" xfId="22" applyFont="1" applyFill="1" applyBorder="1" applyAlignment="1" applyProtection="1">
      <alignment horizontal="center" vertical="center" wrapText="1"/>
    </xf>
    <xf numFmtId="0" fontId="46" fillId="7" borderId="30" xfId="22" applyNumberFormat="1" applyFont="1" applyFill="1" applyBorder="1" applyAlignment="1" applyProtection="1">
      <alignment horizontal="left" vertical="center" wrapText="1"/>
    </xf>
    <xf numFmtId="164" fontId="46" fillId="7" borderId="36" xfId="20" applyFont="1" applyFill="1" applyBorder="1" applyAlignment="1" applyProtection="1">
      <alignment horizontal="center" vertical="center" wrapText="1"/>
    </xf>
    <xf numFmtId="1" fontId="40" fillId="7" borderId="33" xfId="22" applyNumberFormat="1" applyFont="1" applyFill="1" applyBorder="1" applyAlignment="1" applyProtection="1">
      <alignment horizontal="center" vertical="center" wrapText="1"/>
    </xf>
    <xf numFmtId="0" fontId="40" fillId="7" borderId="37" xfId="22" applyFont="1" applyFill="1" applyBorder="1" applyAlignment="1" applyProtection="1">
      <alignment horizontal="center" vertical="center" wrapText="1"/>
    </xf>
    <xf numFmtId="0" fontId="46" fillId="7" borderId="33" xfId="22" applyNumberFormat="1" applyFont="1" applyFill="1" applyBorder="1" applyAlignment="1" applyProtection="1">
      <alignment horizontal="left" vertical="center" wrapText="1"/>
    </xf>
    <xf numFmtId="164" fontId="46" fillId="7" borderId="35" xfId="20" applyFont="1" applyFill="1" applyBorder="1" applyAlignment="1" applyProtection="1">
      <alignment horizontal="center" vertical="center" wrapText="1"/>
    </xf>
    <xf numFmtId="0" fontId="40" fillId="7" borderId="33" xfId="22" applyFont="1" applyFill="1" applyBorder="1" applyAlignment="1" applyProtection="1">
      <alignment horizontal="center" vertical="center" wrapText="1"/>
    </xf>
    <xf numFmtId="0" fontId="40" fillId="7" borderId="61" xfId="22" applyFont="1" applyFill="1" applyBorder="1" applyAlignment="1" applyProtection="1">
      <alignment horizontal="center" vertical="center" wrapText="1"/>
    </xf>
    <xf numFmtId="0" fontId="41" fillId="11" borderId="46" xfId="22" applyFont="1" applyFill="1" applyBorder="1" applyAlignment="1" applyProtection="1">
      <alignment vertical="center"/>
    </xf>
    <xf numFmtId="0" fontId="41" fillId="11" borderId="47" xfId="22" applyFont="1" applyFill="1" applyBorder="1" applyAlignment="1" applyProtection="1">
      <alignment vertical="center"/>
    </xf>
    <xf numFmtId="0" fontId="49" fillId="11" borderId="47" xfId="22" applyFont="1" applyFill="1" applyBorder="1" applyAlignment="1" applyProtection="1">
      <alignment vertical="center"/>
    </xf>
    <xf numFmtId="0" fontId="46" fillId="7" borderId="30" xfId="22" applyFont="1" applyFill="1" applyBorder="1" applyAlignment="1" applyProtection="1">
      <alignment horizontal="center" vertical="center" wrapText="1"/>
    </xf>
    <xf numFmtId="0" fontId="53" fillId="7" borderId="35" xfId="22" applyFont="1" applyFill="1" applyBorder="1" applyAlignment="1" applyProtection="1">
      <alignment horizontal="center" vertical="center" wrapText="1"/>
    </xf>
    <xf numFmtId="0" fontId="40" fillId="7" borderId="20" xfId="22" applyFont="1" applyFill="1" applyBorder="1" applyAlignment="1" applyProtection="1">
      <alignment horizontal="center" vertical="center" wrapText="1"/>
    </xf>
    <xf numFmtId="0" fontId="40" fillId="7" borderId="28" xfId="22" applyFont="1" applyFill="1" applyBorder="1" applyAlignment="1" applyProtection="1">
      <alignment horizontal="center" vertical="center" wrapText="1"/>
    </xf>
    <xf numFmtId="0" fontId="46" fillId="7" borderId="21" xfId="22" applyFont="1" applyFill="1" applyBorder="1" applyAlignment="1" applyProtection="1">
      <alignment horizontal="left" vertical="center" wrapText="1"/>
    </xf>
    <xf numFmtId="0" fontId="46" fillId="7" borderId="62" xfId="22" applyFont="1" applyFill="1" applyBorder="1" applyAlignment="1" applyProtection="1">
      <alignment horizontal="center" vertical="center" wrapText="1"/>
    </xf>
    <xf numFmtId="4" fontId="46" fillId="7" borderId="21" xfId="22" applyNumberFormat="1" applyFont="1" applyFill="1" applyBorder="1" applyAlignment="1" applyProtection="1">
      <alignment horizontal="center" vertical="center" wrapText="1"/>
    </xf>
    <xf numFmtId="4" fontId="46" fillId="8" borderId="21" xfId="22" applyNumberFormat="1" applyFont="1" applyFill="1" applyBorder="1" applyAlignment="1" applyProtection="1">
      <alignment horizontal="center" vertical="center" wrapText="1"/>
      <protection locked="0"/>
    </xf>
    <xf numFmtId="4" fontId="52" fillId="7" borderId="22" xfId="22" applyNumberFormat="1" applyFont="1" applyFill="1" applyBorder="1" applyAlignment="1" applyProtection="1">
      <alignment vertical="center" wrapText="1"/>
    </xf>
    <xf numFmtId="164" fontId="46" fillId="7" borderId="33" xfId="20" applyFont="1" applyFill="1" applyBorder="1" applyAlignment="1" applyProtection="1">
      <alignment horizontal="center" vertical="center" wrapText="1"/>
    </xf>
    <xf numFmtId="4" fontId="52" fillId="7" borderId="34" xfId="22" applyNumberFormat="1" applyFont="1" applyFill="1" applyBorder="1" applyAlignment="1" applyProtection="1">
      <alignment vertical="center" wrapText="1"/>
    </xf>
    <xf numFmtId="0" fontId="46" fillId="7" borderId="30" xfId="22" applyFont="1" applyFill="1" applyBorder="1" applyAlignment="1" applyProtection="1">
      <alignment vertical="center" wrapText="1"/>
    </xf>
    <xf numFmtId="0" fontId="40" fillId="0" borderId="56" xfId="22" applyFont="1" applyBorder="1" applyAlignment="1" applyProtection="1">
      <alignment horizontal="center" vertical="center" wrapText="1"/>
    </xf>
    <xf numFmtId="0" fontId="40" fillId="0" borderId="38" xfId="22" applyFont="1" applyBorder="1" applyAlignment="1" applyProtection="1">
      <alignment horizontal="center" vertical="center" wrapText="1"/>
    </xf>
    <xf numFmtId="0" fontId="46" fillId="0" borderId="30" xfId="22" applyFont="1" applyBorder="1" applyAlignment="1" applyProtection="1">
      <alignment horizontal="left" vertical="center" wrapText="1"/>
    </xf>
    <xf numFmtId="0" fontId="46" fillId="0" borderId="35" xfId="22" applyFont="1" applyBorder="1" applyAlignment="1" applyProtection="1">
      <alignment horizontal="center" vertical="center" wrapText="1"/>
    </xf>
    <xf numFmtId="4" fontId="46" fillId="0" borderId="30" xfId="22" applyNumberFormat="1" applyFont="1" applyFill="1" applyBorder="1" applyAlignment="1" applyProtection="1">
      <alignment horizontal="center" vertical="center" wrapText="1"/>
    </xf>
    <xf numFmtId="4" fontId="52" fillId="0" borderId="31" xfId="22" applyNumberFormat="1" applyFont="1" applyBorder="1" applyAlignment="1" applyProtection="1">
      <alignment vertical="center" wrapText="1"/>
    </xf>
    <xf numFmtId="0" fontId="46" fillId="0" borderId="35" xfId="22" applyFont="1" applyBorder="1" applyAlignment="1" applyProtection="1">
      <alignment horizontal="center" wrapText="1"/>
    </xf>
    <xf numFmtId="0" fontId="46" fillId="0" borderId="35" xfId="22" applyFont="1" applyFill="1" applyBorder="1" applyAlignment="1" applyProtection="1">
      <alignment horizontal="center" vertical="center" wrapText="1"/>
    </xf>
    <xf numFmtId="0" fontId="40" fillId="0" borderId="52" xfId="22" applyFont="1" applyBorder="1" applyAlignment="1" applyProtection="1">
      <alignment horizontal="center" vertical="center" wrapText="1"/>
    </xf>
    <xf numFmtId="0" fontId="40" fillId="0" borderId="57" xfId="22" applyFont="1" applyBorder="1" applyAlignment="1" applyProtection="1">
      <alignment horizontal="center" vertical="center" wrapText="1"/>
    </xf>
    <xf numFmtId="0" fontId="46" fillId="0" borderId="53" xfId="22" applyFont="1" applyBorder="1" applyAlignment="1" applyProtection="1">
      <alignment horizontal="left" vertical="center" wrapText="1"/>
    </xf>
    <xf numFmtId="0" fontId="46" fillId="0" borderId="40" xfId="22" applyFont="1" applyBorder="1" applyAlignment="1" applyProtection="1">
      <alignment horizontal="center" vertical="center" wrapText="1"/>
    </xf>
    <xf numFmtId="4" fontId="46" fillId="0" borderId="53" xfId="22" applyNumberFormat="1" applyFont="1" applyFill="1" applyBorder="1" applyAlignment="1" applyProtection="1">
      <alignment horizontal="center" vertical="center" wrapText="1"/>
    </xf>
    <xf numFmtId="4" fontId="52" fillId="0" borderId="55" xfId="22" applyNumberFormat="1" applyFont="1" applyBorder="1" applyAlignment="1" applyProtection="1">
      <alignment vertical="center" wrapText="1"/>
    </xf>
    <xf numFmtId="0" fontId="40" fillId="0" borderId="43" xfId="22" applyFont="1" applyBorder="1" applyAlignment="1" applyProtection="1">
      <alignment horizontal="center" vertical="center" wrapText="1"/>
    </xf>
    <xf numFmtId="0" fontId="46" fillId="0" borderId="36" xfId="22" applyFont="1" applyBorder="1" applyAlignment="1" applyProtection="1">
      <alignment horizontal="center" vertical="center" wrapText="1"/>
    </xf>
    <xf numFmtId="0" fontId="40" fillId="7" borderId="53" xfId="22" applyFont="1" applyFill="1" applyBorder="1" applyAlignment="1" applyProtection="1">
      <alignment horizontal="center" vertical="center" wrapText="1"/>
    </xf>
    <xf numFmtId="0" fontId="40" fillId="0" borderId="46" xfId="22" applyFont="1" applyBorder="1" applyAlignment="1" applyProtection="1">
      <alignment horizontal="center" vertical="center" wrapText="1"/>
    </xf>
    <xf numFmtId="0" fontId="40" fillId="0" borderId="47" xfId="22" applyFont="1" applyBorder="1" applyAlignment="1" applyProtection="1">
      <alignment horizontal="center" vertical="center" wrapText="1"/>
    </xf>
    <xf numFmtId="0" fontId="46" fillId="0" borderId="63" xfId="22" applyFont="1" applyBorder="1" applyAlignment="1" applyProtection="1">
      <alignment horizontal="left" vertical="center" wrapText="1"/>
    </xf>
    <xf numFmtId="0" fontId="46" fillId="0" borderId="63" xfId="22" applyFont="1" applyBorder="1" applyAlignment="1" applyProtection="1">
      <alignment horizontal="center" vertical="center" wrapText="1"/>
    </xf>
    <xf numFmtId="0" fontId="46" fillId="0" borderId="64" xfId="22" applyFont="1" applyBorder="1" applyAlignment="1" applyProtection="1">
      <alignment horizontal="center" vertical="center" wrapText="1"/>
    </xf>
    <xf numFmtId="0" fontId="46" fillId="0" borderId="64" xfId="22" applyFont="1" applyFill="1" applyBorder="1" applyAlignment="1" applyProtection="1">
      <alignment horizontal="center" vertical="center" wrapText="1"/>
    </xf>
    <xf numFmtId="4" fontId="46" fillId="0" borderId="64" xfId="22" applyNumberFormat="1" applyFont="1" applyFill="1" applyBorder="1" applyAlignment="1" applyProtection="1">
      <alignment horizontal="center" vertical="center" wrapText="1"/>
    </xf>
    <xf numFmtId="0" fontId="41" fillId="11" borderId="44" xfId="22" applyNumberFormat="1" applyFont="1" applyFill="1" applyBorder="1" applyAlignment="1">
      <alignment horizontal="left" vertical="center"/>
    </xf>
    <xf numFmtId="0" fontId="51" fillId="11" borderId="66" xfId="22" applyNumberFormat="1" applyFont="1" applyFill="1" applyBorder="1" applyAlignment="1">
      <alignment horizontal="left" vertical="center"/>
    </xf>
    <xf numFmtId="0" fontId="51" fillId="11" borderId="67" xfId="22" applyNumberFormat="1" applyFont="1" applyFill="1" applyBorder="1" applyAlignment="1">
      <alignment horizontal="left" vertical="center"/>
    </xf>
    <xf numFmtId="0" fontId="46" fillId="11" borderId="67" xfId="22" applyNumberFormat="1" applyFont="1" applyFill="1" applyBorder="1" applyAlignment="1">
      <alignment vertical="center" wrapText="1"/>
    </xf>
    <xf numFmtId="4" fontId="46" fillId="11" borderId="67" xfId="22" applyNumberFormat="1" applyFont="1" applyFill="1" applyBorder="1" applyAlignment="1">
      <alignment vertical="center" wrapText="1"/>
    </xf>
    <xf numFmtId="4" fontId="52" fillId="11" borderId="67" xfId="22" applyNumberFormat="1" applyFont="1" applyFill="1" applyBorder="1" applyAlignment="1">
      <alignment horizontal="center" vertical="center" wrapText="1"/>
    </xf>
    <xf numFmtId="4" fontId="46" fillId="11" borderId="68" xfId="22" applyNumberFormat="1" applyFont="1" applyFill="1" applyBorder="1" applyAlignment="1">
      <alignment vertical="center" wrapText="1"/>
    </xf>
    <xf numFmtId="1" fontId="40" fillId="7" borderId="69" xfId="22" applyNumberFormat="1" applyFont="1" applyFill="1" applyBorder="1" applyAlignment="1">
      <alignment horizontal="right" vertical="center" wrapText="1"/>
    </xf>
    <xf numFmtId="49" fontId="40" fillId="7" borderId="70" xfId="22" applyNumberFormat="1" applyFont="1" applyFill="1" applyBorder="1" applyAlignment="1">
      <alignment horizontal="center" vertical="center" wrapText="1"/>
    </xf>
    <xf numFmtId="49" fontId="46" fillId="0" borderId="70" xfId="22" applyNumberFormat="1" applyFont="1" applyFill="1" applyBorder="1" applyAlignment="1">
      <alignment horizontal="left" vertical="center" wrapText="1"/>
    </xf>
    <xf numFmtId="49" fontId="46" fillId="7" borderId="70" xfId="22" applyNumberFormat="1" applyFont="1" applyFill="1" applyBorder="1" applyAlignment="1">
      <alignment horizontal="center" vertical="center" wrapText="1"/>
    </xf>
    <xf numFmtId="4" fontId="46" fillId="7" borderId="70" xfId="22" applyNumberFormat="1" applyFont="1" applyFill="1" applyBorder="1" applyAlignment="1">
      <alignment horizontal="center" vertical="center" wrapText="1"/>
    </xf>
    <xf numFmtId="4" fontId="52" fillId="8" borderId="70" xfId="22" applyNumberFormat="1" applyFont="1" applyFill="1" applyBorder="1" applyAlignment="1" applyProtection="1">
      <alignment horizontal="center" vertical="center" wrapText="1"/>
      <protection locked="0"/>
    </xf>
    <xf numFmtId="4" fontId="52" fillId="7" borderId="71" xfId="22" applyNumberFormat="1" applyFont="1" applyFill="1" applyBorder="1" applyAlignment="1">
      <alignment vertical="center" wrapText="1"/>
    </xf>
    <xf numFmtId="49" fontId="40" fillId="0" borderId="69" xfId="22" applyNumberFormat="1" applyFont="1" applyBorder="1" applyAlignment="1">
      <alignment horizontal="left" vertical="center" wrapText="1"/>
    </xf>
    <xf numFmtId="49" fontId="46" fillId="0" borderId="69" xfId="22" applyNumberFormat="1" applyFont="1" applyFill="1" applyBorder="1" applyAlignment="1">
      <alignment horizontal="left" vertical="center" wrapText="1"/>
    </xf>
    <xf numFmtId="164" fontId="46" fillId="0" borderId="69" xfId="20" applyNumberFormat="1" applyFont="1" applyBorder="1" applyAlignment="1">
      <alignment horizontal="center" vertical="center" wrapText="1"/>
    </xf>
    <xf numFmtId="4" fontId="46" fillId="7" borderId="69" xfId="22" applyNumberFormat="1" applyFont="1" applyFill="1" applyBorder="1" applyAlignment="1">
      <alignment horizontal="center" vertical="center" wrapText="1"/>
    </xf>
    <xf numFmtId="4" fontId="52" fillId="8" borderId="69" xfId="22" applyNumberFormat="1" applyFont="1" applyFill="1" applyBorder="1" applyAlignment="1" applyProtection="1">
      <alignment horizontal="center" vertical="center" wrapText="1"/>
      <protection locked="0"/>
    </xf>
    <xf numFmtId="4" fontId="52" fillId="7" borderId="72" xfId="22" applyNumberFormat="1" applyFont="1" applyFill="1" applyBorder="1" applyAlignment="1">
      <alignment vertical="center" wrapText="1"/>
    </xf>
    <xf numFmtId="0" fontId="40" fillId="7" borderId="69" xfId="22" applyNumberFormat="1" applyFont="1" applyFill="1" applyBorder="1" applyAlignment="1">
      <alignment horizontal="right" vertical="center" wrapText="1"/>
    </xf>
    <xf numFmtId="49" fontId="40" fillId="0" borderId="69" xfId="22" applyNumberFormat="1" applyFont="1" applyBorder="1" applyAlignment="1">
      <alignment horizontal="center" vertical="center" wrapText="1"/>
    </xf>
    <xf numFmtId="49" fontId="46" fillId="7" borderId="69" xfId="22" applyNumberFormat="1" applyFont="1" applyFill="1" applyBorder="1" applyAlignment="1">
      <alignment horizontal="center" vertical="center" wrapText="1"/>
    </xf>
    <xf numFmtId="49" fontId="40" fillId="7" borderId="69" xfId="22" applyNumberFormat="1" applyFont="1" applyFill="1" applyBorder="1" applyAlignment="1">
      <alignment horizontal="center" vertical="center" wrapText="1"/>
    </xf>
    <xf numFmtId="1" fontId="40" fillId="7" borderId="73" xfId="22" applyNumberFormat="1" applyFont="1" applyFill="1" applyBorder="1" applyAlignment="1">
      <alignment horizontal="right" vertical="center" wrapText="1"/>
    </xf>
    <xf numFmtId="49" fontId="40" fillId="7" borderId="73" xfId="22" applyNumberFormat="1" applyFont="1" applyFill="1" applyBorder="1" applyAlignment="1">
      <alignment horizontal="center" vertical="center" wrapText="1"/>
    </xf>
    <xf numFmtId="49" fontId="46" fillId="0" borderId="73" xfId="22" applyNumberFormat="1" applyFont="1" applyFill="1" applyBorder="1" applyAlignment="1">
      <alignment horizontal="left" vertical="center" wrapText="1"/>
    </xf>
    <xf numFmtId="49" fontId="46" fillId="7" borderId="73" xfId="22" applyNumberFormat="1" applyFont="1" applyFill="1" applyBorder="1" applyAlignment="1">
      <alignment horizontal="center" vertical="center" wrapText="1"/>
    </xf>
    <xf numFmtId="4" fontId="46" fillId="7" borderId="73" xfId="22" applyNumberFormat="1" applyFont="1" applyFill="1" applyBorder="1" applyAlignment="1">
      <alignment horizontal="center" vertical="center" wrapText="1"/>
    </xf>
    <xf numFmtId="4" fontId="52" fillId="8" borderId="73" xfId="22" applyNumberFormat="1" applyFont="1" applyFill="1" applyBorder="1" applyAlignment="1" applyProtection="1">
      <alignment horizontal="center" vertical="center" wrapText="1"/>
      <protection locked="0"/>
    </xf>
    <xf numFmtId="4" fontId="52" fillId="7" borderId="25" xfId="22" applyNumberFormat="1" applyFont="1" applyFill="1" applyBorder="1" applyAlignment="1">
      <alignment vertical="center" wrapText="1"/>
    </xf>
    <xf numFmtId="0" fontId="41" fillId="12" borderId="74" xfId="22" applyNumberFormat="1" applyFont="1" applyFill="1" applyBorder="1" applyAlignment="1">
      <alignment horizontal="left" vertical="center" indent="7"/>
    </xf>
    <xf numFmtId="0" fontId="51" fillId="12" borderId="75" xfId="22" applyNumberFormat="1" applyFont="1" applyFill="1" applyBorder="1" applyAlignment="1">
      <alignment horizontal="left" vertical="center"/>
    </xf>
    <xf numFmtId="0" fontId="46" fillId="12" borderId="75" xfId="22" applyNumberFormat="1" applyFont="1" applyFill="1" applyBorder="1" applyAlignment="1">
      <alignment vertical="center" wrapText="1"/>
    </xf>
    <xf numFmtId="4" fontId="46" fillId="12" borderId="75" xfId="22" applyNumberFormat="1" applyFont="1" applyFill="1" applyBorder="1" applyAlignment="1">
      <alignment vertical="center" wrapText="1"/>
    </xf>
    <xf numFmtId="4" fontId="52" fillId="12" borderId="75" xfId="22" applyNumberFormat="1" applyFont="1" applyFill="1" applyBorder="1" applyAlignment="1">
      <alignment horizontal="center" vertical="center" wrapText="1"/>
    </xf>
    <xf numFmtId="4" fontId="46" fillId="12" borderId="76" xfId="22" applyNumberFormat="1" applyFont="1" applyFill="1" applyBorder="1" applyAlignment="1">
      <alignment vertical="center" wrapText="1"/>
    </xf>
    <xf numFmtId="0" fontId="40" fillId="7" borderId="44" xfId="22" applyNumberFormat="1" applyFont="1" applyFill="1" applyBorder="1" applyAlignment="1" applyProtection="1">
      <alignment horizontal="right" vertical="center" wrapText="1"/>
      <protection locked="0"/>
    </xf>
    <xf numFmtId="49" fontId="46" fillId="8" borderId="70" xfId="22" applyNumberFormat="1" applyFont="1" applyFill="1" applyBorder="1" applyAlignment="1" applyProtection="1">
      <alignment horizontal="left" vertical="center" wrapText="1"/>
      <protection locked="0"/>
    </xf>
    <xf numFmtId="164" fontId="46" fillId="8" borderId="70" xfId="20" applyNumberFormat="1" applyFont="1" applyFill="1" applyBorder="1" applyAlignment="1" applyProtection="1">
      <alignment horizontal="center" vertical="center" wrapText="1"/>
      <protection locked="0"/>
    </xf>
    <xf numFmtId="4" fontId="46" fillId="7" borderId="70" xfId="22" applyNumberFormat="1" applyFont="1" applyFill="1" applyBorder="1" applyAlignment="1" applyProtection="1">
      <alignment horizontal="center" vertical="center" wrapText="1"/>
      <protection locked="0"/>
    </xf>
    <xf numFmtId="4" fontId="52" fillId="7" borderId="71" xfId="22" applyNumberFormat="1" applyFont="1" applyFill="1" applyBorder="1" applyAlignment="1" applyProtection="1">
      <alignment vertical="center" wrapText="1"/>
      <protection locked="0"/>
    </xf>
    <xf numFmtId="0" fontId="40" fillId="7" borderId="77" xfId="22" applyNumberFormat="1" applyFont="1" applyFill="1" applyBorder="1" applyAlignment="1" applyProtection="1">
      <alignment horizontal="right" vertical="center" wrapText="1"/>
      <protection locked="0"/>
    </xf>
    <xf numFmtId="49" fontId="46" fillId="8" borderId="69" xfId="22" applyNumberFormat="1" applyFont="1" applyFill="1" applyBorder="1" applyAlignment="1" applyProtection="1">
      <alignment horizontal="left" vertical="center" wrapText="1"/>
      <protection locked="0"/>
    </xf>
    <xf numFmtId="164" fontId="46" fillId="8" borderId="69" xfId="20" applyNumberFormat="1" applyFont="1" applyFill="1" applyBorder="1" applyAlignment="1" applyProtection="1">
      <alignment horizontal="center" vertical="center" wrapText="1"/>
      <protection locked="0"/>
    </xf>
    <xf numFmtId="4" fontId="46" fillId="7" borderId="69" xfId="22" applyNumberFormat="1" applyFont="1" applyFill="1" applyBorder="1" applyAlignment="1" applyProtection="1">
      <alignment horizontal="center" vertical="center" wrapText="1"/>
      <protection locked="0"/>
    </xf>
    <xf numFmtId="4" fontId="52" fillId="7" borderId="72" xfId="22" applyNumberFormat="1" applyFont="1" applyFill="1" applyBorder="1" applyAlignment="1" applyProtection="1">
      <alignment vertical="center" wrapText="1"/>
      <protection locked="0"/>
    </xf>
    <xf numFmtId="1" fontId="40" fillId="7" borderId="78" xfId="22" applyNumberFormat="1" applyFont="1" applyFill="1" applyBorder="1" applyAlignment="1" applyProtection="1">
      <alignment horizontal="right" vertical="center" wrapText="1"/>
      <protection locked="0"/>
    </xf>
    <xf numFmtId="49" fontId="46" fillId="8" borderId="73" xfId="22" applyNumberFormat="1" applyFont="1" applyFill="1" applyBorder="1" applyAlignment="1" applyProtection="1">
      <alignment horizontal="left" vertical="center" wrapText="1"/>
      <protection locked="0"/>
    </xf>
    <xf numFmtId="164" fontId="46" fillId="8" borderId="73" xfId="20" applyNumberFormat="1" applyFont="1" applyFill="1" applyBorder="1" applyAlignment="1" applyProtection="1">
      <alignment horizontal="center" vertical="center" wrapText="1"/>
      <protection locked="0"/>
    </xf>
    <xf numFmtId="4" fontId="46" fillId="7" borderId="73" xfId="22" applyNumberFormat="1" applyFont="1" applyFill="1" applyBorder="1" applyAlignment="1" applyProtection="1">
      <alignment horizontal="center" vertical="center" wrapText="1"/>
      <protection locked="0"/>
    </xf>
    <xf numFmtId="4" fontId="52" fillId="7" borderId="25" xfId="22" applyNumberFormat="1" applyFont="1" applyFill="1" applyBorder="1" applyAlignment="1" applyProtection="1">
      <alignment vertical="center" wrapText="1"/>
      <protection locked="0"/>
    </xf>
    <xf numFmtId="0" fontId="51" fillId="11" borderId="79" xfId="22" applyFont="1" applyFill="1" applyBorder="1" applyAlignment="1" applyProtection="1">
      <alignment horizontal="left" vertical="center"/>
    </xf>
    <xf numFmtId="1" fontId="40" fillId="7" borderId="44" xfId="22" applyNumberFormat="1" applyFont="1" applyFill="1" applyBorder="1" applyAlignment="1">
      <alignment horizontal="center" vertical="center" wrapText="1"/>
    </xf>
    <xf numFmtId="0" fontId="40" fillId="7" borderId="70" xfId="22" applyNumberFormat="1" applyFont="1" applyFill="1" applyBorder="1" applyAlignment="1">
      <alignment horizontal="center" vertical="center" wrapText="1"/>
    </xf>
    <xf numFmtId="0" fontId="46" fillId="7" borderId="70" xfId="22" applyNumberFormat="1" applyFont="1" applyFill="1" applyBorder="1" applyAlignment="1">
      <alignment horizontal="left" vertical="center" wrapText="1"/>
    </xf>
    <xf numFmtId="0" fontId="46" fillId="7" borderId="70" xfId="22" applyNumberFormat="1" applyFont="1" applyFill="1" applyBorder="1" applyAlignment="1">
      <alignment horizontal="center" vertical="center" wrapText="1"/>
    </xf>
    <xf numFmtId="1" fontId="40" fillId="11" borderId="44" xfId="22" applyNumberFormat="1" applyFont="1" applyFill="1" applyBorder="1" applyAlignment="1">
      <alignment horizontal="center" vertical="center" wrapText="1"/>
    </xf>
    <xf numFmtId="0" fontId="40" fillId="11" borderId="45" xfId="22" applyNumberFormat="1" applyFont="1" applyFill="1" applyBorder="1" applyAlignment="1">
      <alignment horizontal="center" vertical="center" wrapText="1"/>
    </xf>
    <xf numFmtId="0" fontId="46" fillId="11" borderId="45" xfId="22" applyNumberFormat="1" applyFont="1" applyFill="1" applyBorder="1" applyAlignment="1">
      <alignment horizontal="left" vertical="center" wrapText="1"/>
    </xf>
    <xf numFmtId="0" fontId="46" fillId="11" borderId="45" xfId="22" applyNumberFormat="1" applyFont="1" applyFill="1" applyBorder="1" applyAlignment="1">
      <alignment horizontal="center" vertical="center" wrapText="1"/>
    </xf>
    <xf numFmtId="4" fontId="46" fillId="11" borderId="45" xfId="22" applyNumberFormat="1" applyFont="1" applyFill="1" applyBorder="1" applyAlignment="1">
      <alignment horizontal="center" vertical="center" wrapText="1"/>
    </xf>
    <xf numFmtId="4" fontId="52" fillId="11" borderId="45" xfId="22" applyNumberFormat="1" applyFont="1" applyFill="1" applyBorder="1" applyAlignment="1">
      <alignment horizontal="center" vertical="center" wrapText="1"/>
    </xf>
    <xf numFmtId="4" fontId="46" fillId="11" borderId="80" xfId="22" applyNumberFormat="1" applyFont="1" applyFill="1" applyBorder="1" applyAlignment="1">
      <alignment vertical="center" wrapText="1"/>
    </xf>
    <xf numFmtId="0" fontId="41" fillId="11" borderId="44" xfId="22" applyFont="1" applyFill="1" applyBorder="1" applyAlignment="1" applyProtection="1">
      <alignment vertical="center"/>
    </xf>
    <xf numFmtId="0" fontId="51" fillId="11" borderId="45" xfId="22" applyFont="1" applyFill="1" applyBorder="1" applyAlignment="1" applyProtection="1">
      <alignment vertical="center"/>
    </xf>
    <xf numFmtId="0" fontId="51" fillId="11" borderId="45" xfId="22" applyFont="1" applyFill="1" applyBorder="1" applyAlignment="1" applyProtection="1">
      <alignment horizontal="center" vertical="center" wrapText="1"/>
    </xf>
    <xf numFmtId="4" fontId="52" fillId="11" borderId="45" xfId="22" applyNumberFormat="1" applyFont="1" applyFill="1" applyBorder="1" applyAlignment="1" applyProtection="1">
      <alignment horizontal="center" vertical="center" wrapText="1"/>
    </xf>
    <xf numFmtId="4" fontId="46" fillId="11" borderId="80" xfId="22" applyNumberFormat="1" applyFont="1" applyFill="1" applyBorder="1" applyAlignment="1" applyProtection="1">
      <alignment vertical="center" wrapText="1"/>
    </xf>
    <xf numFmtId="1" fontId="40" fillId="7" borderId="70" xfId="22" applyNumberFormat="1" applyFont="1" applyFill="1" applyBorder="1" applyAlignment="1" applyProtection="1">
      <alignment horizontal="right" vertical="center" wrapText="1"/>
      <protection locked="0"/>
    </xf>
    <xf numFmtId="49" fontId="46" fillId="8" borderId="33" xfId="22" applyNumberFormat="1" applyFont="1" applyFill="1" applyBorder="1" applyAlignment="1" applyProtection="1">
      <alignment horizontal="left" vertical="center" wrapText="1"/>
      <protection locked="0"/>
    </xf>
    <xf numFmtId="0" fontId="46" fillId="8" borderId="33" xfId="22" applyNumberFormat="1" applyFont="1" applyFill="1" applyBorder="1" applyAlignment="1" applyProtection="1">
      <alignment horizontal="center" vertical="center" wrapText="1"/>
      <protection locked="0"/>
    </xf>
    <xf numFmtId="4" fontId="46" fillId="7" borderId="33" xfId="22" applyNumberFormat="1" applyFont="1" applyFill="1" applyBorder="1" applyAlignment="1" applyProtection="1">
      <alignment horizontal="center" vertical="center" wrapText="1"/>
      <protection locked="0"/>
    </xf>
    <xf numFmtId="4" fontId="52" fillId="8" borderId="33" xfId="22" applyNumberFormat="1" applyFont="1" applyFill="1" applyBorder="1" applyAlignment="1" applyProtection="1">
      <alignment horizontal="center" vertical="center" wrapText="1"/>
      <protection locked="0"/>
    </xf>
    <xf numFmtId="4" fontId="52" fillId="7" borderId="33" xfId="22" applyNumberFormat="1" applyFont="1" applyFill="1" applyBorder="1" applyAlignment="1" applyProtection="1">
      <alignment vertical="center" wrapText="1"/>
      <protection locked="0"/>
    </xf>
    <xf numFmtId="0" fontId="40" fillId="7" borderId="69" xfId="22" applyNumberFormat="1" applyFont="1" applyFill="1" applyBorder="1" applyAlignment="1" applyProtection="1">
      <alignment horizontal="right" vertical="center" wrapText="1"/>
      <protection locked="0"/>
    </xf>
    <xf numFmtId="1" fontId="40" fillId="7" borderId="69" xfId="22" applyNumberFormat="1" applyFont="1" applyFill="1" applyBorder="1" applyAlignment="1" applyProtection="1">
      <alignment horizontal="right" vertical="center" wrapText="1"/>
      <protection locked="0"/>
    </xf>
    <xf numFmtId="164" fontId="46" fillId="8" borderId="33" xfId="20" applyNumberFormat="1" applyFont="1" applyFill="1" applyBorder="1" applyAlignment="1" applyProtection="1">
      <alignment horizontal="center" vertical="center" wrapText="1"/>
      <protection locked="0"/>
    </xf>
    <xf numFmtId="0" fontId="46" fillId="8" borderId="69" xfId="22" applyNumberFormat="1" applyFont="1" applyFill="1" applyBorder="1" applyAlignment="1" applyProtection="1">
      <alignment horizontal="center" vertical="center" wrapText="1"/>
      <protection locked="0"/>
    </xf>
    <xf numFmtId="0" fontId="46" fillId="7" borderId="69" xfId="22" applyNumberFormat="1" applyFont="1" applyFill="1" applyBorder="1" applyAlignment="1" applyProtection="1">
      <alignment horizontal="center" vertical="center" wrapText="1"/>
      <protection locked="0"/>
    </xf>
    <xf numFmtId="0" fontId="51" fillId="11" borderId="66" xfId="22" applyNumberFormat="1" applyFont="1" applyFill="1" applyBorder="1" applyAlignment="1">
      <alignment horizontal="center" vertical="center" wrapText="1"/>
    </xf>
    <xf numFmtId="0" fontId="46" fillId="11" borderId="67" xfId="22" applyNumberFormat="1" applyFont="1" applyFill="1" applyBorder="1" applyAlignment="1">
      <alignment horizontal="center" vertical="center" wrapText="1"/>
    </xf>
    <xf numFmtId="4" fontId="46" fillId="11" borderId="67" xfId="22" applyNumberFormat="1" applyFont="1" applyFill="1" applyBorder="1" applyAlignment="1">
      <alignment horizontal="center" vertical="center" wrapText="1"/>
    </xf>
    <xf numFmtId="4" fontId="52" fillId="11" borderId="67" xfId="20" applyNumberFormat="1" applyFont="1" applyFill="1" applyBorder="1" applyAlignment="1">
      <alignment horizontal="center" vertical="center" wrapText="1"/>
    </xf>
    <xf numFmtId="4" fontId="52" fillId="11" borderId="68" xfId="22" applyNumberFormat="1" applyFont="1" applyFill="1" applyBorder="1" applyAlignment="1">
      <alignment vertical="center" wrapText="1"/>
    </xf>
    <xf numFmtId="0" fontId="46" fillId="7" borderId="33" xfId="22" applyNumberFormat="1" applyFont="1" applyFill="1" applyBorder="1" applyAlignment="1" applyProtection="1">
      <alignment horizontal="center" vertical="center" wrapText="1"/>
      <protection locked="0"/>
    </xf>
    <xf numFmtId="0" fontId="46" fillId="8" borderId="70" xfId="22" applyNumberFormat="1" applyFont="1" applyFill="1" applyBorder="1" applyAlignment="1" applyProtection="1">
      <alignment horizontal="center" vertical="center" wrapText="1"/>
      <protection locked="0"/>
    </xf>
    <xf numFmtId="0" fontId="46" fillId="7" borderId="70" xfId="22" applyNumberFormat="1" applyFont="1" applyFill="1" applyBorder="1" applyAlignment="1" applyProtection="1">
      <alignment horizontal="center" vertical="center" wrapText="1"/>
      <protection locked="0"/>
    </xf>
    <xf numFmtId="1" fontId="40" fillId="7" borderId="61" xfId="22" applyNumberFormat="1" applyFont="1" applyFill="1" applyBorder="1" applyAlignment="1" applyProtection="1">
      <alignment horizontal="right" vertical="center" wrapText="1"/>
      <protection locked="0"/>
    </xf>
    <xf numFmtId="0" fontId="41" fillId="11" borderId="66" xfId="22" applyNumberFormat="1" applyFont="1" applyFill="1" applyBorder="1" applyAlignment="1">
      <alignment horizontal="center" vertical="center" wrapText="1"/>
    </xf>
    <xf numFmtId="4" fontId="52" fillId="7" borderId="69" xfId="22" applyNumberFormat="1" applyFont="1" applyFill="1" applyBorder="1" applyAlignment="1" applyProtection="1">
      <alignment vertical="center" wrapText="1"/>
      <protection locked="0"/>
    </xf>
    <xf numFmtId="49" fontId="40" fillId="8" borderId="33" xfId="22" applyNumberFormat="1" applyFont="1" applyFill="1" applyBorder="1" applyAlignment="1" applyProtection="1">
      <alignment horizontal="left" vertical="center" wrapText="1"/>
      <protection locked="0"/>
    </xf>
    <xf numFmtId="0" fontId="46" fillId="7" borderId="33" xfId="22" applyFont="1" applyFill="1" applyBorder="1" applyAlignment="1" applyProtection="1">
      <alignment horizontal="left" vertical="center" wrapText="1"/>
      <protection locked="0"/>
    </xf>
    <xf numFmtId="0" fontId="46" fillId="7" borderId="33" xfId="22" applyFont="1" applyFill="1" applyBorder="1" applyAlignment="1" applyProtection="1">
      <alignment horizontal="center" vertical="center" wrapText="1"/>
      <protection locked="0"/>
    </xf>
    <xf numFmtId="1" fontId="46" fillId="7" borderId="33" xfId="22" applyNumberFormat="1" applyFont="1" applyFill="1" applyBorder="1" applyAlignment="1" applyProtection="1">
      <alignment horizontal="center" vertical="center" wrapText="1"/>
      <protection locked="0"/>
    </xf>
    <xf numFmtId="0" fontId="46" fillId="8" borderId="33" xfId="22" applyFont="1" applyFill="1" applyBorder="1" applyAlignment="1" applyProtection="1">
      <alignment horizontal="left" vertical="center" wrapText="1"/>
      <protection locked="0"/>
    </xf>
    <xf numFmtId="1" fontId="40" fillId="7" borderId="44" xfId="22" applyNumberFormat="1" applyFont="1" applyFill="1" applyBorder="1" applyAlignment="1" applyProtection="1">
      <alignment horizontal="right" vertical="center" wrapText="1"/>
      <protection locked="0"/>
    </xf>
    <xf numFmtId="1" fontId="40" fillId="7" borderId="77" xfId="22" applyNumberFormat="1" applyFont="1" applyFill="1" applyBorder="1" applyAlignment="1" applyProtection="1">
      <alignment horizontal="right" vertical="center" wrapText="1"/>
      <protection locked="0"/>
    </xf>
    <xf numFmtId="49" fontId="54" fillId="8" borderId="33" xfId="22" applyNumberFormat="1" applyFont="1" applyFill="1" applyBorder="1" applyAlignment="1" applyProtection="1">
      <alignment horizontal="left" vertical="center" wrapText="1"/>
      <protection locked="0"/>
    </xf>
    <xf numFmtId="0" fontId="40" fillId="7" borderId="78" xfId="22" applyNumberFormat="1" applyFont="1" applyFill="1" applyBorder="1" applyAlignment="1" applyProtection="1">
      <alignment horizontal="right" vertical="center" wrapText="1"/>
      <protection locked="0"/>
    </xf>
    <xf numFmtId="0" fontId="46" fillId="8" borderId="73" xfId="22" applyNumberFormat="1" applyFont="1" applyFill="1" applyBorder="1" applyAlignment="1" applyProtection="1">
      <alignment horizontal="center" vertical="center" wrapText="1"/>
      <protection locked="0"/>
    </xf>
    <xf numFmtId="0" fontId="46" fillId="7" borderId="73" xfId="22" applyNumberFormat="1" applyFont="1" applyFill="1" applyBorder="1" applyAlignment="1" applyProtection="1">
      <alignment horizontal="center" vertical="center" wrapText="1"/>
      <protection locked="0"/>
    </xf>
    <xf numFmtId="0" fontId="40" fillId="0" borderId="48" xfId="22" applyFont="1" applyBorder="1" applyAlignment="1" applyProtection="1">
      <alignment horizontal="center" vertical="center" wrapText="1"/>
    </xf>
    <xf numFmtId="0" fontId="40" fillId="0" borderId="49" xfId="22" applyFont="1" applyBorder="1" applyAlignment="1" applyProtection="1">
      <alignment horizontal="center" vertical="center" wrapText="1"/>
    </xf>
    <xf numFmtId="0" fontId="46" fillId="0" borderId="49" xfId="22" applyFont="1" applyBorder="1" applyAlignment="1" applyProtection="1">
      <alignment horizontal="left" vertical="center" wrapText="1"/>
    </xf>
    <xf numFmtId="0" fontId="46" fillId="0" borderId="49" xfId="22" applyFont="1" applyBorder="1" applyAlignment="1" applyProtection="1">
      <alignment vertical="center" wrapText="1"/>
    </xf>
    <xf numFmtId="0" fontId="46" fillId="0" borderId="49" xfId="22" applyFont="1" applyFill="1" applyBorder="1" applyAlignment="1" applyProtection="1">
      <alignment vertical="center" wrapText="1"/>
    </xf>
    <xf numFmtId="4" fontId="46" fillId="0" borderId="49" xfId="22" applyNumberFormat="1" applyFont="1" applyFill="1" applyBorder="1" applyAlignment="1" applyProtection="1">
      <alignment vertical="center" wrapText="1"/>
    </xf>
    <xf numFmtId="4" fontId="52" fillId="0" borderId="49" xfId="20" applyNumberFormat="1" applyFont="1" applyBorder="1" applyAlignment="1" applyProtection="1">
      <alignment horizontal="center" vertical="center" wrapText="1"/>
    </xf>
    <xf numFmtId="4" fontId="46" fillId="0" borderId="81" xfId="22" applyNumberFormat="1" applyFont="1" applyBorder="1" applyAlignment="1" applyProtection="1">
      <alignment vertical="center" wrapText="1"/>
    </xf>
    <xf numFmtId="0" fontId="51" fillId="11" borderId="49" xfId="22" applyFont="1" applyFill="1" applyBorder="1" applyAlignment="1" applyProtection="1">
      <alignment vertical="center" wrapText="1"/>
    </xf>
    <xf numFmtId="0" fontId="51" fillId="11" borderId="47" xfId="22" applyFont="1" applyFill="1" applyBorder="1" applyAlignment="1" applyProtection="1">
      <alignment vertical="center" wrapText="1"/>
    </xf>
    <xf numFmtId="0" fontId="51" fillId="11" borderId="47" xfId="22" applyFont="1" applyFill="1" applyBorder="1" applyAlignment="1" applyProtection="1">
      <alignment vertical="center" wrapText="1"/>
      <protection locked="0"/>
    </xf>
    <xf numFmtId="4" fontId="51" fillId="11" borderId="47" xfId="22" applyNumberFormat="1" applyFont="1" applyFill="1" applyBorder="1" applyAlignment="1" applyProtection="1">
      <alignment vertical="center" wrapText="1"/>
      <protection locked="0"/>
    </xf>
    <xf numFmtId="0" fontId="46" fillId="11" borderId="46" xfId="22" applyFont="1" applyFill="1" applyBorder="1" applyAlignment="1" applyProtection="1">
      <alignment vertical="center" wrapText="1"/>
    </xf>
    <xf numFmtId="0" fontId="54" fillId="0" borderId="0" xfId="22" applyFont="1" applyAlignment="1" applyProtection="1">
      <alignment horizontal="left" vertical="center" indent="4"/>
    </xf>
    <xf numFmtId="0" fontId="56" fillId="0" borderId="0" xfId="22" applyFont="1" applyBorder="1" applyAlignment="1" applyProtection="1">
      <alignment horizontal="left" vertical="center"/>
    </xf>
    <xf numFmtId="0" fontId="46" fillId="0" borderId="0" xfId="22" applyFont="1" applyFill="1" applyAlignment="1" applyProtection="1">
      <alignment vertical="center" wrapText="1"/>
    </xf>
    <xf numFmtId="0" fontId="57" fillId="0" borderId="0" xfId="22" applyFont="1" applyBorder="1" applyAlignment="1" applyProtection="1">
      <alignment vertical="center" wrapText="1"/>
    </xf>
    <xf numFmtId="0" fontId="54" fillId="0" borderId="0" xfId="22" applyFont="1" applyBorder="1" applyAlignment="1" applyProtection="1">
      <alignment vertical="center" wrapText="1"/>
    </xf>
    <xf numFmtId="0" fontId="54" fillId="0" borderId="0" xfId="22" applyFont="1" applyFill="1" applyBorder="1" applyAlignment="1" applyProtection="1">
      <alignment vertical="center" wrapText="1"/>
    </xf>
    <xf numFmtId="4" fontId="54" fillId="0" borderId="0" xfId="22" applyNumberFormat="1" applyFont="1" applyFill="1" applyBorder="1" applyAlignment="1" applyProtection="1">
      <alignment vertical="center" wrapText="1"/>
    </xf>
    <xf numFmtId="4" fontId="52" fillId="0" borderId="0" xfId="22" applyNumberFormat="1" applyFont="1" applyBorder="1" applyAlignment="1" applyProtection="1">
      <alignment horizontal="center" vertical="center" wrapText="1"/>
    </xf>
    <xf numFmtId="4" fontId="54" fillId="0" borderId="0" xfId="22" applyNumberFormat="1" applyFont="1" applyBorder="1" applyAlignment="1" applyProtection="1">
      <alignment vertical="center" wrapText="1"/>
    </xf>
    <xf numFmtId="0" fontId="40" fillId="0" borderId="0" xfId="22" applyFont="1" applyAlignment="1" applyProtection="1">
      <alignment horizontal="right" vertical="center" wrapText="1"/>
    </xf>
    <xf numFmtId="0" fontId="56" fillId="0" borderId="0" xfId="22" applyFont="1" applyBorder="1" applyAlignment="1" applyProtection="1">
      <alignment horizontal="left" vertical="center" wrapText="1"/>
    </xf>
    <xf numFmtId="0" fontId="46" fillId="0" borderId="0" xfId="22" applyFont="1" applyAlignment="1" applyProtection="1">
      <alignment horizontal="left" vertical="center" indent="5"/>
    </xf>
    <xf numFmtId="0" fontId="51" fillId="0" borderId="0" xfId="22" applyFont="1" applyBorder="1" applyAlignment="1" applyProtection="1">
      <alignment horizontal="left" vertical="center" wrapText="1"/>
    </xf>
    <xf numFmtId="0" fontId="52" fillId="0" borderId="0" xfId="22" applyFont="1" applyBorder="1" applyAlignment="1" applyProtection="1">
      <alignment horizontal="center" vertical="center" wrapText="1"/>
    </xf>
    <xf numFmtId="0" fontId="52" fillId="0" borderId="0" xfId="22" applyFont="1" applyBorder="1" applyAlignment="1" applyProtection="1">
      <alignment horizontal="left" vertical="center" wrapText="1"/>
    </xf>
    <xf numFmtId="0" fontId="46" fillId="0" borderId="0" xfId="22" applyFont="1" applyBorder="1" applyAlignment="1" applyProtection="1">
      <alignment horizontal="center" vertical="center" wrapText="1"/>
    </xf>
    <xf numFmtId="164" fontId="46" fillId="0" borderId="0" xfId="20" applyFont="1" applyFill="1" applyBorder="1" applyAlignment="1" applyProtection="1">
      <alignment horizontal="center" vertical="center" wrapText="1"/>
    </xf>
    <xf numFmtId="4" fontId="46" fillId="0" borderId="0" xfId="22" applyNumberFormat="1" applyFont="1" applyFill="1" applyBorder="1" applyAlignment="1" applyProtection="1">
      <alignment horizontal="center" vertical="center" wrapText="1"/>
    </xf>
    <xf numFmtId="4" fontId="46" fillId="0" borderId="0" xfId="22" applyNumberFormat="1" applyFont="1" applyFill="1" applyBorder="1" applyAlignment="1" applyProtection="1">
      <alignment vertical="center" wrapText="1"/>
    </xf>
    <xf numFmtId="168" fontId="45" fillId="0" borderId="0" xfId="20" applyNumberFormat="1" applyFont="1" applyBorder="1" applyAlignment="1" applyProtection="1">
      <alignment horizontal="right" vertical="center" wrapText="1"/>
    </xf>
    <xf numFmtId="4" fontId="45" fillId="0" borderId="0" xfId="20" applyNumberFormat="1" applyFont="1" applyBorder="1" applyAlignment="1" applyProtection="1">
      <alignment horizontal="right" vertical="center" wrapText="1"/>
    </xf>
    <xf numFmtId="0" fontId="49" fillId="0" borderId="0" xfId="22" applyFont="1" applyAlignment="1" applyProtection="1">
      <alignment horizontal="left" vertical="center" indent="10"/>
    </xf>
    <xf numFmtId="0" fontId="49" fillId="0" borderId="0" xfId="22" applyFont="1" applyAlignment="1" applyProtection="1">
      <alignment horizontal="left" vertical="center" indent="6"/>
    </xf>
    <xf numFmtId="0" fontId="46" fillId="0" borderId="0" xfId="22" applyFont="1" applyBorder="1" applyAlignment="1" applyProtection="1">
      <alignment vertical="center" wrapText="1"/>
    </xf>
    <xf numFmtId="4" fontId="49" fillId="0" borderId="0" xfId="22" applyNumberFormat="1" applyFont="1" applyAlignment="1" applyProtection="1">
      <alignment horizontal="left" vertical="center" indent="2"/>
    </xf>
    <xf numFmtId="4" fontId="46" fillId="0" borderId="0" xfId="22" applyNumberFormat="1" applyFont="1" applyAlignment="1" applyProtection="1">
      <alignment vertical="center" wrapText="1"/>
    </xf>
    <xf numFmtId="0" fontId="49" fillId="0" borderId="0" xfId="22" applyFont="1" applyAlignment="1" applyProtection="1">
      <alignment horizontal="left" vertical="center" indent="3"/>
    </xf>
    <xf numFmtId="4" fontId="46" fillId="0" borderId="0" xfId="22" applyNumberFormat="1" applyFont="1" applyFill="1" applyAlignment="1" applyProtection="1">
      <alignment vertical="center" wrapText="1"/>
    </xf>
    <xf numFmtId="4" fontId="46" fillId="0" borderId="0" xfId="22" applyNumberFormat="1" applyFont="1" applyBorder="1" applyAlignment="1" applyProtection="1">
      <alignment vertical="center" wrapText="1"/>
    </xf>
    <xf numFmtId="0" fontId="40" fillId="0" borderId="0" xfId="22" applyFont="1" applyAlignment="1" applyProtection="1">
      <alignment horizontal="center" vertical="center" wrapText="1"/>
    </xf>
    <xf numFmtId="0" fontId="46" fillId="0" borderId="0" xfId="22" applyFont="1" applyAlignment="1" applyProtection="1">
      <alignment horizontal="left" vertical="center" wrapText="1"/>
    </xf>
    <xf numFmtId="0" fontId="58" fillId="0" borderId="0" xfId="0" applyFont="1"/>
    <xf numFmtId="0" fontId="59" fillId="0" borderId="0" xfId="0" applyFont="1"/>
    <xf numFmtId="0" fontId="52" fillId="0" borderId="0" xfId="22" applyFont="1" applyBorder="1" applyAlignment="1" applyProtection="1">
      <alignment vertical="center" wrapText="1"/>
    </xf>
    <xf numFmtId="0" fontId="52" fillId="0" borderId="0" xfId="22" applyFont="1" applyAlignment="1" applyProtection="1">
      <alignment horizontal="center" vertical="center" wrapText="1"/>
    </xf>
    <xf numFmtId="0" fontId="52" fillId="0" borderId="0" xfId="22" applyFont="1" applyAlignment="1" applyProtection="1">
      <alignment vertical="center" wrapText="1"/>
    </xf>
    <xf numFmtId="0" fontId="52" fillId="0" borderId="0" xfId="22" applyFont="1" applyFill="1" applyAlignment="1" applyProtection="1">
      <alignment vertical="center" wrapText="1"/>
    </xf>
    <xf numFmtId="4" fontId="52" fillId="0" borderId="0" xfId="22" applyNumberFormat="1" applyFont="1" applyFill="1" applyBorder="1" applyAlignment="1" applyProtection="1">
      <alignment vertical="center" wrapText="1"/>
    </xf>
    <xf numFmtId="0" fontId="49" fillId="0" borderId="0" xfId="22" applyFont="1" applyBorder="1" applyAlignment="1" applyProtection="1">
      <alignment horizontal="center" vertical="center" wrapText="1"/>
    </xf>
    <xf numFmtId="0" fontId="20" fillId="0" borderId="0" xfId="0" applyFont="1" applyAlignment="1">
      <alignment horizontal="left" indent="2"/>
    </xf>
    <xf numFmtId="169" fontId="59" fillId="0" borderId="49" xfId="0" applyNumberFormat="1" applyFont="1" applyBorder="1" applyAlignment="1" applyProtection="1">
      <alignment horizontal="left"/>
    </xf>
    <xf numFmtId="0" fontId="10" fillId="13" borderId="18" xfId="0" applyFont="1" applyFill="1" applyBorder="1" applyAlignment="1" applyProtection="1">
      <alignment horizontal="center" vertical="top" wrapText="1"/>
      <protection locked="0"/>
    </xf>
    <xf numFmtId="0" fontId="10" fillId="13" borderId="8" xfId="0" applyFont="1" applyFill="1" applyBorder="1" applyAlignment="1" applyProtection="1">
      <alignment horizontal="center" vertical="top" wrapText="1"/>
      <protection locked="0"/>
    </xf>
    <xf numFmtId="0" fontId="10" fillId="13" borderId="9" xfId="0" applyFont="1" applyFill="1" applyBorder="1" applyAlignment="1" applyProtection="1">
      <alignment horizontal="center" vertical="top" wrapText="1"/>
      <protection locked="0"/>
    </xf>
    <xf numFmtId="0" fontId="10" fillId="13" borderId="10" xfId="0" applyFont="1" applyFill="1" applyBorder="1" applyAlignment="1" applyProtection="1">
      <alignment horizontal="center" vertical="top" wrapText="1"/>
      <protection locked="0"/>
    </xf>
    <xf numFmtId="0" fontId="9" fillId="13" borderId="9" xfId="0" applyFont="1" applyFill="1" applyBorder="1" applyAlignment="1" applyProtection="1">
      <alignment horizontal="center" vertical="top" wrapText="1"/>
      <protection locked="0"/>
    </xf>
    <xf numFmtId="0" fontId="9" fillId="13" borderId="10" xfId="0" applyFont="1" applyFill="1" applyBorder="1" applyAlignment="1" applyProtection="1">
      <alignment horizontal="center" vertical="top" wrapText="1"/>
      <protection locked="0"/>
    </xf>
    <xf numFmtId="0" fontId="9" fillId="13" borderId="8" xfId="0" applyFont="1" applyFill="1" applyBorder="1" applyAlignment="1" applyProtection="1">
      <alignment horizontal="center" vertical="top" wrapText="1"/>
      <protection locked="0"/>
    </xf>
    <xf numFmtId="0" fontId="11" fillId="13" borderId="19" xfId="0" applyFont="1" applyFill="1" applyBorder="1" applyProtection="1">
      <protection locked="0"/>
    </xf>
    <xf numFmtId="0" fontId="20" fillId="0" borderId="0" xfId="0" applyFont="1"/>
    <xf numFmtId="0" fontId="20" fillId="0" borderId="0" xfId="0" applyFont="1" applyFill="1" applyAlignment="1">
      <alignment horizontal="center"/>
    </xf>
    <xf numFmtId="3" fontId="20" fillId="0" borderId="0" xfId="0" applyNumberFormat="1" applyFont="1" applyAlignment="1">
      <alignment horizontal="center"/>
    </xf>
    <xf numFmtId="0" fontId="20" fillId="0" borderId="20" xfId="0" applyFont="1" applyBorder="1" applyAlignment="1">
      <alignment horizontal="center" vertical="center"/>
    </xf>
    <xf numFmtId="0" fontId="20" fillId="0" borderId="21" xfId="0" applyFont="1" applyFill="1" applyBorder="1" applyAlignment="1">
      <alignment horizontal="center" vertical="center" wrapText="1"/>
    </xf>
    <xf numFmtId="3" fontId="20" fillId="0" borderId="21" xfId="0" applyNumberFormat="1" applyFont="1" applyBorder="1" applyAlignment="1">
      <alignment horizontal="center" vertical="center"/>
    </xf>
    <xf numFmtId="0" fontId="20" fillId="0" borderId="0" xfId="0" applyFont="1" applyAlignment="1">
      <alignment horizontal="center" vertical="center"/>
    </xf>
    <xf numFmtId="0" fontId="20" fillId="0" borderId="32" xfId="0" applyFont="1" applyBorder="1" applyAlignment="1">
      <alignment vertical="top" wrapText="1"/>
    </xf>
    <xf numFmtId="0" fontId="0" fillId="0" borderId="33" xfId="0" applyFill="1" applyBorder="1" applyAlignment="1">
      <alignment horizontal="center" vertical="top"/>
    </xf>
    <xf numFmtId="3" fontId="0" fillId="0" borderId="33" xfId="0" applyNumberFormat="1" applyBorder="1" applyAlignment="1">
      <alignment horizontal="center" vertical="top"/>
    </xf>
    <xf numFmtId="0" fontId="0" fillId="0" borderId="0" xfId="0" applyAlignment="1">
      <alignment vertical="top"/>
    </xf>
    <xf numFmtId="0" fontId="60" fillId="0" borderId="33" xfId="0" applyFont="1" applyFill="1" applyBorder="1" applyAlignment="1">
      <alignment horizontal="center" vertical="top"/>
    </xf>
    <xf numFmtId="3" fontId="0" fillId="0" borderId="33" xfId="0" applyNumberFormat="1" applyFont="1" applyBorder="1" applyAlignment="1">
      <alignment horizontal="center" vertical="top"/>
    </xf>
    <xf numFmtId="3" fontId="60" fillId="0" borderId="33" xfId="0" applyNumberFormat="1" applyFont="1" applyBorder="1" applyAlignment="1">
      <alignment horizontal="center" vertical="top" wrapText="1"/>
    </xf>
    <xf numFmtId="0" fontId="0" fillId="0" borderId="0" xfId="0" applyBorder="1" applyAlignment="1">
      <alignment horizontal="center" vertical="top"/>
    </xf>
    <xf numFmtId="0" fontId="0" fillId="0" borderId="0" xfId="0" applyBorder="1" applyAlignment="1">
      <alignment vertical="top"/>
    </xf>
    <xf numFmtId="0" fontId="0" fillId="0" borderId="0" xfId="0" applyAlignment="1">
      <alignment horizontal="center"/>
    </xf>
    <xf numFmtId="0" fontId="0" fillId="0" borderId="0" xfId="0" applyFill="1" applyAlignment="1">
      <alignment horizontal="center"/>
    </xf>
    <xf numFmtId="3" fontId="0" fillId="0" borderId="0" xfId="0" applyNumberFormat="1" applyAlignment="1">
      <alignment horizontal="center"/>
    </xf>
    <xf numFmtId="0" fontId="20" fillId="0" borderId="27" xfId="0" applyFont="1" applyBorder="1" applyAlignment="1">
      <alignment horizontal="center" vertical="center"/>
    </xf>
    <xf numFmtId="0" fontId="0" fillId="0" borderId="37" xfId="0" applyBorder="1" applyAlignment="1">
      <alignment vertical="top" wrapText="1"/>
    </xf>
    <xf numFmtId="3" fontId="60" fillId="0" borderId="37" xfId="0" applyNumberFormat="1" applyFont="1" applyBorder="1" applyAlignment="1">
      <alignment horizontal="left" vertical="top" wrapText="1"/>
    </xf>
    <xf numFmtId="0" fontId="0" fillId="0" borderId="33" xfId="0" applyBorder="1" applyAlignment="1">
      <alignment vertical="top" wrapText="1"/>
    </xf>
    <xf numFmtId="170" fontId="0" fillId="0" borderId="0" xfId="0" applyNumberFormat="1"/>
    <xf numFmtId="1" fontId="0" fillId="0" borderId="0" xfId="0" applyNumberFormat="1" applyAlignment="1">
      <alignment horizontal="center"/>
    </xf>
    <xf numFmtId="170" fontId="20" fillId="0" borderId="33" xfId="0" applyNumberFormat="1" applyFont="1" applyBorder="1" applyAlignment="1">
      <alignment horizontal="center" vertical="top"/>
    </xf>
    <xf numFmtId="4" fontId="20" fillId="0" borderId="33" xfId="0" applyNumberFormat="1" applyFont="1" applyFill="1" applyBorder="1" applyAlignment="1">
      <alignment horizontal="center" vertical="center" wrapText="1"/>
    </xf>
    <xf numFmtId="43" fontId="0" fillId="0" borderId="33" xfId="18" applyFont="1" applyBorder="1" applyAlignment="1">
      <alignment vertical="top" wrapText="1"/>
    </xf>
    <xf numFmtId="170" fontId="0" fillId="0" borderId="33" xfId="0" applyNumberFormat="1" applyFont="1" applyBorder="1" applyAlignment="1">
      <alignment horizontal="center" vertical="top" wrapText="1"/>
    </xf>
    <xf numFmtId="1" fontId="0" fillId="0" borderId="33" xfId="0" applyNumberFormat="1" applyBorder="1" applyAlignment="1">
      <alignment horizontal="center" vertical="top" wrapText="1"/>
    </xf>
    <xf numFmtId="4" fontId="0" fillId="0" borderId="33" xfId="0" applyNumberFormat="1" applyBorder="1" applyAlignment="1">
      <alignment vertical="top"/>
    </xf>
    <xf numFmtId="4" fontId="0" fillId="0" borderId="33" xfId="0" applyNumberFormat="1" applyBorder="1" applyAlignment="1">
      <alignment horizontal="center" vertical="top"/>
    </xf>
    <xf numFmtId="4" fontId="0" fillId="0" borderId="33" xfId="0" applyNumberFormat="1" applyBorder="1" applyAlignment="1">
      <alignment horizontal="center" vertical="top" wrapText="1"/>
    </xf>
    <xf numFmtId="4" fontId="0" fillId="0" borderId="33" xfId="0" applyNumberFormat="1" applyFill="1" applyBorder="1" applyAlignment="1">
      <alignment horizontal="center" vertical="top"/>
    </xf>
    <xf numFmtId="43" fontId="20" fillId="0" borderId="33" xfId="0" applyNumberFormat="1" applyFont="1" applyBorder="1" applyAlignment="1">
      <alignment vertical="top" wrapText="1"/>
    </xf>
    <xf numFmtId="0" fontId="0" fillId="0" borderId="0" xfId="0" applyAlignment="1">
      <alignment vertical="top" wrapText="1"/>
    </xf>
    <xf numFmtId="0" fontId="0" fillId="0" borderId="0" xfId="0" applyAlignment="1">
      <alignment wrapText="1"/>
    </xf>
    <xf numFmtId="170" fontId="0" fillId="0" borderId="0" xfId="0" applyNumberFormat="1" applyAlignment="1">
      <alignment wrapText="1"/>
    </xf>
    <xf numFmtId="1" fontId="0" fillId="0" borderId="0" xfId="0" applyNumberFormat="1" applyAlignment="1">
      <alignment horizontal="center" wrapText="1"/>
    </xf>
    <xf numFmtId="43" fontId="0" fillId="0" borderId="0" xfId="18" applyFont="1" applyAlignment="1">
      <alignment wrapText="1"/>
    </xf>
    <xf numFmtId="4" fontId="0" fillId="0" borderId="0" xfId="0" applyNumberFormat="1" applyAlignment="1">
      <alignment wrapText="1"/>
    </xf>
    <xf numFmtId="0" fontId="61" fillId="0" borderId="0" xfId="0" applyFont="1"/>
    <xf numFmtId="0" fontId="61" fillId="0" borderId="0" xfId="0" applyFont="1" applyAlignment="1"/>
    <xf numFmtId="0" fontId="61" fillId="0" borderId="0" xfId="0" quotePrefix="1" applyFont="1" applyAlignment="1"/>
    <xf numFmtId="0" fontId="62" fillId="0" borderId="0" xfId="0" applyFont="1" applyAlignment="1"/>
    <xf numFmtId="0" fontId="0" fillId="0" borderId="0" xfId="0" applyAlignment="1">
      <alignment horizontal="left" wrapText="1" indent="1"/>
    </xf>
    <xf numFmtId="0" fontId="0" fillId="0" borderId="0" xfId="0" applyAlignment="1">
      <alignment horizontal="left" indent="3"/>
    </xf>
    <xf numFmtId="0" fontId="60" fillId="0" borderId="0" xfId="0" applyFont="1"/>
    <xf numFmtId="0" fontId="60" fillId="0" borderId="0" xfId="0" applyFont="1" applyAlignment="1">
      <alignment horizontal="center"/>
    </xf>
    <xf numFmtId="0" fontId="64" fillId="0" borderId="0" xfId="0" applyFont="1" applyAlignment="1">
      <alignment vertical="center"/>
    </xf>
    <xf numFmtId="0" fontId="64" fillId="0" borderId="33" xfId="0" applyFont="1" applyBorder="1" applyAlignment="1">
      <alignment horizontal="center" vertical="center" wrapText="1"/>
    </xf>
    <xf numFmtId="0" fontId="64" fillId="0" borderId="0" xfId="0" applyFont="1" applyAlignment="1">
      <alignment vertical="center" wrapText="1"/>
    </xf>
    <xf numFmtId="0" fontId="66" fillId="15" borderId="32" xfId="0" applyFont="1" applyFill="1" applyBorder="1"/>
    <xf numFmtId="0" fontId="67" fillId="15" borderId="33" xfId="0" applyFont="1" applyFill="1" applyBorder="1" applyAlignment="1">
      <alignment horizontal="center"/>
    </xf>
    <xf numFmtId="0" fontId="67" fillId="15" borderId="34" xfId="0" applyFont="1" applyFill="1" applyBorder="1" applyAlignment="1">
      <alignment horizontal="center"/>
    </xf>
    <xf numFmtId="0" fontId="60" fillId="0" borderId="32" xfId="0" applyFont="1" applyBorder="1" applyAlignment="1">
      <alignment horizontal="left" vertical="center" wrapText="1" indent="1"/>
    </xf>
    <xf numFmtId="3" fontId="60" fillId="0" borderId="33" xfId="0" applyNumberFormat="1" applyFont="1" applyBorder="1" applyAlignment="1">
      <alignment horizontal="center" vertical="center"/>
    </xf>
    <xf numFmtId="0" fontId="60" fillId="0" borderId="33" xfId="0" applyFont="1" applyBorder="1" applyAlignment="1">
      <alignment horizontal="center"/>
    </xf>
    <xf numFmtId="0" fontId="60" fillId="0" borderId="34" xfId="0" applyFont="1" applyBorder="1" applyAlignment="1">
      <alignment horizontal="center"/>
    </xf>
    <xf numFmtId="0" fontId="60" fillId="0" borderId="33" xfId="0" applyFont="1" applyFill="1" applyBorder="1" applyAlignment="1">
      <alignment horizontal="center"/>
    </xf>
    <xf numFmtId="3" fontId="60" fillId="0" borderId="33" xfId="0" applyNumberFormat="1" applyFont="1" applyFill="1" applyBorder="1" applyAlignment="1">
      <alignment horizontal="center" vertical="center"/>
    </xf>
    <xf numFmtId="0" fontId="63" fillId="0" borderId="33" xfId="0" applyFont="1" applyBorder="1" applyAlignment="1">
      <alignment horizontal="center"/>
    </xf>
    <xf numFmtId="4" fontId="60" fillId="0" borderId="0" xfId="0" applyNumberFormat="1" applyFont="1"/>
    <xf numFmtId="0" fontId="0" fillId="0" borderId="32" xfId="0" applyFont="1" applyBorder="1" applyAlignment="1">
      <alignment horizontal="left" vertical="center" wrapText="1" indent="1"/>
    </xf>
    <xf numFmtId="0" fontId="60" fillId="0" borderId="32" xfId="0" applyFont="1" applyFill="1" applyBorder="1" applyAlignment="1">
      <alignment horizontal="left" vertical="center" wrapText="1" indent="1"/>
    </xf>
    <xf numFmtId="3" fontId="60" fillId="0" borderId="0" xfId="0" applyNumberFormat="1" applyFont="1"/>
    <xf numFmtId="0" fontId="60" fillId="0" borderId="64" xfId="0" applyFont="1" applyBorder="1" applyAlignment="1">
      <alignment horizontal="center"/>
    </xf>
    <xf numFmtId="0" fontId="66" fillId="15" borderId="88" xfId="0" applyFont="1" applyFill="1" applyBorder="1" applyAlignment="1">
      <alignment vertical="center" wrapText="1"/>
    </xf>
    <xf numFmtId="0" fontId="68" fillId="15" borderId="0" xfId="0" applyFont="1" applyFill="1" applyBorder="1" applyAlignment="1">
      <alignment horizontal="center" vertical="center" wrapText="1"/>
    </xf>
    <xf numFmtId="0" fontId="60" fillId="0" borderId="20" xfId="0" applyFont="1" applyBorder="1" applyAlignment="1">
      <alignment horizontal="left" vertical="center" wrapText="1" indent="1"/>
    </xf>
    <xf numFmtId="3" fontId="60" fillId="0" borderId="21" xfId="0" applyNumberFormat="1" applyFont="1" applyBorder="1" applyAlignment="1">
      <alignment horizontal="center" vertical="center"/>
    </xf>
    <xf numFmtId="0" fontId="60" fillId="0" borderId="21" xfId="0" applyFont="1" applyBorder="1" applyAlignment="1">
      <alignment horizontal="center"/>
    </xf>
    <xf numFmtId="0" fontId="60" fillId="0" borderId="22" xfId="0" applyFont="1" applyBorder="1" applyAlignment="1">
      <alignment horizontal="center"/>
    </xf>
    <xf numFmtId="2" fontId="60" fillId="0" borderId="0" xfId="0" applyNumberFormat="1" applyFont="1"/>
    <xf numFmtId="0" fontId="60" fillId="0" borderId="23" xfId="0" applyFont="1" applyBorder="1" applyAlignment="1">
      <alignment horizontal="left" vertical="center" wrapText="1" indent="1"/>
    </xf>
    <xf numFmtId="3" fontId="60" fillId="0" borderId="24" xfId="0" applyNumberFormat="1" applyFont="1" applyBorder="1" applyAlignment="1">
      <alignment horizontal="center" vertical="center"/>
    </xf>
    <xf numFmtId="0" fontId="60" fillId="0" borderId="24" xfId="0" applyFont="1" applyBorder="1" applyAlignment="1">
      <alignment horizontal="center"/>
    </xf>
    <xf numFmtId="0" fontId="60" fillId="0" borderId="25" xfId="0" applyFont="1" applyBorder="1" applyAlignment="1">
      <alignment horizontal="center"/>
    </xf>
    <xf numFmtId="0" fontId="60" fillId="0" borderId="95" xfId="0" applyFont="1" applyBorder="1" applyAlignment="1">
      <alignment horizontal="left" vertical="center" wrapText="1" indent="1"/>
    </xf>
    <xf numFmtId="0" fontId="60" fillId="0" borderId="96" xfId="0" applyFont="1" applyBorder="1" applyAlignment="1">
      <alignment horizontal="center" vertical="center" wrapText="1"/>
    </xf>
    <xf numFmtId="0" fontId="60" fillId="0" borderId="60" xfId="0" applyFont="1" applyBorder="1" applyAlignment="1">
      <alignment horizontal="center"/>
    </xf>
    <xf numFmtId="3" fontId="60" fillId="0" borderId="33" xfId="0" applyNumberFormat="1" applyFont="1" applyFill="1" applyBorder="1" applyAlignment="1">
      <alignment horizontal="left" vertical="center" indent="1"/>
    </xf>
    <xf numFmtId="171" fontId="60" fillId="0" borderId="33" xfId="0" applyNumberFormat="1" applyFont="1" applyBorder="1" applyAlignment="1">
      <alignment horizontal="left" vertical="center" indent="1"/>
    </xf>
    <xf numFmtId="3" fontId="60" fillId="0" borderId="33" xfId="0" applyNumberFormat="1" applyFont="1" applyBorder="1" applyAlignment="1">
      <alignment horizontal="left" vertical="center" indent="1"/>
    </xf>
    <xf numFmtId="4" fontId="60" fillId="0" borderId="33" xfId="0" applyNumberFormat="1" applyFont="1" applyBorder="1" applyAlignment="1">
      <alignment horizontal="left" vertical="center" indent="1"/>
    </xf>
    <xf numFmtId="0" fontId="60" fillId="0" borderId="32" xfId="0" applyFont="1" applyBorder="1" applyAlignment="1">
      <alignment horizontal="left" vertical="center" wrapText="1" indent="2"/>
    </xf>
    <xf numFmtId="171" fontId="60" fillId="0" borderId="33" xfId="0" applyNumberFormat="1" applyFont="1" applyBorder="1" applyAlignment="1">
      <alignment horizontal="center" vertical="center"/>
    </xf>
    <xf numFmtId="0" fontId="60" fillId="0" borderId="20" xfId="0" applyFont="1" applyBorder="1" applyAlignment="1">
      <alignment horizontal="left" vertical="center" wrapText="1" indent="3"/>
    </xf>
    <xf numFmtId="0" fontId="60" fillId="0" borderId="32" xfId="0" applyFont="1" applyBorder="1" applyAlignment="1">
      <alignment horizontal="left" vertical="center" wrapText="1" indent="3"/>
    </xf>
    <xf numFmtId="0" fontId="64" fillId="0" borderId="0" xfId="0" applyFont="1"/>
    <xf numFmtId="0" fontId="60" fillId="0" borderId="94" xfId="0" applyFont="1" applyFill="1" applyBorder="1" applyAlignment="1">
      <alignment horizontal="left" vertical="center" wrapText="1" indent="3"/>
    </xf>
    <xf numFmtId="0" fontId="67" fillId="0" borderId="64" xfId="0" applyFont="1" applyFill="1" applyBorder="1" applyAlignment="1">
      <alignment horizontal="center" vertical="center" wrapText="1"/>
    </xf>
    <xf numFmtId="171" fontId="60" fillId="0" borderId="97" xfId="0" applyNumberFormat="1" applyFont="1" applyBorder="1" applyAlignment="1">
      <alignment horizontal="center"/>
    </xf>
    <xf numFmtId="4" fontId="64" fillId="0" borderId="0" xfId="0" applyNumberFormat="1" applyFont="1"/>
    <xf numFmtId="0" fontId="60" fillId="0" borderId="45" xfId="0" applyFont="1" applyFill="1" applyBorder="1" applyAlignment="1">
      <alignment horizontal="left" vertical="center" wrapText="1" indent="3"/>
    </xf>
    <xf numFmtId="0" fontId="67" fillId="0" borderId="0" xfId="0" applyFont="1" applyFill="1" applyBorder="1" applyAlignment="1">
      <alignment horizontal="center" vertical="center" wrapText="1"/>
    </xf>
    <xf numFmtId="0" fontId="60" fillId="0" borderId="0" xfId="0" applyFont="1" applyBorder="1" applyAlignment="1">
      <alignment horizontal="center"/>
    </xf>
    <xf numFmtId="3" fontId="60" fillId="0" borderId="0" xfId="0" applyNumberFormat="1" applyFont="1" applyBorder="1" applyAlignment="1">
      <alignment horizontal="center"/>
    </xf>
    <xf numFmtId="0" fontId="60" fillId="0" borderId="0" xfId="0" applyFont="1" applyFill="1" applyBorder="1" applyAlignment="1">
      <alignment horizontal="left" vertical="center" wrapText="1" indent="3"/>
    </xf>
    <xf numFmtId="0" fontId="60" fillId="0" borderId="33" xfId="0" applyFont="1" applyBorder="1"/>
    <xf numFmtId="0" fontId="64" fillId="0" borderId="33" xfId="0" applyFont="1" applyBorder="1" applyAlignment="1">
      <alignment horizontal="center" vertical="center" wrapText="1"/>
    </xf>
    <xf numFmtId="0" fontId="60" fillId="0" borderId="33" xfId="0" applyFont="1" applyFill="1" applyBorder="1" applyAlignment="1">
      <alignment horizontal="left" vertical="center" wrapText="1" indent="3"/>
    </xf>
    <xf numFmtId="171" fontId="60" fillId="0" borderId="33" xfId="0" applyNumberFormat="1" applyFont="1" applyBorder="1" applyAlignment="1">
      <alignment horizontal="center"/>
    </xf>
    <xf numFmtId="3" fontId="60" fillId="0" borderId="33" xfId="0" applyNumberFormat="1" applyFont="1" applyBorder="1" applyAlignment="1">
      <alignment horizontal="center"/>
    </xf>
    <xf numFmtId="3" fontId="0" fillId="0" borderId="0" xfId="0" applyNumberFormat="1"/>
    <xf numFmtId="0" fontId="20" fillId="0" borderId="0" xfId="0" applyFont="1" applyAlignment="1">
      <alignment horizontal="center" vertical="top"/>
    </xf>
    <xf numFmtId="0" fontId="0" fillId="0" borderId="99" xfId="0" applyBorder="1" applyAlignment="1">
      <alignment vertical="top"/>
    </xf>
    <xf numFmtId="0" fontId="0" fillId="0" borderId="93" xfId="0" applyBorder="1" applyAlignment="1">
      <alignment vertical="top"/>
    </xf>
    <xf numFmtId="3" fontId="60" fillId="0" borderId="93" xfId="0" applyNumberFormat="1" applyFont="1" applyBorder="1" applyAlignment="1">
      <alignment horizontal="center" vertical="top"/>
    </xf>
    <xf numFmtId="3" fontId="64" fillId="0" borderId="93" xfId="0" applyNumberFormat="1" applyFont="1" applyBorder="1" applyAlignment="1">
      <alignment horizontal="center" vertical="top"/>
    </xf>
    <xf numFmtId="3" fontId="63" fillId="0" borderId="93" xfId="0" applyNumberFormat="1" applyFont="1" applyBorder="1" applyAlignment="1">
      <alignment horizontal="center" vertical="top"/>
    </xf>
    <xf numFmtId="0" fontId="60" fillId="0" borderId="93" xfId="0" applyFont="1" applyBorder="1" applyAlignment="1">
      <alignment horizontal="center" vertical="top"/>
    </xf>
    <xf numFmtId="0" fontId="63" fillId="0" borderId="93" xfId="0" applyFont="1" applyBorder="1" applyAlignment="1">
      <alignment horizontal="center" vertical="top"/>
    </xf>
    <xf numFmtId="3" fontId="64" fillId="0" borderId="70" xfId="0" applyNumberFormat="1" applyFont="1" applyBorder="1" applyAlignment="1">
      <alignment horizontal="center" vertical="top"/>
    </xf>
    <xf numFmtId="3" fontId="64" fillId="0" borderId="71" xfId="0" applyNumberFormat="1" applyFont="1" applyBorder="1" applyAlignment="1">
      <alignment horizontal="center" vertical="top"/>
    </xf>
    <xf numFmtId="3" fontId="0" fillId="0" borderId="0" xfId="0" applyNumberFormat="1" applyAlignment="1">
      <alignment vertical="top"/>
    </xf>
    <xf numFmtId="9" fontId="0" fillId="0" borderId="0" xfId="23" applyFont="1" applyAlignment="1">
      <alignment vertical="top"/>
    </xf>
    <xf numFmtId="0" fontId="0" fillId="0" borderId="56" xfId="0" applyBorder="1" applyAlignment="1">
      <alignment vertical="top"/>
    </xf>
    <xf numFmtId="0" fontId="0" fillId="0" borderId="30" xfId="0" applyBorder="1" applyAlignment="1">
      <alignment vertical="top"/>
    </xf>
    <xf numFmtId="3" fontId="60" fillId="0" borderId="30" xfId="0" applyNumberFormat="1" applyFont="1" applyBorder="1" applyAlignment="1">
      <alignment horizontal="center" vertical="top"/>
    </xf>
    <xf numFmtId="3" fontId="60" fillId="0" borderId="53" xfId="0" applyNumberFormat="1" applyFont="1" applyBorder="1" applyAlignment="1">
      <alignment horizontal="center" vertical="top"/>
    </xf>
    <xf numFmtId="3" fontId="63" fillId="0" borderId="30" xfId="0" applyNumberFormat="1" applyFont="1" applyBorder="1" applyAlignment="1">
      <alignment horizontal="center" vertical="top"/>
    </xf>
    <xf numFmtId="0" fontId="63" fillId="0" borderId="30" xfId="0" applyFont="1" applyBorder="1" applyAlignment="1">
      <alignment horizontal="center" vertical="top"/>
    </xf>
    <xf numFmtId="0" fontId="63" fillId="0" borderId="61" xfId="0" applyFont="1" applyBorder="1" applyAlignment="1">
      <alignment horizontal="center" vertical="top"/>
    </xf>
    <xf numFmtId="3" fontId="63" fillId="0" borderId="55" xfId="0" applyNumberFormat="1" applyFont="1" applyBorder="1" applyAlignment="1">
      <alignment horizontal="center" vertical="top"/>
    </xf>
    <xf numFmtId="0" fontId="0" fillId="0" borderId="59" xfId="0" applyBorder="1" applyAlignment="1">
      <alignment vertical="top"/>
    </xf>
    <xf numFmtId="0" fontId="0" fillId="0" borderId="58" xfId="0" applyBorder="1" applyAlignment="1">
      <alignment vertical="top"/>
    </xf>
    <xf numFmtId="3" fontId="60" fillId="0" borderId="58" xfId="0" applyNumberFormat="1" applyFont="1" applyBorder="1" applyAlignment="1">
      <alignment horizontal="center" vertical="top"/>
    </xf>
    <xf numFmtId="3" fontId="64" fillId="0" borderId="58" xfId="0" applyNumberFormat="1" applyFont="1" applyBorder="1" applyAlignment="1">
      <alignment horizontal="center" vertical="top"/>
    </xf>
    <xf numFmtId="0" fontId="60" fillId="0" borderId="58" xfId="0" applyFont="1" applyBorder="1" applyAlignment="1">
      <alignment horizontal="center" vertical="top"/>
    </xf>
    <xf numFmtId="3" fontId="64" fillId="0" borderId="72" xfId="0" applyNumberFormat="1" applyFont="1" applyBorder="1" applyAlignment="1">
      <alignment horizontal="center" vertical="top"/>
    </xf>
    <xf numFmtId="0" fontId="0" fillId="0" borderId="52" xfId="0" applyBorder="1" applyAlignment="1">
      <alignment vertical="top"/>
    </xf>
    <xf numFmtId="0" fontId="0" fillId="0" borderId="53" xfId="0" applyBorder="1" applyAlignment="1">
      <alignment vertical="top"/>
    </xf>
    <xf numFmtId="3" fontId="63" fillId="0" borderId="53" xfId="0" applyNumberFormat="1" applyFont="1" applyBorder="1" applyAlignment="1">
      <alignment horizontal="center" vertical="top"/>
    </xf>
    <xf numFmtId="0" fontId="63" fillId="0" borderId="53" xfId="0" applyFont="1" applyBorder="1" applyAlignment="1">
      <alignment horizontal="center" vertical="top"/>
    </xf>
    <xf numFmtId="3" fontId="63" fillId="0" borderId="58" xfId="0" applyNumberFormat="1" applyFont="1" applyBorder="1" applyAlignment="1">
      <alignment horizontal="center" vertical="top"/>
    </xf>
    <xf numFmtId="0" fontId="63" fillId="0" borderId="58" xfId="0" applyFont="1" applyBorder="1" applyAlignment="1">
      <alignment horizontal="center" vertical="top"/>
    </xf>
    <xf numFmtId="3" fontId="72" fillId="0" borderId="53" xfId="0" applyNumberFormat="1" applyFont="1" applyBorder="1" applyAlignment="1">
      <alignment horizontal="center" vertical="top"/>
    </xf>
    <xf numFmtId="0" fontId="60" fillId="0" borderId="53" xfId="0" applyFont="1" applyBorder="1" applyAlignment="1">
      <alignment horizontal="center" vertical="top"/>
    </xf>
    <xf numFmtId="3" fontId="64" fillId="0" borderId="53" xfId="0" applyNumberFormat="1" applyFont="1" applyBorder="1" applyAlignment="1">
      <alignment horizontal="center" vertical="top"/>
    </xf>
    <xf numFmtId="3" fontId="64" fillId="0" borderId="55" xfId="0" applyNumberFormat="1" applyFont="1" applyBorder="1" applyAlignment="1">
      <alignment horizontal="center" vertical="top"/>
    </xf>
    <xf numFmtId="0" fontId="60" fillId="0" borderId="52" xfId="0" applyFont="1" applyBorder="1" applyAlignment="1">
      <alignment vertical="top"/>
    </xf>
    <xf numFmtId="0" fontId="60" fillId="0" borderId="53" xfId="0" applyFont="1" applyBorder="1" applyAlignment="1">
      <alignment vertical="top"/>
    </xf>
    <xf numFmtId="0" fontId="60" fillId="0" borderId="0" xfId="0" applyFont="1" applyAlignment="1">
      <alignment vertical="top"/>
    </xf>
    <xf numFmtId="0" fontId="0" fillId="0" borderId="59" xfId="0" applyBorder="1" applyAlignment="1">
      <alignment vertical="top" wrapText="1"/>
    </xf>
    <xf numFmtId="0" fontId="0" fillId="0" borderId="95" xfId="0" applyBorder="1" applyAlignment="1">
      <alignment vertical="top"/>
    </xf>
    <xf numFmtId="0" fontId="0" fillId="0" borderId="60" xfId="0" applyBorder="1" applyAlignment="1">
      <alignment vertical="top"/>
    </xf>
    <xf numFmtId="3" fontId="63" fillId="0" borderId="60" xfId="0" applyNumberFormat="1" applyFont="1" applyBorder="1" applyAlignment="1">
      <alignment horizontal="center" vertical="top"/>
    </xf>
    <xf numFmtId="0" fontId="63" fillId="0" borderId="60" xfId="0" applyFont="1" applyBorder="1" applyAlignment="1">
      <alignment horizontal="center" vertical="top"/>
    </xf>
    <xf numFmtId="0" fontId="63" fillId="0" borderId="100" xfId="0" applyFont="1" applyBorder="1" applyAlignment="1">
      <alignment horizontal="center" vertical="top"/>
    </xf>
    <xf numFmtId="0" fontId="63" fillId="0" borderId="101" xfId="0" applyFont="1" applyBorder="1" applyAlignment="1">
      <alignment horizontal="center" vertical="top"/>
    </xf>
    <xf numFmtId="0" fontId="0" fillId="0" borderId="94" xfId="0" applyBorder="1" applyAlignment="1">
      <alignment vertical="top"/>
    </xf>
    <xf numFmtId="0" fontId="0" fillId="0" borderId="64" xfId="0" applyBorder="1" applyAlignment="1">
      <alignment vertical="top"/>
    </xf>
    <xf numFmtId="3" fontId="60" fillId="0" borderId="64" xfId="0" applyNumberFormat="1" applyFont="1" applyBorder="1" applyAlignment="1">
      <alignment horizontal="center" vertical="top"/>
    </xf>
    <xf numFmtId="3" fontId="64" fillId="0" borderId="64" xfId="0" applyNumberFormat="1" applyFont="1" applyBorder="1" applyAlignment="1">
      <alignment horizontal="center" vertical="top"/>
    </xf>
    <xf numFmtId="0" fontId="73" fillId="0" borderId="0" xfId="0" applyFont="1"/>
    <xf numFmtId="3" fontId="73" fillId="0" borderId="0" xfId="0" applyNumberFormat="1" applyFont="1"/>
    <xf numFmtId="0" fontId="20" fillId="14" borderId="22" xfId="0" applyFont="1" applyFill="1" applyBorder="1" applyAlignment="1">
      <alignment horizontal="center" vertical="center"/>
    </xf>
    <xf numFmtId="0" fontId="4" fillId="0" borderId="34" xfId="0" applyFont="1" applyBorder="1" applyAlignment="1">
      <alignment vertical="top" wrapText="1"/>
    </xf>
    <xf numFmtId="0" fontId="60" fillId="0" borderId="34" xfId="0" applyFont="1" applyFill="1" applyBorder="1" applyAlignment="1">
      <alignment horizontal="center" vertical="top"/>
    </xf>
    <xf numFmtId="0" fontId="0" fillId="0" borderId="34" xfId="0" applyBorder="1" applyAlignment="1">
      <alignment vertical="top"/>
    </xf>
    <xf numFmtId="0" fontId="14" fillId="0" borderId="23" xfId="0" applyFont="1" applyBorder="1" applyAlignment="1">
      <alignment horizontal="left" vertical="top" wrapText="1"/>
    </xf>
    <xf numFmtId="0" fontId="0" fillId="0" borderId="24" xfId="0" applyFill="1" applyBorder="1" applyAlignment="1">
      <alignment horizontal="center"/>
    </xf>
    <xf numFmtId="0" fontId="0" fillId="0" borderId="24" xfId="0" applyBorder="1" applyAlignment="1">
      <alignment horizontal="left" vertical="top" wrapText="1"/>
    </xf>
    <xf numFmtId="0" fontId="0" fillId="0" borderId="25" xfId="0" applyBorder="1"/>
    <xf numFmtId="0" fontId="66" fillId="15" borderId="33" xfId="0" applyFont="1" applyFill="1" applyBorder="1" applyAlignment="1">
      <alignment horizontal="center"/>
    </xf>
    <xf numFmtId="0" fontId="60" fillId="0" borderId="33" xfId="0" applyFont="1" applyBorder="1" applyAlignment="1">
      <alignment horizontal="center" vertical="center" wrapText="1"/>
    </xf>
    <xf numFmtId="0" fontId="68" fillId="15" borderId="33" xfId="0" applyFont="1" applyFill="1" applyBorder="1" applyAlignment="1">
      <alignment horizontal="center" vertical="center" wrapText="1"/>
    </xf>
    <xf numFmtId="3" fontId="66" fillId="15" borderId="33" xfId="0" applyNumberFormat="1" applyFont="1" applyFill="1" applyBorder="1" applyAlignment="1">
      <alignment horizontal="center" vertical="center"/>
    </xf>
    <xf numFmtId="3" fontId="60" fillId="16" borderId="34" xfId="0" applyNumberFormat="1" applyFont="1" applyFill="1" applyBorder="1" applyAlignment="1">
      <alignment horizontal="center"/>
    </xf>
    <xf numFmtId="0" fontId="66" fillId="15" borderId="32" xfId="0" applyFont="1" applyFill="1" applyBorder="1" applyAlignment="1">
      <alignment vertical="center" wrapText="1"/>
    </xf>
    <xf numFmtId="0" fontId="60" fillId="0" borderId="24" xfId="0" applyFont="1" applyBorder="1" applyAlignment="1">
      <alignment horizontal="center" vertical="center" wrapText="1"/>
    </xf>
    <xf numFmtId="0" fontId="60" fillId="16" borderId="25" xfId="0" applyFont="1" applyFill="1" applyBorder="1" applyAlignment="1">
      <alignment horizontal="center"/>
    </xf>
    <xf numFmtId="0" fontId="64" fillId="15" borderId="88" xfId="0" applyFont="1" applyFill="1" applyBorder="1" applyAlignment="1">
      <alignment vertical="center" wrapText="1"/>
    </xf>
    <xf numFmtId="0" fontId="64" fillId="15" borderId="0" xfId="0" applyFont="1" applyFill="1" applyBorder="1" applyAlignment="1">
      <alignment horizontal="center" vertical="center" wrapText="1"/>
    </xf>
    <xf numFmtId="3" fontId="64" fillId="15" borderId="0" xfId="0" applyNumberFormat="1" applyFont="1" applyFill="1" applyBorder="1" applyAlignment="1">
      <alignment horizontal="center" vertical="center"/>
    </xf>
    <xf numFmtId="0" fontId="60" fillId="15" borderId="0" xfId="0" applyFont="1" applyFill="1" applyBorder="1" applyAlignment="1">
      <alignment horizontal="center"/>
    </xf>
    <xf numFmtId="0" fontId="60" fillId="15" borderId="89" xfId="0" applyFont="1" applyFill="1" applyBorder="1" applyAlignment="1">
      <alignment horizontal="center"/>
    </xf>
    <xf numFmtId="0" fontId="60" fillId="0" borderId="33" xfId="0" applyFont="1" applyFill="1" applyBorder="1" applyAlignment="1">
      <alignment horizontal="center" vertical="center" wrapText="1"/>
    </xf>
    <xf numFmtId="3" fontId="64" fillId="15" borderId="33" xfId="0" applyNumberFormat="1" applyFont="1" applyFill="1" applyBorder="1" applyAlignment="1">
      <alignment horizontal="center" vertical="center" wrapText="1"/>
    </xf>
    <xf numFmtId="0" fontId="60" fillId="15" borderId="33" xfId="0" applyFont="1" applyFill="1" applyBorder="1" applyAlignment="1">
      <alignment horizontal="center"/>
    </xf>
    <xf numFmtId="0" fontId="60" fillId="0" borderId="20" xfId="0" applyFont="1" applyFill="1" applyBorder="1" applyAlignment="1">
      <alignment horizontal="left" vertical="center" wrapText="1" indent="1"/>
    </xf>
    <xf numFmtId="0" fontId="60" fillId="0" borderId="21" xfId="0" applyFont="1" applyFill="1" applyBorder="1" applyAlignment="1">
      <alignment horizontal="center" vertical="center" wrapText="1"/>
    </xf>
    <xf numFmtId="3" fontId="60" fillId="0" borderId="21" xfId="0" applyNumberFormat="1" applyFont="1" applyFill="1" applyBorder="1" applyAlignment="1">
      <alignment horizontal="left" vertical="center" indent="1"/>
    </xf>
    <xf numFmtId="0" fontId="60" fillId="16" borderId="34" xfId="0" applyFont="1" applyFill="1" applyBorder="1" applyAlignment="1">
      <alignment horizontal="center"/>
    </xf>
    <xf numFmtId="0" fontId="66" fillId="15" borderId="32" xfId="0" applyFont="1" applyFill="1" applyBorder="1" applyAlignment="1">
      <alignment horizontal="left" vertical="center" wrapText="1"/>
    </xf>
    <xf numFmtId="0" fontId="60" fillId="15" borderId="34" xfId="0" applyFont="1" applyFill="1" applyBorder="1" applyAlignment="1">
      <alignment horizontal="center"/>
    </xf>
    <xf numFmtId="0" fontId="69" fillId="15" borderId="0" xfId="0" applyFont="1" applyFill="1" applyBorder="1" applyAlignment="1">
      <alignment horizontal="center" vertical="center" wrapText="1"/>
    </xf>
    <xf numFmtId="0" fontId="60" fillId="0" borderId="33" xfId="0" applyFont="1" applyBorder="1" applyAlignment="1"/>
    <xf numFmtId="0" fontId="60" fillId="0" borderId="33" xfId="0" applyFont="1" applyBorder="1" applyAlignment="1">
      <alignment horizontal="center" wrapText="1"/>
    </xf>
    <xf numFmtId="0" fontId="60" fillId="0" borderId="21" xfId="0" applyFont="1" applyBorder="1" applyAlignment="1">
      <alignment horizontal="center" vertical="center" wrapText="1"/>
    </xf>
    <xf numFmtId="0" fontId="60" fillId="0" borderId="32" xfId="0" applyFont="1" applyBorder="1" applyAlignment="1">
      <alignment wrapText="1"/>
    </xf>
    <xf numFmtId="0" fontId="67" fillId="15" borderId="0" xfId="0" applyFont="1" applyFill="1" applyBorder="1" applyAlignment="1">
      <alignment horizontal="center" vertical="center"/>
    </xf>
    <xf numFmtId="3" fontId="67" fillId="0" borderId="60" xfId="0" applyNumberFormat="1" applyFont="1" applyBorder="1" applyAlignment="1">
      <alignment horizontal="center" vertical="center"/>
    </xf>
    <xf numFmtId="0" fontId="60" fillId="16" borderId="60" xfId="0" applyFont="1" applyFill="1" applyBorder="1" applyAlignment="1">
      <alignment horizontal="center"/>
    </xf>
    <xf numFmtId="0" fontId="60" fillId="0" borderId="23" xfId="0" applyFont="1" applyBorder="1" applyAlignment="1">
      <alignment horizontal="left" vertical="center" wrapText="1" indent="3"/>
    </xf>
    <xf numFmtId="3" fontId="4" fillId="0" borderId="24" xfId="0" applyNumberFormat="1" applyFont="1" applyBorder="1" applyAlignment="1">
      <alignment horizontal="center" vertical="top" wrapText="1"/>
    </xf>
    <xf numFmtId="0" fontId="71" fillId="0" borderId="0" xfId="0" applyFont="1" applyAlignment="1">
      <alignment horizontal="center" vertical="center"/>
    </xf>
    <xf numFmtId="0" fontId="4" fillId="0" borderId="0" xfId="0" applyFont="1" applyAlignment="1">
      <alignment vertical="top"/>
    </xf>
    <xf numFmtId="0" fontId="71" fillId="0" borderId="0" xfId="0" applyFont="1" applyAlignment="1">
      <alignment horizontal="center" vertical="center" wrapText="1"/>
    </xf>
    <xf numFmtId="0" fontId="32" fillId="0" borderId="33" xfId="19" applyFont="1" applyFill="1" applyBorder="1" applyAlignment="1">
      <alignment vertical="center" wrapText="1"/>
    </xf>
    <xf numFmtId="0" fontId="31" fillId="0" borderId="33" xfId="19" applyFont="1" applyFill="1" applyBorder="1" applyAlignment="1">
      <alignment vertical="center" wrapText="1"/>
    </xf>
    <xf numFmtId="0" fontId="32" fillId="0" borderId="33" xfId="19" applyFont="1" applyFill="1" applyBorder="1" applyAlignment="1">
      <alignment vertical="center" wrapText="1"/>
    </xf>
    <xf numFmtId="0" fontId="31" fillId="0" borderId="33" xfId="19" applyFont="1" applyFill="1" applyBorder="1" applyAlignment="1">
      <alignment vertical="center" wrapText="1"/>
    </xf>
    <xf numFmtId="0" fontId="60" fillId="16" borderId="0" xfId="0" applyFont="1" applyFill="1" applyAlignment="1">
      <alignment horizontal="center"/>
    </xf>
    <xf numFmtId="0" fontId="64" fillId="16" borderId="33" xfId="0" applyFont="1" applyFill="1" applyBorder="1" applyAlignment="1">
      <alignment horizontal="center" vertical="center" wrapText="1"/>
    </xf>
    <xf numFmtId="0" fontId="67" fillId="16" borderId="33" xfId="0" applyFont="1" applyFill="1" applyBorder="1" applyAlignment="1">
      <alignment horizontal="center"/>
    </xf>
    <xf numFmtId="0" fontId="60" fillId="16" borderId="33" xfId="0" applyFont="1" applyFill="1" applyBorder="1" applyAlignment="1">
      <alignment horizontal="center"/>
    </xf>
    <xf numFmtId="0" fontId="60" fillId="16" borderId="24" xfId="0" applyFont="1" applyFill="1" applyBorder="1" applyAlignment="1">
      <alignment horizontal="center"/>
    </xf>
    <xf numFmtId="0" fontId="60" fillId="16" borderId="0" xfId="0" applyFont="1" applyFill="1" applyBorder="1" applyAlignment="1">
      <alignment horizontal="center"/>
    </xf>
    <xf numFmtId="0" fontId="60" fillId="16" borderId="21" xfId="0" applyFont="1" applyFill="1" applyBorder="1" applyAlignment="1">
      <alignment horizontal="center"/>
    </xf>
    <xf numFmtId="0" fontId="60" fillId="16" borderId="64" xfId="0" applyFont="1" applyFill="1" applyBorder="1" applyAlignment="1">
      <alignment horizontal="center"/>
    </xf>
    <xf numFmtId="0" fontId="60" fillId="18" borderId="33" xfId="0" applyFont="1" applyFill="1" applyBorder="1" applyAlignment="1">
      <alignment horizontal="center"/>
    </xf>
    <xf numFmtId="0" fontId="60" fillId="8" borderId="33" xfId="0" applyFont="1" applyFill="1" applyBorder="1" applyAlignment="1">
      <alignment horizontal="center"/>
    </xf>
    <xf numFmtId="0" fontId="60" fillId="19" borderId="32" xfId="0" applyFont="1" applyFill="1" applyBorder="1" applyAlignment="1">
      <alignment horizontal="left" vertical="center" wrapText="1" indent="1"/>
    </xf>
    <xf numFmtId="0" fontId="60" fillId="19" borderId="33" xfId="0" applyFont="1" applyFill="1" applyBorder="1" applyAlignment="1">
      <alignment horizontal="center" vertical="center" wrapText="1"/>
    </xf>
    <xf numFmtId="171" fontId="60" fillId="19" borderId="33" xfId="0" applyNumberFormat="1" applyFont="1" applyFill="1" applyBorder="1" applyAlignment="1">
      <alignment horizontal="left" vertical="center" indent="1"/>
    </xf>
    <xf numFmtId="0" fontId="60" fillId="19" borderId="33" xfId="0" applyFont="1" applyFill="1" applyBorder="1" applyAlignment="1">
      <alignment horizontal="center"/>
    </xf>
    <xf numFmtId="0" fontId="60" fillId="19" borderId="34" xfId="0" applyFont="1" applyFill="1" applyBorder="1" applyAlignment="1">
      <alignment horizontal="center"/>
    </xf>
    <xf numFmtId="0" fontId="60" fillId="19" borderId="0" xfId="0" applyFont="1" applyFill="1"/>
    <xf numFmtId="0" fontId="60" fillId="7" borderId="33" xfId="0" applyFont="1" applyFill="1" applyBorder="1" applyAlignment="1">
      <alignment horizontal="center"/>
    </xf>
    <xf numFmtId="0" fontId="40" fillId="20" borderId="69" xfId="22" applyNumberFormat="1" applyFont="1" applyFill="1" applyBorder="1" applyAlignment="1" applyProtection="1">
      <alignment horizontal="right" vertical="center" wrapText="1"/>
      <protection locked="0"/>
    </xf>
    <xf numFmtId="49" fontId="46" fillId="20" borderId="69" xfId="22" applyNumberFormat="1" applyFont="1" applyFill="1" applyBorder="1" applyAlignment="1" applyProtection="1">
      <alignment horizontal="left" vertical="center" wrapText="1"/>
      <protection locked="0"/>
    </xf>
    <xf numFmtId="49" fontId="46" fillId="20" borderId="33" xfId="22" applyNumberFormat="1" applyFont="1" applyFill="1" applyBorder="1" applyAlignment="1" applyProtection="1">
      <alignment horizontal="left" vertical="center" wrapText="1"/>
      <protection locked="0"/>
    </xf>
    <xf numFmtId="164" fontId="46" fillId="20" borderId="33" xfId="20" applyNumberFormat="1" applyFont="1" applyFill="1" applyBorder="1" applyAlignment="1" applyProtection="1">
      <alignment horizontal="center" vertical="center" wrapText="1"/>
      <protection locked="0"/>
    </xf>
    <xf numFmtId="0" fontId="46" fillId="20" borderId="33" xfId="22" applyNumberFormat="1" applyFont="1" applyFill="1" applyBorder="1" applyAlignment="1" applyProtection="1">
      <alignment horizontal="center" vertical="center" wrapText="1"/>
      <protection locked="0"/>
    </xf>
    <xf numFmtId="4" fontId="46" fillId="20" borderId="33" xfId="22" applyNumberFormat="1" applyFont="1" applyFill="1" applyBorder="1" applyAlignment="1" applyProtection="1">
      <alignment horizontal="center" vertical="center" wrapText="1"/>
      <protection locked="0"/>
    </xf>
    <xf numFmtId="4" fontId="52" fillId="20" borderId="33" xfId="22" applyNumberFormat="1" applyFont="1" applyFill="1" applyBorder="1" applyAlignment="1" applyProtection="1">
      <alignment horizontal="center" vertical="center" wrapText="1"/>
      <protection locked="0"/>
    </xf>
    <xf numFmtId="4" fontId="52" fillId="20" borderId="33" xfId="22" applyNumberFormat="1" applyFont="1" applyFill="1" applyBorder="1" applyAlignment="1" applyProtection="1">
      <alignment vertical="center" wrapText="1"/>
      <protection locked="0"/>
    </xf>
    <xf numFmtId="0" fontId="21" fillId="20" borderId="0" xfId="0" applyFont="1" applyFill="1"/>
    <xf numFmtId="0" fontId="0" fillId="20" borderId="0" xfId="0" applyFill="1"/>
    <xf numFmtId="0" fontId="60" fillId="21" borderId="33" xfId="0" applyFont="1" applyFill="1" applyBorder="1" applyAlignment="1">
      <alignment horizontal="center"/>
    </xf>
    <xf numFmtId="0" fontId="60" fillId="22" borderId="33" xfId="0" applyFont="1" applyFill="1" applyBorder="1" applyAlignment="1">
      <alignment horizontal="center"/>
    </xf>
    <xf numFmtId="0" fontId="1" fillId="8" borderId="33" xfId="0" applyFont="1" applyFill="1" applyBorder="1" applyAlignment="1">
      <alignment horizontal="center"/>
    </xf>
    <xf numFmtId="49" fontId="46" fillId="21" borderId="33" xfId="22" applyNumberFormat="1" applyFont="1" applyFill="1" applyBorder="1" applyAlignment="1" applyProtection="1">
      <alignment horizontal="left" vertical="center" wrapText="1"/>
      <protection locked="0"/>
    </xf>
    <xf numFmtId="49" fontId="46" fillId="22" borderId="33" xfId="22" applyNumberFormat="1" applyFont="1" applyFill="1" applyBorder="1" applyAlignment="1" applyProtection="1">
      <alignment horizontal="left" vertical="center" wrapText="1"/>
      <protection locked="0"/>
    </xf>
    <xf numFmtId="0" fontId="60" fillId="8" borderId="21" xfId="0" applyFont="1" applyFill="1" applyBorder="1" applyAlignment="1">
      <alignment horizontal="center"/>
    </xf>
    <xf numFmtId="164" fontId="33" fillId="0" borderId="0" xfId="21" applyFont="1" applyBorder="1" applyAlignment="1">
      <alignment horizontal="center"/>
    </xf>
    <xf numFmtId="164" fontId="35" fillId="0" borderId="37" xfId="20" applyFont="1" applyBorder="1" applyAlignment="1">
      <alignment horizontal="center"/>
    </xf>
    <xf numFmtId="164" fontId="35" fillId="0" borderId="35" xfId="20" applyFont="1" applyBorder="1" applyAlignment="1">
      <alignment horizontal="center"/>
    </xf>
    <xf numFmtId="164" fontId="35" fillId="0" borderId="42" xfId="20" applyFont="1" applyBorder="1" applyAlignment="1">
      <alignment horizontal="center"/>
    </xf>
    <xf numFmtId="164" fontId="35" fillId="0" borderId="36" xfId="20" applyFont="1" applyBorder="1" applyAlignment="1">
      <alignment horizontal="center"/>
    </xf>
    <xf numFmtId="0" fontId="29" fillId="0" borderId="0" xfId="19" applyFont="1" applyBorder="1" applyAlignment="1">
      <alignment horizontal="left"/>
    </xf>
    <xf numFmtId="0" fontId="23" fillId="0" borderId="0" xfId="19" applyFont="1" applyAlignment="1">
      <alignment horizontal="center" vertical="center"/>
    </xf>
    <xf numFmtId="0" fontId="28" fillId="0" borderId="20" xfId="19" applyFont="1" applyBorder="1" applyAlignment="1">
      <alignment horizontal="center" vertical="center" wrapText="1"/>
    </xf>
    <xf numFmtId="0" fontId="28" fillId="0" borderId="23" xfId="19" applyFont="1" applyBorder="1" applyAlignment="1">
      <alignment horizontal="center" vertical="center" wrapText="1"/>
    </xf>
    <xf numFmtId="0" fontId="28" fillId="0" borderId="21" xfId="19" applyFont="1" applyBorder="1" applyAlignment="1">
      <alignment horizontal="center" vertical="center" wrapText="1"/>
    </xf>
    <xf numFmtId="0" fontId="28" fillId="0" borderId="24" xfId="19" applyFont="1" applyBorder="1" applyAlignment="1">
      <alignment horizontal="center" vertical="center" wrapText="1"/>
    </xf>
    <xf numFmtId="164" fontId="28" fillId="0" borderId="21" xfId="20" applyFont="1" applyBorder="1" applyAlignment="1">
      <alignment horizontal="center" vertical="center" wrapText="1"/>
    </xf>
    <xf numFmtId="164" fontId="28" fillId="0" borderId="24" xfId="20" applyFont="1" applyBorder="1" applyAlignment="1">
      <alignment horizontal="center" vertical="center" wrapText="1"/>
    </xf>
    <xf numFmtId="0" fontId="28" fillId="0" borderId="22" xfId="19" applyFont="1" applyBorder="1" applyAlignment="1">
      <alignment horizontal="center" vertical="center" wrapText="1"/>
    </xf>
    <xf numFmtId="0" fontId="30" fillId="0" borderId="27" xfId="19" applyFont="1" applyFill="1" applyBorder="1" applyAlignment="1">
      <alignment horizontal="left" vertical="center" wrapText="1"/>
    </xf>
    <xf numFmtId="0" fontId="30" fillId="0" borderId="28" xfId="19" applyFont="1" applyFill="1" applyBorder="1" applyAlignment="1">
      <alignment horizontal="left" vertical="center" wrapText="1"/>
    </xf>
    <xf numFmtId="0" fontId="30" fillId="0" borderId="29" xfId="19" applyFont="1" applyFill="1" applyBorder="1" applyAlignment="1">
      <alignment horizontal="left" vertical="center" wrapText="1"/>
    </xf>
    <xf numFmtId="0" fontId="31" fillId="0" borderId="30" xfId="19" applyFont="1" applyFill="1" applyBorder="1" applyAlignment="1">
      <alignment vertical="center" wrapText="1"/>
    </xf>
    <xf numFmtId="0" fontId="32" fillId="0" borderId="30" xfId="19" applyFont="1" applyFill="1" applyBorder="1" applyAlignment="1">
      <alignment vertical="center" wrapText="1"/>
    </xf>
    <xf numFmtId="0" fontId="32" fillId="0" borderId="33" xfId="19" applyFont="1" applyFill="1" applyBorder="1" applyAlignment="1">
      <alignment vertical="center" wrapText="1"/>
    </xf>
    <xf numFmtId="0" fontId="32" fillId="0" borderId="34" xfId="19" applyFont="1" applyFill="1" applyBorder="1" applyAlignment="1">
      <alignment vertical="center" wrapText="1"/>
    </xf>
    <xf numFmtId="0" fontId="31" fillId="0" borderId="33" xfId="19" applyFont="1" applyFill="1" applyBorder="1" applyAlignment="1">
      <alignment vertical="center" wrapText="1"/>
    </xf>
    <xf numFmtId="0" fontId="31" fillId="0" borderId="37" xfId="19" applyFont="1" applyFill="1" applyBorder="1" applyAlignment="1">
      <alignment horizontal="left" vertical="center" wrapText="1"/>
    </xf>
    <xf numFmtId="0" fontId="31" fillId="0" borderId="38" xfId="19" applyFont="1" applyFill="1" applyBorder="1" applyAlignment="1">
      <alignment horizontal="left" vertical="center" wrapText="1"/>
    </xf>
    <xf numFmtId="0" fontId="31" fillId="0" borderId="39" xfId="19" applyFont="1" applyFill="1" applyBorder="1" applyAlignment="1">
      <alignment horizontal="left" vertical="center" wrapText="1"/>
    </xf>
    <xf numFmtId="164" fontId="35" fillId="0" borderId="0" xfId="20" applyFont="1" applyBorder="1" applyAlignment="1">
      <alignment horizontal="center"/>
    </xf>
    <xf numFmtId="0" fontId="64" fillId="0" borderId="33" xfId="0" applyFont="1" applyBorder="1" applyAlignment="1">
      <alignment horizontal="center" vertical="center"/>
    </xf>
    <xf numFmtId="0" fontId="64" fillId="0" borderId="33" xfId="0" applyFont="1" applyBorder="1" applyAlignment="1">
      <alignment horizontal="center" vertical="center" wrapText="1"/>
    </xf>
    <xf numFmtId="0" fontId="65" fillId="0" borderId="33" xfId="0" applyFont="1" applyBorder="1" applyAlignment="1">
      <alignment horizontal="center" vertical="center" wrapText="1"/>
    </xf>
    <xf numFmtId="0" fontId="64" fillId="0" borderId="0" xfId="0" applyFont="1" applyAlignment="1">
      <alignment horizontal="center"/>
    </xf>
    <xf numFmtId="0" fontId="64" fillId="0" borderId="20" xfId="0" applyFont="1" applyBorder="1" applyAlignment="1">
      <alignment horizontal="center" vertical="center"/>
    </xf>
    <xf numFmtId="0" fontId="64" fillId="0" borderId="32" xfId="0" applyFont="1" applyBorder="1" applyAlignment="1">
      <alignment horizontal="center" vertical="center"/>
    </xf>
    <xf numFmtId="0" fontId="64" fillId="0" borderId="21" xfId="0" applyFont="1" applyBorder="1" applyAlignment="1">
      <alignment horizontal="center" vertical="center" wrapText="1"/>
    </xf>
    <xf numFmtId="0" fontId="65" fillId="0" borderId="21" xfId="0" applyFont="1" applyBorder="1" applyAlignment="1">
      <alignment horizontal="center" vertical="center" wrapText="1"/>
    </xf>
    <xf numFmtId="0" fontId="65" fillId="0" borderId="33" xfId="0" applyFont="1" applyBorder="1" applyAlignment="1">
      <alignment horizontal="center" vertical="center"/>
    </xf>
    <xf numFmtId="0" fontId="64" fillId="0" borderId="21" xfId="0" applyFont="1" applyBorder="1" applyAlignment="1">
      <alignment horizontal="center" vertical="center"/>
    </xf>
    <xf numFmtId="0" fontId="65" fillId="0" borderId="22" xfId="0" applyFont="1" applyBorder="1" applyAlignment="1">
      <alignment horizontal="center" vertical="center" wrapText="1"/>
    </xf>
    <xf numFmtId="0" fontId="65" fillId="0" borderId="34" xfId="0" applyFont="1" applyBorder="1" applyAlignment="1">
      <alignment horizontal="center" vertical="center" wrapText="1"/>
    </xf>
    <xf numFmtId="0" fontId="49" fillId="0" borderId="0" xfId="22" applyFont="1" applyBorder="1" applyAlignment="1" applyProtection="1">
      <alignment horizontal="center" vertical="center" wrapText="1"/>
    </xf>
    <xf numFmtId="0" fontId="49" fillId="0" borderId="0" xfId="22" applyFont="1" applyAlignment="1" applyProtection="1">
      <alignment horizontal="center" vertical="center" wrapText="1"/>
    </xf>
    <xf numFmtId="0" fontId="49" fillId="0" borderId="45" xfId="22" applyFont="1" applyBorder="1" applyAlignment="1" applyProtection="1">
      <alignment horizontal="center" vertical="center" wrapText="1"/>
    </xf>
    <xf numFmtId="164" fontId="46" fillId="0" borderId="48" xfId="20" applyFont="1" applyFill="1" applyBorder="1" applyAlignment="1" applyProtection="1">
      <alignment horizontal="center" vertical="center" wrapText="1"/>
    </xf>
    <xf numFmtId="164" fontId="46" fillId="0" borderId="81" xfId="20" applyFont="1" applyFill="1" applyBorder="1" applyAlignment="1" applyProtection="1">
      <alignment horizontal="center" vertical="center" wrapText="1"/>
    </xf>
    <xf numFmtId="168" fontId="55" fillId="0" borderId="46" xfId="20" applyNumberFormat="1" applyFont="1" applyBorder="1" applyAlignment="1" applyProtection="1">
      <alignment horizontal="right" vertical="center" wrapText="1"/>
    </xf>
    <xf numFmtId="168" fontId="55" fillId="0" borderId="47" xfId="20" applyNumberFormat="1" applyFont="1" applyBorder="1" applyAlignment="1" applyProtection="1">
      <alignment horizontal="right" vertical="center" wrapText="1"/>
    </xf>
    <xf numFmtId="168" fontId="55" fillId="0" borderId="51" xfId="20" applyNumberFormat="1" applyFont="1" applyBorder="1" applyAlignment="1" applyProtection="1">
      <alignment horizontal="right" vertical="center" wrapText="1"/>
    </xf>
    <xf numFmtId="0" fontId="55" fillId="0" borderId="49" xfId="22" applyFont="1" applyBorder="1" applyAlignment="1" applyProtection="1">
      <alignment horizontal="center" vertical="center" wrapText="1"/>
      <protection locked="0"/>
    </xf>
    <xf numFmtId="0" fontId="52" fillId="0" borderId="46" xfId="22" applyFont="1" applyBorder="1" applyAlignment="1" applyProtection="1">
      <alignment horizontal="left" vertical="center" wrapText="1"/>
    </xf>
    <xf numFmtId="0" fontId="52" fillId="0" borderId="47" xfId="22" applyFont="1" applyBorder="1" applyAlignment="1" applyProtection="1">
      <alignment horizontal="left" vertical="center" wrapText="1"/>
    </xf>
    <xf numFmtId="0" fontId="52" fillId="0" borderId="51" xfId="22" applyFont="1" applyBorder="1" applyAlignment="1" applyProtection="1">
      <alignment horizontal="left" vertical="center" wrapText="1"/>
    </xf>
    <xf numFmtId="164" fontId="46" fillId="0" borderId="44" xfId="20" applyFont="1" applyFill="1" applyBorder="1" applyAlignment="1" applyProtection="1">
      <alignment horizontal="center" vertical="center" wrapText="1"/>
    </xf>
    <xf numFmtId="164" fontId="46" fillId="0" borderId="80" xfId="20" applyFont="1" applyFill="1" applyBorder="1" applyAlignment="1" applyProtection="1">
      <alignment horizontal="center" vertical="center" wrapText="1"/>
    </xf>
    <xf numFmtId="0" fontId="46" fillId="0" borderId="82" xfId="22" applyFont="1" applyBorder="1" applyAlignment="1" applyProtection="1">
      <alignment horizontal="center" vertical="center" wrapText="1"/>
    </xf>
    <xf numFmtId="0" fontId="46" fillId="0" borderId="83" xfId="22" applyFont="1" applyBorder="1" applyAlignment="1" applyProtection="1">
      <alignment horizontal="center" vertical="center" wrapText="1"/>
    </xf>
    <xf numFmtId="0" fontId="46" fillId="0" borderId="84" xfId="22" applyFont="1" applyBorder="1" applyAlignment="1" applyProtection="1">
      <alignment horizontal="center" vertical="center" wrapText="1"/>
    </xf>
    <xf numFmtId="0" fontId="46" fillId="0" borderId="85" xfId="22" applyFont="1" applyBorder="1" applyAlignment="1" applyProtection="1">
      <alignment horizontal="center" vertical="center" wrapText="1"/>
    </xf>
    <xf numFmtId="0" fontId="46" fillId="0" borderId="86" xfId="22" applyFont="1" applyBorder="1" applyAlignment="1" applyProtection="1">
      <alignment horizontal="center" vertical="center" wrapText="1"/>
    </xf>
    <xf numFmtId="0" fontId="46" fillId="0" borderId="87" xfId="22" applyFont="1" applyBorder="1" applyAlignment="1" applyProtection="1">
      <alignment horizontal="center" vertical="center" wrapText="1"/>
    </xf>
    <xf numFmtId="0" fontId="46" fillId="0" borderId="90" xfId="22" applyFont="1" applyBorder="1" applyAlignment="1" applyProtection="1">
      <alignment horizontal="center" vertical="center" wrapText="1"/>
    </xf>
    <xf numFmtId="0" fontId="46" fillId="0" borderId="91" xfId="22" applyFont="1" applyBorder="1" applyAlignment="1" applyProtection="1">
      <alignment horizontal="center" vertical="center" wrapText="1"/>
    </xf>
    <xf numFmtId="0" fontId="46" fillId="0" borderId="92" xfId="22" applyFont="1" applyBorder="1" applyAlignment="1" applyProtection="1">
      <alignment horizontal="center" vertical="center" wrapText="1"/>
    </xf>
    <xf numFmtId="164" fontId="46" fillId="0" borderId="46" xfId="20" applyFont="1" applyFill="1" applyBorder="1" applyAlignment="1" applyProtection="1">
      <alignment horizontal="center" vertical="center" wrapText="1"/>
    </xf>
    <xf numFmtId="164" fontId="46" fillId="0" borderId="51" xfId="20" applyFont="1" applyFill="1" applyBorder="1" applyAlignment="1" applyProtection="1">
      <alignment horizontal="center" vertical="center" wrapText="1"/>
    </xf>
    <xf numFmtId="168" fontId="55" fillId="0" borderId="88" xfId="20" applyNumberFormat="1" applyFont="1" applyBorder="1" applyAlignment="1" applyProtection="1">
      <alignment horizontal="right" vertical="center" wrapText="1"/>
    </xf>
    <xf numFmtId="168" fontId="55" fillId="0" borderId="0" xfId="20" applyNumberFormat="1" applyFont="1" applyBorder="1" applyAlignment="1" applyProtection="1">
      <alignment horizontal="right" vertical="center" wrapText="1"/>
    </xf>
    <xf numFmtId="168" fontId="55" fillId="0" borderId="89" xfId="20" applyNumberFormat="1" applyFont="1" applyBorder="1" applyAlignment="1" applyProtection="1">
      <alignment horizontal="right" vertical="center" wrapText="1"/>
    </xf>
    <xf numFmtId="164" fontId="46" fillId="0" borderId="82" xfId="20" applyFont="1" applyFill="1" applyBorder="1" applyAlignment="1" applyProtection="1">
      <alignment horizontal="center" vertical="center" wrapText="1"/>
    </xf>
    <xf numFmtId="164" fontId="46" fillId="0" borderId="83" xfId="20" applyFont="1" applyFill="1" applyBorder="1" applyAlignment="1" applyProtection="1">
      <alignment horizontal="center" vertical="center" wrapText="1"/>
    </xf>
    <xf numFmtId="164" fontId="46" fillId="0" borderId="84" xfId="20" applyFont="1" applyFill="1" applyBorder="1" applyAlignment="1" applyProtection="1">
      <alignment horizontal="center" vertical="center" wrapText="1"/>
    </xf>
    <xf numFmtId="164" fontId="46" fillId="0" borderId="85" xfId="20" applyFont="1" applyFill="1" applyBorder="1" applyAlignment="1" applyProtection="1">
      <alignment horizontal="center" vertical="center" wrapText="1"/>
    </xf>
    <xf numFmtId="164" fontId="46" fillId="0" borderId="86" xfId="20" applyFont="1" applyFill="1" applyBorder="1" applyAlignment="1" applyProtection="1">
      <alignment horizontal="center" vertical="center" wrapText="1"/>
    </xf>
    <xf numFmtId="164" fontId="46" fillId="0" borderId="87" xfId="20" applyFont="1" applyFill="1" applyBorder="1" applyAlignment="1" applyProtection="1">
      <alignment horizontal="center" vertical="center" wrapText="1"/>
    </xf>
    <xf numFmtId="164" fontId="46" fillId="0" borderId="90" xfId="20" applyFont="1" applyFill="1" applyBorder="1" applyAlignment="1" applyProtection="1">
      <alignment horizontal="center" vertical="center" wrapText="1"/>
    </xf>
    <xf numFmtId="164" fontId="46" fillId="0" borderId="91" xfId="20" applyFont="1" applyFill="1" applyBorder="1" applyAlignment="1" applyProtection="1">
      <alignment horizontal="center" vertical="center" wrapText="1"/>
    </xf>
    <xf numFmtId="164" fontId="46" fillId="0" borderId="92" xfId="20" applyFont="1" applyFill="1" applyBorder="1" applyAlignment="1" applyProtection="1">
      <alignment horizontal="center" vertical="center" wrapText="1"/>
    </xf>
    <xf numFmtId="0" fontId="41" fillId="11" borderId="46" xfId="22" applyNumberFormat="1" applyFont="1" applyFill="1" applyBorder="1" applyAlignment="1" applyProtection="1">
      <alignment horizontal="left" vertical="center" wrapText="1"/>
    </xf>
    <xf numFmtId="0" fontId="41" fillId="11" borderId="47" xfId="22" applyNumberFormat="1" applyFont="1" applyFill="1" applyBorder="1" applyAlignment="1" applyProtection="1">
      <alignment horizontal="left" vertical="center" wrapText="1"/>
    </xf>
    <xf numFmtId="0" fontId="41" fillId="11" borderId="51" xfId="22" applyNumberFormat="1" applyFont="1" applyFill="1" applyBorder="1" applyAlignment="1" applyProtection="1">
      <alignment horizontal="left" vertical="center" wrapText="1"/>
    </xf>
    <xf numFmtId="168" fontId="42" fillId="11" borderId="46" xfId="22" applyNumberFormat="1" applyFont="1" applyFill="1" applyBorder="1" applyAlignment="1" applyProtection="1">
      <alignment horizontal="left" vertical="center" wrapText="1"/>
    </xf>
    <xf numFmtId="168" fontId="42" fillId="11" borderId="47" xfId="22" applyNumberFormat="1" applyFont="1" applyFill="1" applyBorder="1" applyAlignment="1" applyProtection="1">
      <alignment horizontal="left" vertical="center" wrapText="1"/>
    </xf>
    <xf numFmtId="168" fontId="42" fillId="11" borderId="51" xfId="22" applyNumberFormat="1" applyFont="1" applyFill="1" applyBorder="1" applyAlignment="1" applyProtection="1">
      <alignment horizontal="left" vertical="center" wrapText="1"/>
    </xf>
    <xf numFmtId="0" fontId="41" fillId="11" borderId="46" xfId="22" applyFont="1" applyFill="1" applyBorder="1" applyAlignment="1" applyProtection="1">
      <alignment horizontal="left" vertical="center" wrapText="1"/>
    </xf>
    <xf numFmtId="0" fontId="41" fillId="11" borderId="47" xfId="22" applyFont="1" applyFill="1" applyBorder="1" applyAlignment="1" applyProtection="1">
      <alignment horizontal="left" vertical="center" wrapText="1"/>
    </xf>
    <xf numFmtId="0" fontId="41" fillId="11" borderId="51" xfId="22" applyFont="1" applyFill="1" applyBorder="1" applyAlignment="1" applyProtection="1">
      <alignment horizontal="left" vertical="center" wrapText="1"/>
    </xf>
    <xf numFmtId="168" fontId="42" fillId="11" borderId="46" xfId="22" applyNumberFormat="1" applyFont="1" applyFill="1" applyBorder="1" applyAlignment="1" applyProtection="1">
      <alignment vertical="center" wrapText="1"/>
      <protection locked="0"/>
    </xf>
    <xf numFmtId="168" fontId="42" fillId="11" borderId="47" xfId="22" applyNumberFormat="1" applyFont="1" applyFill="1" applyBorder="1" applyAlignment="1" applyProtection="1">
      <alignment vertical="center" wrapText="1"/>
      <protection locked="0"/>
    </xf>
    <xf numFmtId="168" fontId="42" fillId="11" borderId="51" xfId="22" applyNumberFormat="1" applyFont="1" applyFill="1" applyBorder="1" applyAlignment="1" applyProtection="1">
      <alignment vertical="center" wrapText="1"/>
      <protection locked="0"/>
    </xf>
    <xf numFmtId="168" fontId="42" fillId="11" borderId="46" xfId="22" applyNumberFormat="1" applyFont="1" applyFill="1" applyBorder="1" applyAlignment="1" applyProtection="1">
      <alignment vertical="center" wrapText="1"/>
    </xf>
    <xf numFmtId="168" fontId="42" fillId="11" borderId="47" xfId="22" applyNumberFormat="1" applyFont="1" applyFill="1" applyBorder="1" applyAlignment="1" applyProtection="1">
      <alignment vertical="center" wrapText="1"/>
    </xf>
    <xf numFmtId="168" fontId="42" fillId="11" borderId="51" xfId="22" applyNumberFormat="1" applyFont="1" applyFill="1" applyBorder="1" applyAlignment="1" applyProtection="1">
      <alignment vertical="center" wrapText="1"/>
    </xf>
    <xf numFmtId="0" fontId="41" fillId="9" borderId="44" xfId="22" applyFont="1" applyFill="1" applyBorder="1" applyAlignment="1" applyProtection="1">
      <alignment horizontal="center" vertical="center" wrapText="1"/>
    </xf>
    <xf numFmtId="0" fontId="41" fillId="9" borderId="45" xfId="22" applyFont="1" applyFill="1" applyBorder="1" applyAlignment="1" applyProtection="1">
      <alignment horizontal="center" vertical="center" wrapText="1"/>
    </xf>
    <xf numFmtId="0" fontId="41" fillId="9" borderId="48" xfId="22" applyFont="1" applyFill="1" applyBorder="1" applyAlignment="1" applyProtection="1">
      <alignment horizontal="center" vertical="center" wrapText="1"/>
    </xf>
    <xf numFmtId="0" fontId="41" fillId="9" borderId="49" xfId="22" applyFont="1" applyFill="1" applyBorder="1" applyAlignment="1" applyProtection="1">
      <alignment horizontal="center" vertical="center" wrapText="1"/>
    </xf>
    <xf numFmtId="0" fontId="48" fillId="9" borderId="18" xfId="22" applyFont="1" applyFill="1" applyBorder="1" applyAlignment="1" applyProtection="1">
      <alignment horizontal="center" vertical="center" wrapText="1"/>
    </xf>
    <xf numFmtId="0" fontId="48" fillId="9" borderId="50" xfId="22" applyFont="1" applyFill="1" applyBorder="1" applyAlignment="1" applyProtection="1">
      <alignment horizontal="center" vertical="center" wrapText="1"/>
    </xf>
    <xf numFmtId="0" fontId="41" fillId="9" borderId="46" xfId="22" applyFont="1" applyFill="1" applyBorder="1" applyAlignment="1" applyProtection="1">
      <alignment horizontal="center" vertical="center" wrapText="1"/>
    </xf>
    <xf numFmtId="0" fontId="41" fillId="9" borderId="47" xfId="22" applyFont="1" applyFill="1" applyBorder="1" applyAlignment="1" applyProtection="1">
      <alignment horizontal="center" vertical="center" wrapText="1"/>
    </xf>
    <xf numFmtId="4" fontId="48" fillId="9" borderId="18" xfId="22" applyNumberFormat="1" applyFont="1" applyFill="1" applyBorder="1" applyAlignment="1" applyProtection="1">
      <alignment horizontal="center" vertical="center" wrapText="1"/>
    </xf>
    <xf numFmtId="4" fontId="48" fillId="9" borderId="50" xfId="22" applyNumberFormat="1" applyFont="1" applyFill="1" applyBorder="1" applyAlignment="1" applyProtection="1">
      <alignment horizontal="center" vertical="center" wrapText="1"/>
    </xf>
    <xf numFmtId="4" fontId="49" fillId="9" borderId="18" xfId="22" applyNumberFormat="1" applyFont="1" applyFill="1" applyBorder="1" applyAlignment="1" applyProtection="1">
      <alignment horizontal="center" vertical="center" wrapText="1"/>
    </xf>
    <xf numFmtId="4" fontId="49" fillId="9" borderId="50" xfId="22" applyNumberFormat="1" applyFont="1" applyFill="1" applyBorder="1" applyAlignment="1" applyProtection="1">
      <alignment horizontal="center" vertical="center" wrapText="1"/>
    </xf>
    <xf numFmtId="4" fontId="41" fillId="9" borderId="18" xfId="22" applyNumberFormat="1" applyFont="1" applyFill="1" applyBorder="1" applyAlignment="1" applyProtection="1">
      <alignment horizontal="center" vertical="center" wrapText="1"/>
    </xf>
    <xf numFmtId="4" fontId="41" fillId="9" borderId="50" xfId="22" applyNumberFormat="1" applyFont="1" applyFill="1" applyBorder="1" applyAlignment="1" applyProtection="1">
      <alignment horizontal="center" vertical="center" wrapText="1"/>
    </xf>
    <xf numFmtId="0" fontId="41" fillId="10" borderId="46" xfId="22" applyFont="1" applyFill="1" applyBorder="1" applyAlignment="1" applyProtection="1">
      <alignment horizontal="left" vertical="center" wrapText="1"/>
    </xf>
    <xf numFmtId="0" fontId="41" fillId="10" borderId="47" xfId="22" applyFont="1" applyFill="1" applyBorder="1" applyAlignment="1" applyProtection="1">
      <alignment horizontal="left" vertical="center" wrapText="1"/>
    </xf>
    <xf numFmtId="0" fontId="41" fillId="10" borderId="51" xfId="22" applyFont="1" applyFill="1" applyBorder="1" applyAlignment="1" applyProtection="1">
      <alignment horizontal="left" vertical="center" wrapText="1"/>
    </xf>
    <xf numFmtId="4" fontId="52" fillId="0" borderId="65" xfId="22" applyNumberFormat="1" applyFont="1" applyBorder="1" applyAlignment="1" applyProtection="1">
      <alignment horizontal="center" vertical="center" wrapText="1"/>
    </xf>
    <xf numFmtId="4" fontId="52" fillId="0" borderId="51" xfId="22" applyNumberFormat="1" applyFont="1" applyBorder="1" applyAlignment="1" applyProtection="1">
      <alignment horizontal="center" vertical="center" wrapText="1"/>
    </xf>
    <xf numFmtId="0" fontId="41" fillId="10" borderId="44" xfId="22" applyFont="1" applyFill="1" applyBorder="1" applyAlignment="1" applyProtection="1">
      <alignment horizontal="left" vertical="center" wrapText="1"/>
    </xf>
    <xf numFmtId="0" fontId="41" fillId="10" borderId="45" xfId="22" applyFont="1" applyFill="1" applyBorder="1" applyAlignment="1" applyProtection="1">
      <alignment horizontal="left" vertical="center" wrapText="1"/>
    </xf>
    <xf numFmtId="0" fontId="41" fillId="10" borderId="80" xfId="22" applyFont="1" applyFill="1" applyBorder="1" applyAlignment="1" applyProtection="1">
      <alignment horizontal="left" vertical="center" wrapText="1"/>
    </xf>
    <xf numFmtId="0" fontId="41" fillId="11" borderId="48" xfId="22" applyFont="1" applyFill="1" applyBorder="1" applyAlignment="1" applyProtection="1">
      <alignment horizontal="left" vertical="center" wrapText="1"/>
    </xf>
    <xf numFmtId="0" fontId="41" fillId="11" borderId="49" xfId="22" applyFont="1" applyFill="1" applyBorder="1" applyAlignment="1" applyProtection="1">
      <alignment horizontal="left" vertical="center" wrapText="1"/>
    </xf>
    <xf numFmtId="0" fontId="41" fillId="11" borderId="81" xfId="22" applyFont="1" applyFill="1" applyBorder="1" applyAlignment="1" applyProtection="1">
      <alignment horizontal="left" vertical="center" wrapText="1"/>
    </xf>
    <xf numFmtId="0" fontId="45" fillId="8" borderId="43" xfId="22" applyFont="1" applyFill="1" applyBorder="1" applyAlignment="1" applyProtection="1">
      <alignment horizontal="left" vertical="top"/>
      <protection locked="0"/>
    </xf>
    <xf numFmtId="0" fontId="45" fillId="8" borderId="43" xfId="22" applyFont="1" applyFill="1" applyBorder="1" applyAlignment="1" applyProtection="1">
      <alignment vertical="center"/>
      <protection locked="0"/>
    </xf>
    <xf numFmtId="0" fontId="45" fillId="8" borderId="38" xfId="22" applyFont="1" applyFill="1" applyBorder="1" applyAlignment="1" applyProtection="1">
      <alignment horizontal="left" vertical="center"/>
      <protection locked="0"/>
    </xf>
    <xf numFmtId="0" fontId="45" fillId="8" borderId="0" xfId="22" applyFont="1" applyFill="1" applyBorder="1" applyAlignment="1" applyProtection="1">
      <alignment horizontal="left" vertical="top" wrapText="1"/>
      <protection locked="0"/>
    </xf>
    <xf numFmtId="0" fontId="45" fillId="8" borderId="43" xfId="22" applyFont="1" applyFill="1" applyBorder="1" applyAlignment="1" applyProtection="1">
      <alignment horizontal="left" vertical="top" wrapText="1"/>
      <protection locked="0"/>
    </xf>
    <xf numFmtId="0" fontId="47" fillId="8" borderId="38" xfId="17" applyFont="1" applyFill="1" applyBorder="1" applyAlignment="1" applyProtection="1">
      <alignment horizontal="left" vertical="center"/>
      <protection locked="0"/>
    </xf>
    <xf numFmtId="0" fontId="41" fillId="0" borderId="0" xfId="22" applyFont="1" applyAlignment="1" applyProtection="1">
      <alignment horizontal="left" vertical="center" wrapText="1"/>
    </xf>
    <xf numFmtId="0" fontId="41" fillId="0" borderId="0" xfId="22" applyFont="1" applyAlignment="1" applyProtection="1">
      <alignment horizontal="left" vertical="center"/>
    </xf>
    <xf numFmtId="0" fontId="41" fillId="0" borderId="0" xfId="22" applyFont="1" applyAlignment="1" applyProtection="1">
      <alignment horizontal="center" vertical="center"/>
    </xf>
    <xf numFmtId="0" fontId="45" fillId="8" borderId="43" xfId="22" applyFont="1" applyFill="1" applyBorder="1" applyAlignment="1" applyProtection="1">
      <alignment vertical="top"/>
      <protection locked="0"/>
    </xf>
    <xf numFmtId="0" fontId="45" fillId="8" borderId="43" xfId="22" applyFont="1" applyFill="1" applyBorder="1" applyAlignment="1" applyProtection="1">
      <alignment horizontal="left" vertical="center"/>
      <protection locked="0"/>
    </xf>
    <xf numFmtId="0" fontId="41" fillId="0" borderId="0" xfId="22" applyFont="1" applyAlignment="1" applyProtection="1">
      <alignment horizontal="left" vertical="center" indent="3"/>
    </xf>
    <xf numFmtId="0" fontId="43" fillId="0" borderId="0" xfId="22" applyFont="1" applyAlignment="1" applyProtection="1">
      <alignment horizontal="left" vertical="center"/>
    </xf>
    <xf numFmtId="0" fontId="40" fillId="0" borderId="0" xfId="22" applyFont="1" applyFill="1" applyAlignment="1" applyProtection="1">
      <alignment horizontal="center" vertical="center" wrapText="1"/>
    </xf>
    <xf numFmtId="0" fontId="41" fillId="0" borderId="0" xfId="22" applyFont="1" applyFill="1" applyAlignment="1" applyProtection="1">
      <alignment horizontal="center" vertical="center"/>
    </xf>
    <xf numFmtId="0" fontId="42" fillId="0" borderId="0" xfId="22" applyFont="1" applyAlignment="1" applyProtection="1">
      <alignment horizontal="center" vertical="center"/>
    </xf>
    <xf numFmtId="0" fontId="9" fillId="0" borderId="2" xfId="0" applyFont="1" applyFill="1" applyBorder="1" applyAlignment="1" applyProtection="1">
      <alignment horizontal="center" vertical="top" wrapText="1"/>
    </xf>
    <xf numFmtId="0" fontId="17" fillId="3" borderId="1" xfId="0" applyFont="1" applyFill="1" applyBorder="1" applyAlignment="1" applyProtection="1">
      <alignment horizontal="center" vertical="top" wrapText="1"/>
    </xf>
    <xf numFmtId="0" fontId="9" fillId="3" borderId="2" xfId="0" applyFont="1" applyFill="1" applyBorder="1" applyAlignment="1" applyProtection="1">
      <alignment horizontal="center" vertical="top" wrapText="1"/>
    </xf>
    <xf numFmtId="0" fontId="17" fillId="3" borderId="2" xfId="0" applyFont="1" applyFill="1" applyBorder="1" applyAlignment="1" applyProtection="1">
      <alignment horizontal="center" vertical="top" wrapText="1"/>
    </xf>
    <xf numFmtId="0" fontId="9" fillId="13" borderId="6" xfId="0" applyFont="1" applyFill="1" applyBorder="1" applyAlignment="1" applyProtection="1">
      <alignment horizontal="center" vertical="top" wrapText="1"/>
      <protection locked="0"/>
    </xf>
    <xf numFmtId="0" fontId="9" fillId="13" borderId="5" xfId="0" applyFont="1" applyFill="1" applyBorder="1" applyAlignment="1" applyProtection="1">
      <alignment horizontal="center" vertical="top" wrapText="1"/>
      <protection locked="0"/>
    </xf>
    <xf numFmtId="0" fontId="9" fillId="13" borderId="17" xfId="0" applyFont="1" applyFill="1" applyBorder="1" applyAlignment="1" applyProtection="1">
      <alignment horizontal="center" vertical="top" wrapText="1"/>
      <protection locked="0"/>
    </xf>
    <xf numFmtId="0" fontId="17" fillId="13" borderId="3" xfId="0" applyFont="1" applyFill="1" applyBorder="1" applyAlignment="1" applyProtection="1">
      <alignment horizontal="center" vertical="top" wrapText="1"/>
    </xf>
    <xf numFmtId="0" fontId="9" fillId="13" borderId="4" xfId="0" applyFont="1" applyFill="1" applyBorder="1" applyAlignment="1" applyProtection="1">
      <alignment horizontal="center" vertical="top" wrapText="1"/>
      <protection locked="0"/>
    </xf>
    <xf numFmtId="3" fontId="71" fillId="0" borderId="34" xfId="0" applyNumberFormat="1" applyFont="1" applyBorder="1" applyAlignment="1">
      <alignment horizontal="center" vertical="top" wrapText="1"/>
    </xf>
    <xf numFmtId="3" fontId="71" fillId="0" borderId="25" xfId="0" applyNumberFormat="1" applyFont="1" applyBorder="1" applyAlignment="1">
      <alignment horizontal="center" vertical="top" wrapText="1"/>
    </xf>
    <xf numFmtId="3" fontId="0" fillId="0" borderId="33" xfId="0" applyNumberFormat="1" applyBorder="1" applyAlignment="1">
      <alignment horizontal="center" vertical="top" wrapText="1"/>
    </xf>
    <xf numFmtId="3" fontId="0" fillId="0" borderId="24" xfId="0" applyNumberFormat="1" applyBorder="1" applyAlignment="1">
      <alignment horizontal="center" vertical="top" wrapText="1"/>
    </xf>
    <xf numFmtId="3" fontId="33" fillId="0" borderId="33" xfId="0" applyNumberFormat="1" applyFont="1" applyBorder="1" applyAlignment="1">
      <alignment horizontal="center" vertical="top" wrapText="1"/>
    </xf>
    <xf numFmtId="3" fontId="33" fillId="0" borderId="24" xfId="0" applyNumberFormat="1" applyFont="1" applyBorder="1" applyAlignment="1">
      <alignment horizontal="center" vertical="top" wrapText="1"/>
    </xf>
    <xf numFmtId="3" fontId="33" fillId="0" borderId="34" xfId="0" applyNumberFormat="1" applyFont="1" applyBorder="1" applyAlignment="1">
      <alignment horizontal="center" vertical="top" wrapText="1"/>
    </xf>
    <xf numFmtId="3" fontId="33" fillId="0" borderId="25" xfId="0" applyNumberFormat="1" applyFont="1" applyBorder="1" applyAlignment="1">
      <alignment horizontal="center" vertical="top" wrapText="1"/>
    </xf>
    <xf numFmtId="3" fontId="0" fillId="0" borderId="33" xfId="0" applyNumberFormat="1" applyFont="1" applyBorder="1" applyAlignment="1">
      <alignment horizontal="center" vertical="top" wrapText="1"/>
    </xf>
    <xf numFmtId="3" fontId="0" fillId="0" borderId="24" xfId="0" applyNumberFormat="1" applyFont="1" applyBorder="1" applyAlignment="1">
      <alignment horizontal="center" vertical="top" wrapText="1"/>
    </xf>
    <xf numFmtId="3" fontId="33" fillId="17" borderId="33" xfId="0" applyNumberFormat="1" applyFont="1" applyFill="1" applyBorder="1" applyAlignment="1">
      <alignment horizontal="center" vertical="top" wrapText="1"/>
    </xf>
    <xf numFmtId="3" fontId="33" fillId="17" borderId="24" xfId="0" applyNumberFormat="1" applyFont="1" applyFill="1" applyBorder="1" applyAlignment="1">
      <alignment horizontal="center" vertical="top" wrapText="1"/>
    </xf>
    <xf numFmtId="0" fontId="0" fillId="0" borderId="33" xfId="0" applyBorder="1" applyAlignment="1">
      <alignment horizontal="center" vertical="top"/>
    </xf>
    <xf numFmtId="3" fontId="0" fillId="0" borderId="33" xfId="0" applyNumberFormat="1" applyFill="1" applyBorder="1" applyAlignment="1">
      <alignment horizontal="center" vertical="top" wrapText="1"/>
    </xf>
    <xf numFmtId="3" fontId="0" fillId="0" borderId="24" xfId="0" applyNumberFormat="1" applyFill="1" applyBorder="1" applyAlignment="1">
      <alignment horizontal="center" vertical="top" wrapText="1"/>
    </xf>
    <xf numFmtId="3" fontId="33" fillId="0" borderId="33" xfId="0" applyNumberFormat="1" applyFont="1" applyFill="1" applyBorder="1" applyAlignment="1">
      <alignment horizontal="center" vertical="top" wrapText="1"/>
    </xf>
    <xf numFmtId="3" fontId="33" fillId="0" borderId="24" xfId="0" applyNumberFormat="1" applyFont="1" applyFill="1" applyBorder="1" applyAlignment="1">
      <alignment horizontal="center" vertical="top" wrapText="1"/>
    </xf>
    <xf numFmtId="0" fontId="20" fillId="0" borderId="18" xfId="0" applyFont="1" applyBorder="1" applyAlignment="1">
      <alignment horizontal="center" vertical="top" wrapText="1"/>
    </xf>
    <xf numFmtId="0" fontId="20" fillId="0" borderId="19" xfId="0" applyFont="1" applyBorder="1" applyAlignment="1">
      <alignment horizontal="center" vertical="top" wrapText="1"/>
    </xf>
    <xf numFmtId="0" fontId="20" fillId="0" borderId="50" xfId="0" applyFont="1" applyBorder="1" applyAlignment="1">
      <alignment horizontal="center" vertical="top" wrapText="1"/>
    </xf>
    <xf numFmtId="0" fontId="20" fillId="0" borderId="18" xfId="0" applyFont="1" applyBorder="1" applyAlignment="1">
      <alignment horizontal="center" vertical="top"/>
    </xf>
    <xf numFmtId="0" fontId="20" fillId="0" borderId="19" xfId="0" applyFont="1" applyBorder="1" applyAlignment="1">
      <alignment horizontal="center" vertical="top"/>
    </xf>
    <xf numFmtId="0" fontId="20" fillId="0" borderId="50" xfId="0" applyFont="1" applyBorder="1" applyAlignment="1">
      <alignment horizontal="center" vertical="top"/>
    </xf>
    <xf numFmtId="3" fontId="20" fillId="0" borderId="98" xfId="0" applyNumberFormat="1" applyFont="1" applyBorder="1" applyAlignment="1">
      <alignment horizontal="center" vertical="top"/>
    </xf>
    <xf numFmtId="3" fontId="20" fillId="0" borderId="28" xfId="0" applyNumberFormat="1" applyFont="1" applyBorder="1" applyAlignment="1">
      <alignment horizontal="center" vertical="top"/>
    </xf>
    <xf numFmtId="3" fontId="20" fillId="0" borderId="29" xfId="0" applyNumberFormat="1" applyFont="1" applyBorder="1" applyAlignment="1">
      <alignment horizontal="center" vertical="top"/>
    </xf>
    <xf numFmtId="0" fontId="70" fillId="0" borderId="18" xfId="0" applyFont="1" applyBorder="1" applyAlignment="1">
      <alignment horizontal="center" vertical="top"/>
    </xf>
    <xf numFmtId="0" fontId="70" fillId="0" borderId="19" xfId="0" applyFont="1" applyBorder="1" applyAlignment="1">
      <alignment horizontal="center" vertical="top"/>
    </xf>
    <xf numFmtId="0" fontId="70" fillId="0" borderId="50" xfId="0" applyFont="1" applyBorder="1" applyAlignment="1">
      <alignment horizontal="center" vertical="top"/>
    </xf>
    <xf numFmtId="3" fontId="33" fillId="17" borderId="32" xfId="0" applyNumberFormat="1" applyFont="1" applyFill="1" applyBorder="1" applyAlignment="1">
      <alignment horizontal="center" vertical="top" wrapText="1"/>
    </xf>
    <xf numFmtId="3" fontId="33" fillId="17" borderId="23" xfId="0" applyNumberFormat="1" applyFont="1" applyFill="1" applyBorder="1" applyAlignment="1">
      <alignment horizontal="center" vertical="top" wrapText="1"/>
    </xf>
    <xf numFmtId="3" fontId="20" fillId="0" borderId="34" xfId="0" applyNumberFormat="1" applyFont="1" applyBorder="1" applyAlignment="1">
      <alignment horizontal="center" vertical="top" wrapText="1"/>
    </xf>
    <xf numFmtId="3" fontId="20" fillId="0" borderId="25" xfId="0" applyNumberFormat="1" applyFont="1" applyBorder="1" applyAlignment="1">
      <alignment horizontal="center" vertical="top" wrapText="1"/>
    </xf>
    <xf numFmtId="3" fontId="0" fillId="0" borderId="32" xfId="0" applyNumberFormat="1" applyBorder="1" applyAlignment="1">
      <alignment horizontal="center" vertical="top" wrapText="1"/>
    </xf>
    <xf numFmtId="3" fontId="0" fillId="0" borderId="23" xfId="0" applyNumberFormat="1" applyBorder="1" applyAlignment="1">
      <alignment horizontal="center" vertical="top" wrapText="1"/>
    </xf>
    <xf numFmtId="0" fontId="13" fillId="3" borderId="7" xfId="0" applyFont="1" applyFill="1" applyBorder="1" applyAlignment="1" applyProtection="1">
      <alignment horizontal="center" vertical="center"/>
    </xf>
    <xf numFmtId="0" fontId="13" fillId="3" borderId="7" xfId="0" applyFont="1" applyFill="1" applyBorder="1" applyAlignment="1" applyProtection="1">
      <alignment horizontal="center"/>
    </xf>
    <xf numFmtId="0" fontId="4" fillId="3" borderId="7" xfId="0" applyFont="1" applyFill="1" applyBorder="1" applyAlignment="1" applyProtection="1">
      <alignment horizontal="left" vertical="center" wrapText="1"/>
    </xf>
    <xf numFmtId="0" fontId="9" fillId="3" borderId="7" xfId="0" applyFont="1" applyFill="1" applyBorder="1" applyAlignment="1" applyProtection="1">
      <alignment horizontal="center" vertical="center" wrapText="1"/>
    </xf>
    <xf numFmtId="0" fontId="0" fillId="0" borderId="0" xfId="0" applyFont="1" applyAlignment="1">
      <alignment horizontal="left" vertical="top" wrapText="1"/>
    </xf>
    <xf numFmtId="0" fontId="0" fillId="0" borderId="24" xfId="0" applyBorder="1" applyAlignment="1">
      <alignment horizontal="center"/>
    </xf>
    <xf numFmtId="0" fontId="0" fillId="0" borderId="0" xfId="0" applyAlignment="1">
      <alignment horizontal="center"/>
    </xf>
    <xf numFmtId="4" fontId="20" fillId="0" borderId="58" xfId="0" applyNumberFormat="1" applyFont="1" applyBorder="1" applyAlignment="1">
      <alignment horizontal="center" vertical="center" wrapText="1"/>
    </xf>
    <xf numFmtId="4" fontId="20" fillId="0" borderId="30" xfId="0" applyNumberFormat="1" applyFont="1" applyBorder="1" applyAlignment="1">
      <alignment horizontal="center" vertical="center" wrapText="1"/>
    </xf>
    <xf numFmtId="4" fontId="20" fillId="0" borderId="37" xfId="0" applyNumberFormat="1" applyFont="1" applyBorder="1" applyAlignment="1">
      <alignment horizontal="center" vertical="center" wrapText="1"/>
    </xf>
    <xf numFmtId="4" fontId="20" fillId="0" borderId="38" xfId="0" applyNumberFormat="1" applyFont="1" applyBorder="1" applyAlignment="1">
      <alignment horizontal="center" vertical="center" wrapText="1"/>
    </xf>
    <xf numFmtId="4" fontId="20" fillId="0" borderId="35" xfId="0" applyNumberFormat="1" applyFont="1" applyBorder="1" applyAlignment="1">
      <alignment horizontal="center" vertical="center" wrapText="1"/>
    </xf>
    <xf numFmtId="0" fontId="20" fillId="0" borderId="37" xfId="0" applyFont="1" applyBorder="1" applyAlignment="1">
      <alignment horizontal="center" vertical="center" wrapText="1"/>
    </xf>
    <xf numFmtId="0" fontId="20" fillId="0" borderId="38" xfId="0" applyFont="1" applyBorder="1" applyAlignment="1">
      <alignment horizontal="center" vertical="center" wrapText="1"/>
    </xf>
    <xf numFmtId="0" fontId="20" fillId="0" borderId="35" xfId="0" applyFont="1" applyBorder="1" applyAlignment="1">
      <alignment horizontal="center" vertical="center" wrapText="1"/>
    </xf>
    <xf numFmtId="0" fontId="20" fillId="0" borderId="58" xfId="0" applyFont="1" applyBorder="1" applyAlignment="1">
      <alignment horizontal="center" vertical="center" wrapText="1"/>
    </xf>
    <xf numFmtId="0" fontId="20" fillId="0" borderId="30" xfId="0" applyFont="1" applyBorder="1" applyAlignment="1">
      <alignment horizontal="center" vertical="center" wrapText="1"/>
    </xf>
    <xf numFmtId="170" fontId="20" fillId="0" borderId="33" xfId="0" applyNumberFormat="1" applyFont="1" applyBorder="1" applyAlignment="1">
      <alignment horizontal="center" vertical="center" wrapText="1"/>
    </xf>
    <xf numFmtId="1" fontId="20" fillId="0" borderId="58" xfId="0" applyNumberFormat="1" applyFont="1" applyBorder="1" applyAlignment="1">
      <alignment horizontal="center" vertical="center" wrapText="1"/>
    </xf>
    <xf numFmtId="1" fontId="20" fillId="0" borderId="30" xfId="0" applyNumberFormat="1" applyFont="1" applyBorder="1" applyAlignment="1">
      <alignment horizontal="center" vertical="center" wrapText="1"/>
    </xf>
    <xf numFmtId="0" fontId="60" fillId="20" borderId="32" xfId="0" applyFont="1" applyFill="1" applyBorder="1" applyAlignment="1">
      <alignment horizontal="left" vertical="center" wrapText="1" indent="1"/>
    </xf>
    <xf numFmtId="0" fontId="60" fillId="20" borderId="33" xfId="0" applyFont="1" applyFill="1" applyBorder="1" applyAlignment="1">
      <alignment horizontal="center" vertical="center" wrapText="1"/>
    </xf>
    <xf numFmtId="3" fontId="60" fillId="20" borderId="33" xfId="0" applyNumberFormat="1" applyFont="1" applyFill="1" applyBorder="1" applyAlignment="1">
      <alignment horizontal="center" vertical="center"/>
    </xf>
    <xf numFmtId="0" fontId="60" fillId="20" borderId="33" xfId="0" applyFont="1" applyFill="1" applyBorder="1" applyAlignment="1">
      <alignment horizontal="center"/>
    </xf>
    <xf numFmtId="0" fontId="60" fillId="20" borderId="34" xfId="0" applyFont="1" applyFill="1" applyBorder="1" applyAlignment="1">
      <alignment horizontal="center"/>
    </xf>
    <xf numFmtId="0" fontId="60" fillId="20" borderId="0" xfId="0" applyFont="1" applyFill="1"/>
    <xf numFmtId="0" fontId="60" fillId="7" borderId="32" xfId="0" applyFont="1" applyFill="1" applyBorder="1" applyAlignment="1">
      <alignment horizontal="left" vertical="center" wrapText="1" indent="1"/>
    </xf>
    <xf numFmtId="0" fontId="60" fillId="7" borderId="33" xfId="0" applyFont="1" applyFill="1" applyBorder="1" applyAlignment="1">
      <alignment horizontal="center" vertical="center" wrapText="1"/>
    </xf>
    <xf numFmtId="171" fontId="60" fillId="7" borderId="33" xfId="0" applyNumberFormat="1" applyFont="1" applyFill="1" applyBorder="1" applyAlignment="1">
      <alignment horizontal="left" vertical="center" indent="1"/>
    </xf>
    <xf numFmtId="0" fontId="60" fillId="7" borderId="34" xfId="0" applyFont="1" applyFill="1" applyBorder="1" applyAlignment="1">
      <alignment horizontal="center"/>
    </xf>
    <xf numFmtId="0" fontId="60" fillId="7" borderId="0" xfId="0" applyFont="1" applyFill="1"/>
  </cellXfs>
  <cellStyles count="24">
    <cellStyle name="cf1" xfId="1"/>
    <cellStyle name="cf10" xfId="2"/>
    <cellStyle name="cf2" xfId="3"/>
    <cellStyle name="cf3" xfId="4"/>
    <cellStyle name="cf4" xfId="5"/>
    <cellStyle name="cf5" xfId="6"/>
    <cellStyle name="cf6" xfId="7"/>
    <cellStyle name="cf7" xfId="8"/>
    <cellStyle name="cf8" xfId="9"/>
    <cellStyle name="cf9" xfId="10"/>
    <cellStyle name="Comma" xfId="18" builtinId="3"/>
    <cellStyle name="Comma 2" xfId="21"/>
    <cellStyle name="Comma 3" xfId="20"/>
    <cellStyle name="Excel_BuiltIn_Comma" xfId="11"/>
    <cellStyle name="Excel_BuiltIn_Hyperlink" xfId="12"/>
    <cellStyle name="Heading" xfId="13"/>
    <cellStyle name="Heading1" xfId="14"/>
    <cellStyle name="Hyperlink" xfId="17" builtinId="8"/>
    <cellStyle name="Normal" xfId="0" builtinId="0" customBuiltin="1"/>
    <cellStyle name="Normal 2" xfId="22"/>
    <cellStyle name="Normal 5" xfId="19"/>
    <cellStyle name="Percent" xfId="23" builtinId="5"/>
    <cellStyle name="Result" xfId="15"/>
    <cellStyle name="Result2" xfId="16"/>
  </cellStyles>
  <dxfs count="71">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9C0006"/>
      </font>
      <fill>
        <patternFill>
          <bgColor rgb="FFFFC7CE"/>
        </patternFill>
      </fill>
    </dxf>
    <dxf>
      <fill>
        <patternFill>
          <bgColor theme="5"/>
        </patternFill>
      </fill>
    </dxf>
    <dxf>
      <font>
        <color rgb="FF000000"/>
      </font>
      <fill>
        <patternFill patternType="solid">
          <fgColor rgb="FFFF6600"/>
          <bgColor rgb="FFFF6600"/>
        </patternFill>
      </fill>
    </dxf>
    <dxf>
      <font>
        <color rgb="FF000000"/>
      </font>
      <fill>
        <patternFill patternType="solid">
          <fgColor rgb="FFFF6600"/>
          <bgColor rgb="FFFF66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60960</xdr:colOff>
      <xdr:row>0</xdr:row>
      <xdr:rowOff>118109</xdr:rowOff>
    </xdr:from>
    <xdr:to>
      <xdr:col>13</xdr:col>
      <xdr:colOff>591820</xdr:colOff>
      <xdr:row>27</xdr:row>
      <xdr:rowOff>141068</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 y="118109"/>
          <a:ext cx="9116060" cy="48235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20MATTERS\01_PCSD%20FILES\BAC%20&amp;%20Procurement%20Files\APP%202019\APP-CSE2019%20PCSD_11-14-201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20MATTERS\01_PCSD%20FILES\BAC%20&amp;%20Procurement%20Files\APP%202019\2019%20APP-CSE%20DENR-PCSDS%20(SUMMATION)_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erard/Downloads/Public/Downloads/NEW%20APP%20Version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WORK%20MATTERS\01_PCSD%20FILES\EPEZMD%20or%20EPIPDD\FY%202020%20WFPlanning\Attachments%20to%20Memo%20re%20WFP\FY%202020%20Division%20Plans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sts"/>
      <sheetName val="APP"/>
      <sheetName val="db_header"/>
      <sheetName val="db_details_Q1"/>
      <sheetName val="db_details_Q2"/>
      <sheetName val="db_details_Q3"/>
      <sheetName val="db_details_Q4"/>
    </sheetNames>
    <sheetDataSet>
      <sheetData sheetId="0" refreshError="1">
        <row r="1">
          <cell r="M1" t="str">
            <v>ITEM</v>
          </cell>
          <cell r="N1" t="str">
            <v>Segment</v>
          </cell>
          <cell r="O1" t="str">
            <v>Price</v>
          </cell>
        </row>
        <row r="2">
          <cell r="M2" t="str">
            <v>43202222-CA-001</v>
          </cell>
          <cell r="N2">
            <v>11</v>
          </cell>
          <cell r="O2">
            <v>6045.76</v>
          </cell>
        </row>
        <row r="3">
          <cell r="M3" t="str">
            <v>13111203-AC-F01</v>
          </cell>
          <cell r="N3">
            <v>11</v>
          </cell>
          <cell r="O3">
            <v>708.88</v>
          </cell>
        </row>
        <row r="4">
          <cell r="M4" t="str">
            <v>47131812-AF-A01</v>
          </cell>
          <cell r="N4">
            <v>11</v>
          </cell>
          <cell r="O4">
            <v>82.75</v>
          </cell>
        </row>
        <row r="5">
          <cell r="M5" t="str">
            <v>43212111-GFA001</v>
          </cell>
          <cell r="N5">
            <v>11</v>
          </cell>
          <cell r="O5">
            <v>0</v>
          </cell>
        </row>
        <row r="6">
          <cell r="M6" t="str">
            <v>48101714-AP-D01</v>
          </cell>
          <cell r="N6">
            <v>11</v>
          </cell>
          <cell r="O6">
            <v>1200</v>
          </cell>
        </row>
        <row r="7">
          <cell r="M7" t="str">
            <v>12191601-AL-E01</v>
          </cell>
          <cell r="N7">
            <v>11</v>
          </cell>
          <cell r="O7">
            <v>42.3</v>
          </cell>
        </row>
        <row r="8">
          <cell r="M8" t="str">
            <v>39111801-BA-F01</v>
          </cell>
          <cell r="N8">
            <v>11</v>
          </cell>
          <cell r="O8">
            <v>69.900000000000006</v>
          </cell>
        </row>
        <row r="9">
          <cell r="M9" t="str">
            <v>39111801-BA-F02</v>
          </cell>
          <cell r="N9">
            <v>11</v>
          </cell>
          <cell r="O9">
            <v>0</v>
          </cell>
        </row>
        <row r="10">
          <cell r="M10" t="str">
            <v>26111702-BT-A02</v>
          </cell>
          <cell r="N10">
            <v>11</v>
          </cell>
          <cell r="O10">
            <v>18.75</v>
          </cell>
        </row>
        <row r="11">
          <cell r="M11" t="str">
            <v>26111702-BT-A01</v>
          </cell>
          <cell r="N11">
            <v>11</v>
          </cell>
          <cell r="O11">
            <v>18.97</v>
          </cell>
        </row>
        <row r="12">
          <cell r="M12" t="str">
            <v>26111702-BT-A03</v>
          </cell>
          <cell r="N12">
            <v>11</v>
          </cell>
          <cell r="O12">
            <v>85</v>
          </cell>
        </row>
        <row r="13">
          <cell r="M13" t="str">
            <v>44122003-BI-D01</v>
          </cell>
          <cell r="N13">
            <v>11</v>
          </cell>
          <cell r="O13">
            <v>110</v>
          </cell>
        </row>
        <row r="14">
          <cell r="M14" t="str">
            <v>44122003-BI-D02</v>
          </cell>
          <cell r="N14">
            <v>11</v>
          </cell>
          <cell r="O14">
            <v>115</v>
          </cell>
        </row>
        <row r="15">
          <cell r="M15" t="str">
            <v>44101602-PB-M01</v>
          </cell>
          <cell r="N15">
            <v>11</v>
          </cell>
          <cell r="O15">
            <v>10000</v>
          </cell>
        </row>
        <row r="16">
          <cell r="M16" t="str">
            <v>47131604-BR-S01</v>
          </cell>
          <cell r="N16">
            <v>11</v>
          </cell>
          <cell r="O16">
            <v>125</v>
          </cell>
        </row>
        <row r="17">
          <cell r="M17" t="str">
            <v>47131604-BR-T01</v>
          </cell>
          <cell r="N17">
            <v>11</v>
          </cell>
          <cell r="O17">
            <v>29.4</v>
          </cell>
        </row>
        <row r="18">
          <cell r="M18" t="str">
            <v>44101807-CA-C01</v>
          </cell>
          <cell r="N18">
            <v>11</v>
          </cell>
          <cell r="O18">
            <v>130</v>
          </cell>
        </row>
        <row r="19">
          <cell r="M19" t="str">
            <v>44101810-CA-D02</v>
          </cell>
          <cell r="N19">
            <v>11</v>
          </cell>
          <cell r="O19">
            <v>0</v>
          </cell>
        </row>
        <row r="20">
          <cell r="M20" t="str">
            <v>44101810-CA-D01</v>
          </cell>
          <cell r="N20">
            <v>11</v>
          </cell>
          <cell r="O20">
            <v>895</v>
          </cell>
        </row>
        <row r="21">
          <cell r="M21" t="str">
            <v>44101808-CA-S01</v>
          </cell>
          <cell r="N21">
            <v>11</v>
          </cell>
          <cell r="O21">
            <v>248.88</v>
          </cell>
        </row>
        <row r="22">
          <cell r="M22" t="str">
            <v>13111201-CF-P01</v>
          </cell>
          <cell r="N22">
            <v>11</v>
          </cell>
          <cell r="O22">
            <v>212.5</v>
          </cell>
        </row>
        <row r="23">
          <cell r="M23" t="str">
            <v>13111201-CF-P02</v>
          </cell>
          <cell r="N23">
            <v>11</v>
          </cell>
          <cell r="O23">
            <v>200.5</v>
          </cell>
        </row>
        <row r="24">
          <cell r="M24" t="str">
            <v>14111525-CA-A01</v>
          </cell>
          <cell r="N24">
            <v>11</v>
          </cell>
          <cell r="O24">
            <v>69.98</v>
          </cell>
        </row>
        <row r="25">
          <cell r="M25" t="str">
            <v>14111525-CA-W01</v>
          </cell>
          <cell r="N25">
            <v>11</v>
          </cell>
          <cell r="O25">
            <v>50</v>
          </cell>
        </row>
        <row r="26">
          <cell r="M26" t="str">
            <v>46101600-CRT-09</v>
          </cell>
          <cell r="N26">
            <v>11</v>
          </cell>
          <cell r="O26">
            <v>21</v>
          </cell>
        </row>
        <row r="27">
          <cell r="M27" t="str">
            <v>56101504-CM-B01</v>
          </cell>
          <cell r="N27">
            <v>11</v>
          </cell>
          <cell r="O27">
            <v>252.5</v>
          </cell>
        </row>
        <row r="28">
          <cell r="M28" t="str">
            <v>56101504-CM-W01</v>
          </cell>
          <cell r="N28">
            <v>11</v>
          </cell>
          <cell r="O28">
            <v>252.5</v>
          </cell>
        </row>
        <row r="29">
          <cell r="M29" t="str">
            <v>44121710-CH-W01</v>
          </cell>
          <cell r="N29">
            <v>11</v>
          </cell>
          <cell r="O29">
            <v>24.69</v>
          </cell>
        </row>
        <row r="30">
          <cell r="M30" t="str">
            <v>47131829-TB-C01</v>
          </cell>
          <cell r="N30">
            <v>11</v>
          </cell>
          <cell r="O30">
            <v>40</v>
          </cell>
        </row>
        <row r="31">
          <cell r="M31" t="str">
            <v>47131805-CL-P01</v>
          </cell>
          <cell r="N31">
            <v>11</v>
          </cell>
          <cell r="O31">
            <v>23</v>
          </cell>
        </row>
        <row r="32">
          <cell r="M32" t="str">
            <v>60121413-CB-P01</v>
          </cell>
          <cell r="N32">
            <v>11</v>
          </cell>
          <cell r="O32">
            <v>38.25</v>
          </cell>
        </row>
        <row r="33">
          <cell r="M33" t="str">
            <v>60121413-CB-P02</v>
          </cell>
          <cell r="N33">
            <v>11</v>
          </cell>
          <cell r="O33">
            <v>40.75</v>
          </cell>
        </row>
        <row r="34">
          <cell r="M34" t="str">
            <v>44122105-BF-C01</v>
          </cell>
          <cell r="N34">
            <v>11</v>
          </cell>
          <cell r="O34">
            <v>7.28</v>
          </cell>
        </row>
        <row r="35">
          <cell r="M35" t="str">
            <v>44122105-BF-C02</v>
          </cell>
          <cell r="N35">
            <v>11</v>
          </cell>
          <cell r="O35">
            <v>12.88</v>
          </cell>
        </row>
        <row r="36">
          <cell r="M36" t="str">
            <v>44122105-BF-C03</v>
          </cell>
          <cell r="N36">
            <v>11</v>
          </cell>
          <cell r="O36">
            <v>19.760000000000002</v>
          </cell>
        </row>
        <row r="37">
          <cell r="M37" t="str">
            <v>44122105-BF-C04</v>
          </cell>
          <cell r="N37">
            <v>11</v>
          </cell>
          <cell r="O37">
            <v>38</v>
          </cell>
        </row>
        <row r="38">
          <cell r="M38" t="str">
            <v>44122105-BD-C01</v>
          </cell>
          <cell r="N38">
            <v>11</v>
          </cell>
          <cell r="O38">
            <v>0</v>
          </cell>
        </row>
        <row r="39">
          <cell r="M39" t="str">
            <v>14111513-CO-N01</v>
          </cell>
          <cell r="N39">
            <v>11</v>
          </cell>
          <cell r="O39">
            <v>21</v>
          </cell>
        </row>
        <row r="40">
          <cell r="M40" t="str">
            <v>14111513-CO-P02</v>
          </cell>
          <cell r="N40">
            <v>11</v>
          </cell>
          <cell r="O40">
            <v>35</v>
          </cell>
        </row>
        <row r="41">
          <cell r="M41" t="str">
            <v>14111513-CO-P03</v>
          </cell>
          <cell r="N41">
            <v>11</v>
          </cell>
          <cell r="O41">
            <v>34.479999999999997</v>
          </cell>
        </row>
        <row r="42">
          <cell r="M42" t="str">
            <v>14111513-CO-P04</v>
          </cell>
          <cell r="N42">
            <v>11</v>
          </cell>
          <cell r="O42">
            <v>0</v>
          </cell>
        </row>
        <row r="43">
          <cell r="M43" t="str">
            <v>43202001-CD-R01</v>
          </cell>
          <cell r="N43">
            <v>11</v>
          </cell>
          <cell r="O43">
            <v>9.75</v>
          </cell>
        </row>
        <row r="44">
          <cell r="M44" t="str">
            <v>43202001-CD-W01</v>
          </cell>
          <cell r="N44">
            <v>11</v>
          </cell>
          <cell r="O44">
            <v>16.75</v>
          </cell>
        </row>
        <row r="45">
          <cell r="M45" t="str">
            <v>39101619-FL-C01</v>
          </cell>
          <cell r="N45">
            <v>11</v>
          </cell>
          <cell r="O45">
            <v>0</v>
          </cell>
        </row>
        <row r="46">
          <cell r="M46" t="str">
            <v>14111506-CF-L11</v>
          </cell>
          <cell r="N46">
            <v>11</v>
          </cell>
          <cell r="O46">
            <v>656</v>
          </cell>
        </row>
        <row r="47">
          <cell r="M47" t="str">
            <v>14111506-CF-L12</v>
          </cell>
          <cell r="N47">
            <v>11</v>
          </cell>
          <cell r="O47">
            <v>990</v>
          </cell>
        </row>
        <row r="48">
          <cell r="M48" t="str">
            <v>14111506-CF-L22</v>
          </cell>
          <cell r="N48">
            <v>11</v>
          </cell>
          <cell r="O48">
            <v>1250</v>
          </cell>
        </row>
        <row r="49">
          <cell r="M49" t="str">
            <v>14111506-CF-L21</v>
          </cell>
          <cell r="N49">
            <v>11</v>
          </cell>
          <cell r="O49">
            <v>736</v>
          </cell>
        </row>
        <row r="50">
          <cell r="M50" t="str">
            <v>14111506-CF-L31</v>
          </cell>
          <cell r="N50">
            <v>11</v>
          </cell>
          <cell r="O50">
            <v>573.85</v>
          </cell>
        </row>
        <row r="51">
          <cell r="M51" t="str">
            <v>14111506-CF-L32</v>
          </cell>
          <cell r="N51">
            <v>11</v>
          </cell>
          <cell r="O51">
            <v>995</v>
          </cell>
        </row>
        <row r="52">
          <cell r="M52" t="str">
            <v>14111506-CF-C31</v>
          </cell>
          <cell r="N52">
            <v>11</v>
          </cell>
          <cell r="O52">
            <v>477.6</v>
          </cell>
        </row>
        <row r="53">
          <cell r="M53" t="str">
            <v>14111506-CF-C32</v>
          </cell>
          <cell r="N53">
            <v>11</v>
          </cell>
          <cell r="O53">
            <v>748.85</v>
          </cell>
        </row>
        <row r="54">
          <cell r="M54" t="str">
            <v>44121801-CT-R01</v>
          </cell>
          <cell r="N54">
            <v>11</v>
          </cell>
          <cell r="O54">
            <v>16.88</v>
          </cell>
        </row>
        <row r="55">
          <cell r="M55" t="str">
            <v>44121612-BL-H01</v>
          </cell>
          <cell r="N55">
            <v>11</v>
          </cell>
          <cell r="O55">
            <v>11.32</v>
          </cell>
        </row>
        <row r="56">
          <cell r="M56" t="str">
            <v>44121612-CU-H01</v>
          </cell>
          <cell r="N56">
            <v>11</v>
          </cell>
          <cell r="O56">
            <v>26.35</v>
          </cell>
        </row>
        <row r="57">
          <cell r="M57" t="str">
            <v>44111515-DF-B01</v>
          </cell>
          <cell r="N57">
            <v>11</v>
          </cell>
          <cell r="O57">
            <v>67.099999999999994</v>
          </cell>
        </row>
        <row r="58">
          <cell r="M58" t="str">
            <v>44122011-DF-F01</v>
          </cell>
          <cell r="N58">
            <v>11</v>
          </cell>
          <cell r="O58">
            <v>66</v>
          </cell>
        </row>
        <row r="59">
          <cell r="M59" t="str">
            <v>44103202-DS-M01</v>
          </cell>
          <cell r="N59">
            <v>11</v>
          </cell>
          <cell r="O59">
            <v>459.98</v>
          </cell>
        </row>
        <row r="60">
          <cell r="M60" t="str">
            <v>60101733-SC-F03</v>
          </cell>
          <cell r="N60">
            <v>11</v>
          </cell>
          <cell r="O60">
            <v>179</v>
          </cell>
        </row>
        <row r="61">
          <cell r="M61" t="str">
            <v>60101733-SC-F04</v>
          </cell>
          <cell r="N61">
            <v>11</v>
          </cell>
          <cell r="O61">
            <v>135</v>
          </cell>
        </row>
        <row r="62">
          <cell r="M62" t="str">
            <v>60101733-DE-F01</v>
          </cell>
          <cell r="N62">
            <v>11</v>
          </cell>
          <cell r="O62">
            <v>135</v>
          </cell>
        </row>
        <row r="63">
          <cell r="M63" t="str">
            <v>60101733-SC-F02</v>
          </cell>
          <cell r="N63">
            <v>11</v>
          </cell>
          <cell r="O63">
            <v>179</v>
          </cell>
        </row>
        <row r="64">
          <cell r="M64" t="str">
            <v>43211507-DCT-01</v>
          </cell>
          <cell r="N64">
            <v>12</v>
          </cell>
          <cell r="O64">
            <v>25490</v>
          </cell>
        </row>
        <row r="65">
          <cell r="M65" t="str">
            <v>43211507-DCT-03</v>
          </cell>
          <cell r="N65">
            <v>12</v>
          </cell>
          <cell r="O65">
            <v>37700</v>
          </cell>
        </row>
        <row r="66">
          <cell r="M66" t="str">
            <v>43211507-DCT-02</v>
          </cell>
          <cell r="N66">
            <v>12</v>
          </cell>
          <cell r="O66">
            <v>33180</v>
          </cell>
        </row>
        <row r="67">
          <cell r="M67" t="str">
            <v>47131811-DE-B02</v>
          </cell>
          <cell r="N67">
            <v>11</v>
          </cell>
          <cell r="O67">
            <v>7.7</v>
          </cell>
        </row>
        <row r="68">
          <cell r="M68" t="str">
            <v>47131811-DE-B01</v>
          </cell>
          <cell r="N68">
            <v>11</v>
          </cell>
          <cell r="O68">
            <v>16.649999999999999</v>
          </cell>
        </row>
        <row r="69">
          <cell r="M69" t="str">
            <v>47131811-DE-P02</v>
          </cell>
          <cell r="N69">
            <v>11</v>
          </cell>
          <cell r="O69">
            <v>35.99</v>
          </cell>
        </row>
        <row r="70">
          <cell r="M70" t="str">
            <v>47131811-DE-P01</v>
          </cell>
          <cell r="N70">
            <v>11</v>
          </cell>
          <cell r="O70">
            <v>0</v>
          </cell>
        </row>
        <row r="71">
          <cell r="M71" t="str">
            <v>44103108-EP-D02</v>
          </cell>
          <cell r="N71">
            <v>11</v>
          </cell>
          <cell r="O71">
            <v>4996</v>
          </cell>
        </row>
        <row r="72">
          <cell r="M72" t="str">
            <v>44103108-EP-D03</v>
          </cell>
          <cell r="N72">
            <v>11</v>
          </cell>
          <cell r="O72">
            <v>5093</v>
          </cell>
        </row>
        <row r="73">
          <cell r="M73" t="str">
            <v>44103108-EP-D05</v>
          </cell>
          <cell r="N73">
            <v>11</v>
          </cell>
          <cell r="O73">
            <v>3145</v>
          </cell>
        </row>
        <row r="74">
          <cell r="M74" t="str">
            <v>44103108-EP-D06</v>
          </cell>
          <cell r="N74">
            <v>11</v>
          </cell>
          <cell r="O74">
            <v>3473</v>
          </cell>
        </row>
        <row r="75">
          <cell r="M75" t="str">
            <v>44103108-EP-D07</v>
          </cell>
          <cell r="N75">
            <v>11</v>
          </cell>
          <cell r="O75">
            <v>5135</v>
          </cell>
        </row>
        <row r="76">
          <cell r="M76" t="str">
            <v>52161535-DV-R01</v>
          </cell>
          <cell r="N76">
            <v>11</v>
          </cell>
          <cell r="O76">
            <v>6565.52</v>
          </cell>
        </row>
        <row r="77">
          <cell r="M77" t="str">
            <v>47131803-DS-A01</v>
          </cell>
          <cell r="N77">
            <v>11</v>
          </cell>
          <cell r="O77">
            <v>118.25</v>
          </cell>
        </row>
        <row r="78">
          <cell r="M78" t="str">
            <v>47131800-DB-S01</v>
          </cell>
          <cell r="N78">
            <v>11</v>
          </cell>
          <cell r="O78">
            <v>97.9</v>
          </cell>
        </row>
        <row r="79">
          <cell r="M79" t="str">
            <v>43202102-DS-C01</v>
          </cell>
          <cell r="N79">
            <v>11</v>
          </cell>
          <cell r="O79">
            <v>168.88</v>
          </cell>
        </row>
        <row r="80">
          <cell r="M80" t="str">
            <v>45121517-DO-C01</v>
          </cell>
          <cell r="N80">
            <v>12</v>
          </cell>
          <cell r="O80">
            <v>27750</v>
          </cell>
        </row>
        <row r="81">
          <cell r="M81" t="str">
            <v>60121800-DR-I01</v>
          </cell>
          <cell r="N81">
            <v>11</v>
          </cell>
          <cell r="O81">
            <v>52</v>
          </cell>
        </row>
        <row r="82">
          <cell r="M82" t="str">
            <v>85121810-DTK01</v>
          </cell>
          <cell r="N82">
            <v>11</v>
          </cell>
          <cell r="O82">
            <v>32</v>
          </cell>
        </row>
        <row r="83">
          <cell r="M83" t="str">
            <v>44103109-BR-D01</v>
          </cell>
          <cell r="N83">
            <v>11</v>
          </cell>
          <cell r="O83">
            <v>8200</v>
          </cell>
        </row>
        <row r="84">
          <cell r="M84" t="str">
            <v>44103109-BR-D02</v>
          </cell>
          <cell r="N84">
            <v>11</v>
          </cell>
          <cell r="O84">
            <v>7600</v>
          </cell>
        </row>
        <row r="85">
          <cell r="M85" t="str">
            <v>44103109-BR-D05</v>
          </cell>
          <cell r="N85">
            <v>11</v>
          </cell>
          <cell r="O85">
            <v>6600</v>
          </cell>
        </row>
        <row r="86">
          <cell r="M86" t="str">
            <v>44103109-BR-D03</v>
          </cell>
          <cell r="N86">
            <v>11</v>
          </cell>
          <cell r="O86">
            <v>6535</v>
          </cell>
        </row>
        <row r="87">
          <cell r="M87" t="str">
            <v>44103109-BR-D04</v>
          </cell>
          <cell r="N87">
            <v>11</v>
          </cell>
          <cell r="O87">
            <v>6320</v>
          </cell>
        </row>
        <row r="88">
          <cell r="M88" t="str">
            <v>44103109-SA-D01</v>
          </cell>
          <cell r="N88">
            <v>11</v>
          </cell>
          <cell r="O88">
            <v>6800</v>
          </cell>
        </row>
        <row r="89">
          <cell r="M89" t="str">
            <v>47131601-DU-P01</v>
          </cell>
          <cell r="N89">
            <v>11</v>
          </cell>
          <cell r="O89">
            <v>23.88</v>
          </cell>
        </row>
        <row r="90">
          <cell r="M90" t="str">
            <v>43202003-DV-R01</v>
          </cell>
          <cell r="N90">
            <v>11</v>
          </cell>
          <cell r="O90">
            <v>10.76</v>
          </cell>
        </row>
        <row r="91">
          <cell r="M91" t="str">
            <v>43202003-DV-W01</v>
          </cell>
          <cell r="N91">
            <v>11</v>
          </cell>
          <cell r="O91">
            <v>20.95</v>
          </cell>
        </row>
        <row r="92">
          <cell r="M92" t="str">
            <v>44122003-ED-B01</v>
          </cell>
          <cell r="N92">
            <v>11</v>
          </cell>
          <cell r="O92">
            <v>36.85</v>
          </cell>
        </row>
        <row r="93">
          <cell r="M93" t="str">
            <v>44122003-ED-B02</v>
          </cell>
          <cell r="N93">
            <v>11</v>
          </cell>
          <cell r="O93">
            <v>53</v>
          </cell>
        </row>
        <row r="94">
          <cell r="M94" t="str">
            <v>40101604-EF-G01</v>
          </cell>
          <cell r="N94">
            <v>11</v>
          </cell>
          <cell r="O94">
            <v>937</v>
          </cell>
        </row>
        <row r="95">
          <cell r="M95" t="str">
            <v>40101604-EF-C01</v>
          </cell>
          <cell r="N95">
            <v>11</v>
          </cell>
          <cell r="O95">
            <v>1147</v>
          </cell>
        </row>
        <row r="96">
          <cell r="M96" t="str">
            <v>40101604-EF-S01</v>
          </cell>
          <cell r="N96">
            <v>11</v>
          </cell>
          <cell r="O96">
            <v>967.68</v>
          </cell>
        </row>
        <row r="97">
          <cell r="M97" t="str">
            <v>40101604-EF-W01</v>
          </cell>
          <cell r="N97">
            <v>11</v>
          </cell>
          <cell r="O97">
            <v>643.9</v>
          </cell>
        </row>
        <row r="98">
          <cell r="M98" t="str">
            <v>44103201-ET-R01</v>
          </cell>
          <cell r="N98">
            <v>11</v>
          </cell>
          <cell r="O98">
            <v>3188</v>
          </cell>
        </row>
        <row r="99">
          <cell r="M99" t="str">
            <v>44121506-EN-D01</v>
          </cell>
          <cell r="N99">
            <v>11</v>
          </cell>
          <cell r="O99">
            <v>392.44</v>
          </cell>
        </row>
        <row r="100">
          <cell r="M100" t="str">
            <v>44121506-EN-D02</v>
          </cell>
          <cell r="N100">
            <v>11</v>
          </cell>
          <cell r="O100">
            <v>498.15</v>
          </cell>
        </row>
        <row r="101">
          <cell r="M101" t="str">
            <v>44121506-EN-X01</v>
          </cell>
          <cell r="N101">
            <v>11</v>
          </cell>
          <cell r="O101">
            <v>710</v>
          </cell>
        </row>
        <row r="102">
          <cell r="M102" t="str">
            <v>44121506-EN-X02</v>
          </cell>
          <cell r="N102">
            <v>11</v>
          </cell>
          <cell r="O102">
            <v>29.32</v>
          </cell>
        </row>
        <row r="103">
          <cell r="M103" t="str">
            <v>44121504-EN-W01</v>
          </cell>
          <cell r="N103">
            <v>11</v>
          </cell>
          <cell r="O103">
            <v>395</v>
          </cell>
        </row>
        <row r="104">
          <cell r="M104" t="str">
            <v>44121506-EN-M01</v>
          </cell>
          <cell r="N104">
            <v>11</v>
          </cell>
          <cell r="O104">
            <v>316</v>
          </cell>
        </row>
        <row r="105">
          <cell r="M105" t="str">
            <v>44121506-EN-P01</v>
          </cell>
          <cell r="N105">
            <v>11</v>
          </cell>
          <cell r="O105">
            <v>114.8</v>
          </cell>
        </row>
        <row r="106">
          <cell r="M106" t="str">
            <v>44111912-ER-B01</v>
          </cell>
          <cell r="N106">
            <v>11</v>
          </cell>
          <cell r="O106">
            <v>10.68</v>
          </cell>
        </row>
        <row r="107">
          <cell r="M107" t="str">
            <v>60121534-ER-P01</v>
          </cell>
          <cell r="N107">
            <v>11</v>
          </cell>
          <cell r="O107">
            <v>4.25</v>
          </cell>
        </row>
        <row r="108">
          <cell r="M108" t="str">
            <v>81112501-EXL006</v>
          </cell>
          <cell r="N108">
            <v>11</v>
          </cell>
          <cell r="O108">
            <v>10632.56</v>
          </cell>
        </row>
        <row r="109">
          <cell r="M109" t="str">
            <v>81112501-EXC022</v>
          </cell>
          <cell r="N109">
            <v>11</v>
          </cell>
          <cell r="O109">
            <v>2112.13</v>
          </cell>
        </row>
        <row r="110">
          <cell r="M110" t="str">
            <v>43201827-HD-X02</v>
          </cell>
          <cell r="N110">
            <v>11</v>
          </cell>
          <cell r="O110">
            <v>2620</v>
          </cell>
        </row>
        <row r="111">
          <cell r="M111" t="str">
            <v>43201827-HD-X01</v>
          </cell>
          <cell r="N111">
            <v>11</v>
          </cell>
          <cell r="O111">
            <v>2265</v>
          </cell>
        </row>
        <row r="112">
          <cell r="M112" t="str">
            <v>44101714-FX-M01</v>
          </cell>
          <cell r="N112">
            <v>11</v>
          </cell>
          <cell r="O112">
            <v>4530</v>
          </cell>
        </row>
        <row r="113">
          <cell r="M113" t="str">
            <v>44122118-FA-P01</v>
          </cell>
          <cell r="N113">
            <v>11</v>
          </cell>
          <cell r="O113">
            <v>75.88</v>
          </cell>
        </row>
        <row r="114">
          <cell r="M114" t="str">
            <v>44111515-FO-X01</v>
          </cell>
          <cell r="N114">
            <v>11</v>
          </cell>
          <cell r="O114">
            <v>67.89</v>
          </cell>
        </row>
        <row r="115">
          <cell r="M115" t="str">
            <v>44122018-FT-D01</v>
          </cell>
          <cell r="N115">
            <v>11</v>
          </cell>
          <cell r="O115">
            <v>12</v>
          </cell>
        </row>
        <row r="116">
          <cell r="M116" t="str">
            <v>44122018-FT-D02</v>
          </cell>
          <cell r="N116">
            <v>11</v>
          </cell>
          <cell r="O116">
            <v>16</v>
          </cell>
        </row>
        <row r="117">
          <cell r="M117" t="str">
            <v>46191601-FE-M01</v>
          </cell>
          <cell r="N117">
            <v>11</v>
          </cell>
          <cell r="O117">
            <v>1100</v>
          </cell>
        </row>
        <row r="118">
          <cell r="M118" t="str">
            <v>46191601-FE-H01</v>
          </cell>
          <cell r="N118">
            <v>11</v>
          </cell>
          <cell r="O118">
            <v>4800</v>
          </cell>
        </row>
        <row r="119">
          <cell r="M119" t="str">
            <v>43202010-FD-U01</v>
          </cell>
          <cell r="N119">
            <v>11</v>
          </cell>
          <cell r="O119">
            <v>266</v>
          </cell>
        </row>
        <row r="120">
          <cell r="M120" t="str">
            <v>43202010-FD-U03</v>
          </cell>
          <cell r="N120">
            <v>11</v>
          </cell>
          <cell r="O120">
            <v>280.85000000000002</v>
          </cell>
        </row>
        <row r="121">
          <cell r="M121" t="str">
            <v>43202010-FD-U02</v>
          </cell>
          <cell r="N121">
            <v>11</v>
          </cell>
          <cell r="O121">
            <v>276</v>
          </cell>
        </row>
        <row r="122">
          <cell r="M122" t="str">
            <v>47131802-FW-L01</v>
          </cell>
          <cell r="N122">
            <v>11</v>
          </cell>
          <cell r="O122">
            <v>0</v>
          </cell>
        </row>
        <row r="123">
          <cell r="M123" t="str">
            <v>47131802-FW-P01</v>
          </cell>
          <cell r="N123">
            <v>11</v>
          </cell>
          <cell r="O123">
            <v>0</v>
          </cell>
        </row>
        <row r="124">
          <cell r="M124" t="str">
            <v>47131802-FW-P02</v>
          </cell>
          <cell r="N124">
            <v>11</v>
          </cell>
          <cell r="O124">
            <v>259</v>
          </cell>
        </row>
        <row r="125">
          <cell r="M125" t="str">
            <v>39101605-FL-T03</v>
          </cell>
          <cell r="N125">
            <v>11</v>
          </cell>
          <cell r="O125">
            <v>85</v>
          </cell>
        </row>
        <row r="126">
          <cell r="M126" t="str">
            <v>39101605-FL-T01</v>
          </cell>
          <cell r="N126">
            <v>11</v>
          </cell>
          <cell r="O126">
            <v>39</v>
          </cell>
        </row>
        <row r="127">
          <cell r="M127" t="str">
            <v>39101605-FL-T04</v>
          </cell>
          <cell r="N127">
            <v>11</v>
          </cell>
          <cell r="O127">
            <v>110</v>
          </cell>
        </row>
        <row r="128">
          <cell r="M128" t="str">
            <v>39101605-FL-T02</v>
          </cell>
          <cell r="N128">
            <v>11</v>
          </cell>
          <cell r="O128">
            <v>0</v>
          </cell>
        </row>
        <row r="129">
          <cell r="M129" t="str">
            <v>39111501-FF-C01</v>
          </cell>
          <cell r="N129">
            <v>11</v>
          </cell>
          <cell r="O129">
            <v>325</v>
          </cell>
        </row>
        <row r="130">
          <cell r="M130" t="str">
            <v>39111501-FF-C02</v>
          </cell>
          <cell r="N130">
            <v>11</v>
          </cell>
          <cell r="O130">
            <v>0</v>
          </cell>
        </row>
        <row r="131">
          <cell r="M131" t="str">
            <v>44122011-FO-F01</v>
          </cell>
          <cell r="N131">
            <v>11</v>
          </cell>
          <cell r="O131">
            <v>243.55</v>
          </cell>
        </row>
        <row r="132">
          <cell r="M132" t="str">
            <v>44122011-FO-F02</v>
          </cell>
          <cell r="N132">
            <v>11</v>
          </cell>
          <cell r="O132">
            <v>280</v>
          </cell>
        </row>
        <row r="133">
          <cell r="M133" t="str">
            <v>44122011-FO-L01</v>
          </cell>
          <cell r="N133">
            <v>11</v>
          </cell>
          <cell r="O133">
            <v>164.5</v>
          </cell>
        </row>
        <row r="134">
          <cell r="M134" t="str">
            <v>44122011-FO-L02</v>
          </cell>
          <cell r="N134">
            <v>11</v>
          </cell>
          <cell r="O134">
            <v>205.5</v>
          </cell>
        </row>
        <row r="135">
          <cell r="M135" t="str">
            <v>44122027-FO-P01</v>
          </cell>
          <cell r="N135">
            <v>11</v>
          </cell>
          <cell r="O135">
            <v>718</v>
          </cell>
        </row>
        <row r="136">
          <cell r="M136" t="str">
            <v>44122011-FO-T01</v>
          </cell>
          <cell r="N136">
            <v>11</v>
          </cell>
          <cell r="O136">
            <v>217.36</v>
          </cell>
        </row>
        <row r="137">
          <cell r="M137" t="str">
            <v>44122011-FO-T02</v>
          </cell>
          <cell r="N137">
            <v>11</v>
          </cell>
          <cell r="O137">
            <v>192.66</v>
          </cell>
        </row>
        <row r="138">
          <cell r="M138" t="str">
            <v>44122011-FO-T03</v>
          </cell>
          <cell r="N138">
            <v>11</v>
          </cell>
          <cell r="O138">
            <v>209</v>
          </cell>
        </row>
        <row r="139">
          <cell r="M139" t="str">
            <v>44122011-FO-T04</v>
          </cell>
          <cell r="N139">
            <v>11</v>
          </cell>
          <cell r="O139">
            <v>268.88</v>
          </cell>
        </row>
        <row r="140">
          <cell r="M140" t="str">
            <v>47131830-FC-A01</v>
          </cell>
          <cell r="N140">
            <v>11</v>
          </cell>
          <cell r="O140">
            <v>84</v>
          </cell>
        </row>
        <row r="141">
          <cell r="M141" t="str">
            <v>39121627-FU-L01</v>
          </cell>
          <cell r="N141">
            <v>11</v>
          </cell>
          <cell r="O141">
            <v>12</v>
          </cell>
        </row>
        <row r="142">
          <cell r="M142" t="str">
            <v>39121627-FU-L02</v>
          </cell>
          <cell r="N142">
            <v>11</v>
          </cell>
          <cell r="O142">
            <v>27</v>
          </cell>
        </row>
        <row r="143">
          <cell r="M143" t="str">
            <v>31201610-GL-J01</v>
          </cell>
          <cell r="N143">
            <v>11</v>
          </cell>
          <cell r="O143">
            <v>45.98</v>
          </cell>
        </row>
        <row r="144">
          <cell r="M144" t="str">
            <v>55101524-RA-H01</v>
          </cell>
          <cell r="N144">
            <v>11</v>
          </cell>
          <cell r="O144">
            <v>44.5</v>
          </cell>
        </row>
        <row r="145">
          <cell r="M145" t="str">
            <v>55101524-CW-H01</v>
          </cell>
          <cell r="N145">
            <v>11</v>
          </cell>
          <cell r="O145">
            <v>36.200000000000003</v>
          </cell>
        </row>
        <row r="146">
          <cell r="M146" t="str">
            <v>55101524-GS-H01</v>
          </cell>
          <cell r="N146">
            <v>11</v>
          </cell>
          <cell r="O146">
            <v>31</v>
          </cell>
        </row>
        <row r="147">
          <cell r="M147" t="str">
            <v>43201803-HD-S01</v>
          </cell>
          <cell r="N147">
            <v>11</v>
          </cell>
          <cell r="O147">
            <v>49151.199999999997</v>
          </cell>
        </row>
        <row r="148">
          <cell r="M148" t="str">
            <v>60121138-IL-B01</v>
          </cell>
          <cell r="N148">
            <v>11</v>
          </cell>
          <cell r="O148">
            <v>0</v>
          </cell>
        </row>
        <row r="149">
          <cell r="M149" t="str">
            <v>44111515-IC-B02</v>
          </cell>
          <cell r="N149">
            <v>11</v>
          </cell>
          <cell r="O149">
            <v>0</v>
          </cell>
        </row>
        <row r="150">
          <cell r="M150" t="str">
            <v>44111515-IC-B01</v>
          </cell>
          <cell r="N150">
            <v>11</v>
          </cell>
          <cell r="O150">
            <v>0</v>
          </cell>
        </row>
        <row r="151">
          <cell r="M151" t="str">
            <v>14111518-IC-R02</v>
          </cell>
          <cell r="N151">
            <v>11</v>
          </cell>
          <cell r="O151">
            <v>133.97999999999999</v>
          </cell>
        </row>
        <row r="152">
          <cell r="M152" t="str">
            <v>14111518-IC-R01</v>
          </cell>
          <cell r="N152">
            <v>11</v>
          </cell>
          <cell r="O152">
            <v>49.3</v>
          </cell>
        </row>
        <row r="153">
          <cell r="M153" t="str">
            <v>44122008-IT-T01</v>
          </cell>
          <cell r="N153">
            <v>11</v>
          </cell>
          <cell r="O153">
            <v>49.88</v>
          </cell>
        </row>
        <row r="154">
          <cell r="M154" t="str">
            <v>44103105-BR-B01</v>
          </cell>
          <cell r="N154">
            <v>11</v>
          </cell>
          <cell r="O154">
            <v>645</v>
          </cell>
        </row>
        <row r="155">
          <cell r="M155" t="str">
            <v>44103105-BR-C01</v>
          </cell>
          <cell r="N155">
            <v>11</v>
          </cell>
          <cell r="O155">
            <v>425</v>
          </cell>
        </row>
        <row r="156">
          <cell r="M156" t="str">
            <v>44103105-BR-M01</v>
          </cell>
          <cell r="N156">
            <v>11</v>
          </cell>
          <cell r="O156">
            <v>425</v>
          </cell>
        </row>
        <row r="157">
          <cell r="M157" t="str">
            <v>44103105-BR-Y01</v>
          </cell>
          <cell r="N157">
            <v>11</v>
          </cell>
          <cell r="O157">
            <v>425</v>
          </cell>
        </row>
        <row r="158">
          <cell r="M158" t="str">
            <v>44103105-BR-B02</v>
          </cell>
          <cell r="N158">
            <v>11</v>
          </cell>
          <cell r="O158">
            <v>572</v>
          </cell>
        </row>
        <row r="159">
          <cell r="M159" t="str">
            <v>44103105-BR-C02</v>
          </cell>
          <cell r="N159">
            <v>11</v>
          </cell>
          <cell r="O159">
            <v>430</v>
          </cell>
        </row>
        <row r="160">
          <cell r="M160" t="str">
            <v>44103105-BR-M02</v>
          </cell>
          <cell r="N160">
            <v>11</v>
          </cell>
          <cell r="O160">
            <v>430</v>
          </cell>
        </row>
        <row r="161">
          <cell r="M161" t="str">
            <v>44103105-BR-Y02</v>
          </cell>
          <cell r="N161">
            <v>11</v>
          </cell>
          <cell r="O161">
            <v>430</v>
          </cell>
        </row>
        <row r="162">
          <cell r="M162" t="str">
            <v>44103105-BR-B03</v>
          </cell>
          <cell r="N162">
            <v>11</v>
          </cell>
          <cell r="O162">
            <v>620</v>
          </cell>
        </row>
        <row r="163">
          <cell r="M163" t="str">
            <v>44103105-BR-C03</v>
          </cell>
          <cell r="N163">
            <v>11</v>
          </cell>
          <cell r="O163">
            <v>350</v>
          </cell>
        </row>
        <row r="164">
          <cell r="M164" t="str">
            <v>44103105-BR-M03</v>
          </cell>
          <cell r="N164">
            <v>11</v>
          </cell>
          <cell r="O164">
            <v>350</v>
          </cell>
        </row>
        <row r="165">
          <cell r="M165" t="str">
            <v>44103105-BR-Y03</v>
          </cell>
          <cell r="N165">
            <v>11</v>
          </cell>
          <cell r="O165">
            <v>350</v>
          </cell>
        </row>
        <row r="166">
          <cell r="M166" t="str">
            <v>44103105-BR-B04</v>
          </cell>
          <cell r="N166">
            <v>11</v>
          </cell>
          <cell r="O166">
            <v>875</v>
          </cell>
        </row>
        <row r="167">
          <cell r="M167" t="str">
            <v>44103105-BR-C04</v>
          </cell>
          <cell r="N167">
            <v>11</v>
          </cell>
          <cell r="O167">
            <v>525</v>
          </cell>
        </row>
        <row r="168">
          <cell r="M168" t="str">
            <v>44103105-BR-B05</v>
          </cell>
          <cell r="N168">
            <v>11</v>
          </cell>
          <cell r="O168">
            <v>1540</v>
          </cell>
        </row>
        <row r="169">
          <cell r="M169" t="str">
            <v>44103105-BR-C05</v>
          </cell>
          <cell r="N169">
            <v>11</v>
          </cell>
          <cell r="O169">
            <v>835</v>
          </cell>
        </row>
        <row r="170">
          <cell r="M170" t="str">
            <v>44103105-BR-M05</v>
          </cell>
          <cell r="N170">
            <v>11</v>
          </cell>
          <cell r="O170">
            <v>835</v>
          </cell>
        </row>
        <row r="171">
          <cell r="M171" t="str">
            <v>44103105-BR-Y05</v>
          </cell>
          <cell r="N171">
            <v>11</v>
          </cell>
          <cell r="O171">
            <v>835</v>
          </cell>
        </row>
        <row r="172">
          <cell r="M172" t="str">
            <v>44103105-BR-M04</v>
          </cell>
          <cell r="N172">
            <v>11</v>
          </cell>
          <cell r="O172">
            <v>525</v>
          </cell>
        </row>
        <row r="173">
          <cell r="M173" t="str">
            <v>44103105-BR-Y04</v>
          </cell>
          <cell r="N173">
            <v>11</v>
          </cell>
          <cell r="O173">
            <v>525</v>
          </cell>
        </row>
        <row r="174">
          <cell r="M174" t="str">
            <v>44103105-CA-B07</v>
          </cell>
          <cell r="N174">
            <v>11</v>
          </cell>
          <cell r="O174">
            <v>748</v>
          </cell>
        </row>
        <row r="175">
          <cell r="M175" t="str">
            <v>44103105-CA-C07</v>
          </cell>
          <cell r="N175">
            <v>11</v>
          </cell>
          <cell r="O175">
            <v>978</v>
          </cell>
        </row>
        <row r="176">
          <cell r="M176" t="str">
            <v>44103105-CA-B01</v>
          </cell>
          <cell r="N176">
            <v>11</v>
          </cell>
          <cell r="O176">
            <v>0</v>
          </cell>
        </row>
        <row r="177">
          <cell r="M177" t="str">
            <v>44103105-CA-C01</v>
          </cell>
          <cell r="N177">
            <v>11</v>
          </cell>
          <cell r="O177">
            <v>0</v>
          </cell>
        </row>
        <row r="178">
          <cell r="M178" t="str">
            <v>44103105-CA-C08</v>
          </cell>
          <cell r="N178">
            <v>11</v>
          </cell>
          <cell r="O178">
            <v>1112</v>
          </cell>
        </row>
        <row r="179">
          <cell r="M179" t="str">
            <v>44103105-CA-C04</v>
          </cell>
          <cell r="N179">
            <v>11</v>
          </cell>
          <cell r="O179">
            <v>963</v>
          </cell>
        </row>
        <row r="180">
          <cell r="M180" t="str">
            <v>44103105-CA-C02</v>
          </cell>
          <cell r="N180">
            <v>11</v>
          </cell>
          <cell r="O180">
            <v>990</v>
          </cell>
        </row>
        <row r="181">
          <cell r="M181" t="str">
            <v>44103105-CA-C03</v>
          </cell>
          <cell r="N181">
            <v>11</v>
          </cell>
          <cell r="O181">
            <v>665</v>
          </cell>
        </row>
        <row r="182">
          <cell r="M182" t="str">
            <v>44103105-CA-B06</v>
          </cell>
          <cell r="N182">
            <v>11</v>
          </cell>
          <cell r="O182">
            <v>514</v>
          </cell>
        </row>
        <row r="183">
          <cell r="M183" t="str">
            <v>44103105-CA-C05</v>
          </cell>
          <cell r="N183">
            <v>11</v>
          </cell>
          <cell r="O183">
            <v>515</v>
          </cell>
        </row>
        <row r="184">
          <cell r="M184" t="str">
            <v>44103105-CA-C06</v>
          </cell>
          <cell r="N184">
            <v>11</v>
          </cell>
          <cell r="O184">
            <v>515</v>
          </cell>
        </row>
        <row r="185">
          <cell r="M185" t="str">
            <v>44103105-CA-M05</v>
          </cell>
          <cell r="N185">
            <v>11</v>
          </cell>
          <cell r="O185">
            <v>515</v>
          </cell>
        </row>
        <row r="186">
          <cell r="M186" t="str">
            <v>44103105-CA-M06</v>
          </cell>
          <cell r="N186">
            <v>11</v>
          </cell>
          <cell r="O186">
            <v>515</v>
          </cell>
        </row>
        <row r="187">
          <cell r="M187" t="str">
            <v>44103105-CA-Y05</v>
          </cell>
          <cell r="N187">
            <v>11</v>
          </cell>
          <cell r="O187">
            <v>515</v>
          </cell>
        </row>
        <row r="188">
          <cell r="M188" t="str">
            <v>44103105-CA-Y06</v>
          </cell>
          <cell r="N188">
            <v>11</v>
          </cell>
          <cell r="O188">
            <v>515</v>
          </cell>
        </row>
        <row r="189">
          <cell r="M189" t="str">
            <v>44103105-CA-B09</v>
          </cell>
          <cell r="N189">
            <v>11</v>
          </cell>
          <cell r="O189">
            <v>721</v>
          </cell>
        </row>
        <row r="190">
          <cell r="M190" t="str">
            <v>44103105-CA-C09</v>
          </cell>
          <cell r="N190">
            <v>11</v>
          </cell>
          <cell r="O190">
            <v>721</v>
          </cell>
        </row>
        <row r="191">
          <cell r="M191" t="str">
            <v>44103105-CA-M09</v>
          </cell>
          <cell r="N191">
            <v>11</v>
          </cell>
          <cell r="O191">
            <v>721</v>
          </cell>
        </row>
        <row r="192">
          <cell r="M192" t="str">
            <v>44103105-CA-Y09</v>
          </cell>
          <cell r="N192">
            <v>11</v>
          </cell>
          <cell r="O192">
            <v>721</v>
          </cell>
        </row>
        <row r="193">
          <cell r="M193" t="str">
            <v>44103105-CA-B08</v>
          </cell>
          <cell r="N193">
            <v>11</v>
          </cell>
          <cell r="O193">
            <v>893</v>
          </cell>
        </row>
        <row r="194">
          <cell r="M194" t="str">
            <v>44103105-CA-B04</v>
          </cell>
          <cell r="N194">
            <v>11</v>
          </cell>
          <cell r="O194">
            <v>725</v>
          </cell>
        </row>
        <row r="195">
          <cell r="M195" t="str">
            <v>44103105-CA-B02</v>
          </cell>
          <cell r="N195">
            <v>11</v>
          </cell>
          <cell r="O195">
            <v>750</v>
          </cell>
        </row>
        <row r="196">
          <cell r="M196" t="str">
            <v>44103105-CA-B03</v>
          </cell>
          <cell r="N196">
            <v>11</v>
          </cell>
          <cell r="O196">
            <v>559</v>
          </cell>
        </row>
        <row r="197">
          <cell r="M197" t="str">
            <v>44103105-CA-B10</v>
          </cell>
          <cell r="N197">
            <v>11</v>
          </cell>
          <cell r="O197">
            <v>807</v>
          </cell>
        </row>
        <row r="198">
          <cell r="M198" t="str">
            <v>44103105-CA-B05</v>
          </cell>
          <cell r="N198">
            <v>11</v>
          </cell>
          <cell r="O198">
            <v>552</v>
          </cell>
        </row>
        <row r="199">
          <cell r="M199" t="str">
            <v>44103105-CA-C11</v>
          </cell>
          <cell r="N199">
            <v>11</v>
          </cell>
          <cell r="O199">
            <v>778</v>
          </cell>
        </row>
        <row r="200">
          <cell r="M200" t="str">
            <v>44103105-CG-Y11</v>
          </cell>
          <cell r="N200">
            <v>11</v>
          </cell>
          <cell r="O200">
            <v>778</v>
          </cell>
        </row>
        <row r="201">
          <cell r="M201" t="str">
            <v>44103105-CG-N11</v>
          </cell>
          <cell r="N201">
            <v>11</v>
          </cell>
          <cell r="O201">
            <v>778</v>
          </cell>
        </row>
        <row r="202">
          <cell r="M202" t="str">
            <v>44103105-CA-M11</v>
          </cell>
          <cell r="N202">
            <v>11</v>
          </cell>
          <cell r="O202">
            <v>778</v>
          </cell>
        </row>
        <row r="203">
          <cell r="M203" t="str">
            <v>44103105-CM-B11</v>
          </cell>
          <cell r="N203">
            <v>11</v>
          </cell>
          <cell r="O203">
            <v>804</v>
          </cell>
        </row>
        <row r="204">
          <cell r="M204" t="str">
            <v>44103105-CP-B11</v>
          </cell>
          <cell r="N204">
            <v>11</v>
          </cell>
          <cell r="O204">
            <v>803</v>
          </cell>
        </row>
        <row r="205">
          <cell r="M205" t="str">
            <v>44103105-CP-C11</v>
          </cell>
          <cell r="N205">
            <v>11</v>
          </cell>
          <cell r="O205">
            <v>778</v>
          </cell>
        </row>
        <row r="206">
          <cell r="M206" t="str">
            <v>44103105-CP-M11</v>
          </cell>
          <cell r="N206">
            <v>11</v>
          </cell>
          <cell r="O206">
            <v>778</v>
          </cell>
        </row>
        <row r="207">
          <cell r="M207" t="str">
            <v>44103105-CA-R11</v>
          </cell>
          <cell r="N207">
            <v>11</v>
          </cell>
          <cell r="O207">
            <v>778</v>
          </cell>
        </row>
        <row r="208">
          <cell r="M208" t="str">
            <v>44103105-CA-Y11</v>
          </cell>
          <cell r="N208">
            <v>11</v>
          </cell>
          <cell r="O208">
            <v>778</v>
          </cell>
        </row>
        <row r="209">
          <cell r="M209" t="str">
            <v>44103105-EP-B03</v>
          </cell>
          <cell r="N209">
            <v>11</v>
          </cell>
          <cell r="O209">
            <v>1250</v>
          </cell>
        </row>
        <row r="210">
          <cell r="M210" t="str">
            <v>44103105-EP-B02</v>
          </cell>
          <cell r="N210">
            <v>11</v>
          </cell>
          <cell r="O210">
            <v>473</v>
          </cell>
        </row>
        <row r="211">
          <cell r="M211" t="str">
            <v>44103105-EP-T02</v>
          </cell>
          <cell r="N211">
            <v>11</v>
          </cell>
          <cell r="O211">
            <v>741</v>
          </cell>
        </row>
        <row r="212">
          <cell r="M212" t="str">
            <v>44103105-EP-C04</v>
          </cell>
          <cell r="N212">
            <v>11</v>
          </cell>
          <cell r="O212">
            <v>540</v>
          </cell>
        </row>
        <row r="213">
          <cell r="M213" t="str">
            <v>44103105-EP-M04</v>
          </cell>
          <cell r="N213">
            <v>11</v>
          </cell>
          <cell r="O213">
            <v>524</v>
          </cell>
        </row>
        <row r="214">
          <cell r="M214" t="str">
            <v>44103105-EP-Y04</v>
          </cell>
          <cell r="N214">
            <v>11</v>
          </cell>
          <cell r="O214">
            <v>524</v>
          </cell>
        </row>
        <row r="215">
          <cell r="M215" t="str">
            <v>44103105-EP-B05</v>
          </cell>
          <cell r="N215">
            <v>11</v>
          </cell>
          <cell r="O215">
            <v>602</v>
          </cell>
        </row>
        <row r="216">
          <cell r="M216" t="str">
            <v>44103105-EP-C05</v>
          </cell>
          <cell r="N216">
            <v>11</v>
          </cell>
          <cell r="O216">
            <v>371</v>
          </cell>
        </row>
        <row r="217">
          <cell r="M217" t="str">
            <v>44103105-EP-M05</v>
          </cell>
          <cell r="N217">
            <v>11</v>
          </cell>
          <cell r="O217">
            <v>371</v>
          </cell>
        </row>
        <row r="218">
          <cell r="M218" t="str">
            <v>44103105-EP-Y05</v>
          </cell>
          <cell r="N218">
            <v>11</v>
          </cell>
          <cell r="O218">
            <v>371</v>
          </cell>
        </row>
        <row r="219">
          <cell r="M219" t="str">
            <v>44103105-EP-B06</v>
          </cell>
          <cell r="N219">
            <v>11</v>
          </cell>
          <cell r="O219">
            <v>473</v>
          </cell>
        </row>
        <row r="220">
          <cell r="M220" t="str">
            <v>44103105-EP-C06</v>
          </cell>
          <cell r="N220">
            <v>11</v>
          </cell>
          <cell r="O220">
            <v>380</v>
          </cell>
        </row>
        <row r="221">
          <cell r="M221" t="str">
            <v>44103105-EP-M06</v>
          </cell>
          <cell r="N221">
            <v>11</v>
          </cell>
          <cell r="O221">
            <v>380</v>
          </cell>
        </row>
        <row r="222">
          <cell r="M222" t="str">
            <v>44103105-EP-Y06</v>
          </cell>
          <cell r="N222">
            <v>11</v>
          </cell>
          <cell r="O222">
            <v>380</v>
          </cell>
        </row>
        <row r="223">
          <cell r="M223" t="str">
            <v>44103105-EP-B07</v>
          </cell>
          <cell r="N223">
            <v>11</v>
          </cell>
          <cell r="O223">
            <v>283</v>
          </cell>
        </row>
        <row r="224">
          <cell r="M224" t="str">
            <v>44103105-EP-C07</v>
          </cell>
          <cell r="N224">
            <v>11</v>
          </cell>
          <cell r="O224">
            <v>283</v>
          </cell>
        </row>
        <row r="225">
          <cell r="M225" t="str">
            <v>44103105-EP-M07</v>
          </cell>
          <cell r="N225">
            <v>11</v>
          </cell>
          <cell r="O225">
            <v>283</v>
          </cell>
        </row>
        <row r="226">
          <cell r="M226" t="str">
            <v>44103105-EP-Y07</v>
          </cell>
          <cell r="N226">
            <v>11</v>
          </cell>
          <cell r="O226">
            <v>283</v>
          </cell>
        </row>
        <row r="227">
          <cell r="M227" t="str">
            <v>44103105-EP-B08</v>
          </cell>
          <cell r="N227">
            <v>11</v>
          </cell>
          <cell r="O227">
            <v>833</v>
          </cell>
        </row>
        <row r="228">
          <cell r="M228" t="str">
            <v>44103105-EP-C08</v>
          </cell>
          <cell r="N228">
            <v>11</v>
          </cell>
          <cell r="O228">
            <v>555</v>
          </cell>
        </row>
        <row r="229">
          <cell r="M229" t="str">
            <v>44103105-EP-M08</v>
          </cell>
          <cell r="N229">
            <v>11</v>
          </cell>
          <cell r="O229">
            <v>555</v>
          </cell>
        </row>
        <row r="230">
          <cell r="M230" t="str">
            <v>44103105-EP-Y08</v>
          </cell>
          <cell r="N230">
            <v>11</v>
          </cell>
          <cell r="O230">
            <v>555</v>
          </cell>
        </row>
        <row r="231">
          <cell r="M231" t="str">
            <v>44103105-EP-B10</v>
          </cell>
          <cell r="N231">
            <v>11</v>
          </cell>
          <cell r="O231">
            <v>410</v>
          </cell>
        </row>
        <row r="232">
          <cell r="M232" t="str">
            <v>44103105-EP-C10</v>
          </cell>
          <cell r="N232">
            <v>11</v>
          </cell>
          <cell r="O232">
            <v>410</v>
          </cell>
        </row>
        <row r="233">
          <cell r="M233" t="str">
            <v>44103105-EP-M10</v>
          </cell>
          <cell r="N233">
            <v>11</v>
          </cell>
          <cell r="O233">
            <v>410</v>
          </cell>
        </row>
        <row r="234">
          <cell r="M234" t="str">
            <v>44103105-EP-Y10</v>
          </cell>
          <cell r="N234">
            <v>11</v>
          </cell>
          <cell r="O234">
            <v>410</v>
          </cell>
        </row>
        <row r="235">
          <cell r="M235" t="str">
            <v>44103105-EP-B11</v>
          </cell>
          <cell r="N235">
            <v>11</v>
          </cell>
          <cell r="O235">
            <v>274</v>
          </cell>
        </row>
        <row r="236">
          <cell r="M236" t="str">
            <v>44103105-EP-C11</v>
          </cell>
          <cell r="N236">
            <v>11</v>
          </cell>
          <cell r="O236">
            <v>274</v>
          </cell>
        </row>
        <row r="237">
          <cell r="M237" t="str">
            <v>44103105-EP-M11</v>
          </cell>
          <cell r="N237">
            <v>11</v>
          </cell>
          <cell r="O237">
            <v>274</v>
          </cell>
        </row>
        <row r="238">
          <cell r="M238" t="str">
            <v>44103105-EP-Y11</v>
          </cell>
          <cell r="N238">
            <v>11</v>
          </cell>
          <cell r="O238">
            <v>274</v>
          </cell>
        </row>
        <row r="239">
          <cell r="M239" t="str">
            <v>44103105-EH-B12</v>
          </cell>
          <cell r="N239">
            <v>11</v>
          </cell>
          <cell r="O239">
            <v>740</v>
          </cell>
        </row>
        <row r="240">
          <cell r="M240" t="str">
            <v>44103105-EH-C12</v>
          </cell>
          <cell r="N240">
            <v>11</v>
          </cell>
          <cell r="O240">
            <v>740</v>
          </cell>
        </row>
        <row r="241">
          <cell r="M241" t="str">
            <v>44103105-EH-M12</v>
          </cell>
          <cell r="N241">
            <v>11</v>
          </cell>
          <cell r="O241">
            <v>740</v>
          </cell>
        </row>
        <row r="242">
          <cell r="M242" t="str">
            <v>44103105-EH-Y12</v>
          </cell>
          <cell r="N242">
            <v>11</v>
          </cell>
          <cell r="O242">
            <v>740</v>
          </cell>
        </row>
        <row r="243">
          <cell r="M243" t="str">
            <v>44103105-EL-M12</v>
          </cell>
          <cell r="N243">
            <v>11</v>
          </cell>
          <cell r="O243">
            <v>740</v>
          </cell>
        </row>
        <row r="244">
          <cell r="M244" t="str">
            <v>44103105-EP-B13</v>
          </cell>
          <cell r="N244">
            <v>11</v>
          </cell>
          <cell r="O244">
            <v>600</v>
          </cell>
        </row>
        <row r="245">
          <cell r="M245" t="str">
            <v>44103105-EP-M13</v>
          </cell>
          <cell r="N245">
            <v>11</v>
          </cell>
          <cell r="O245">
            <v>600</v>
          </cell>
        </row>
        <row r="246">
          <cell r="M246" t="str">
            <v>44103105-EP-Y13</v>
          </cell>
          <cell r="N246">
            <v>11</v>
          </cell>
          <cell r="O246">
            <v>600</v>
          </cell>
        </row>
        <row r="247">
          <cell r="M247" t="str">
            <v>44103105-EL-C13</v>
          </cell>
          <cell r="N247">
            <v>11</v>
          </cell>
          <cell r="O247">
            <v>600</v>
          </cell>
        </row>
        <row r="248">
          <cell r="M248" t="str">
            <v>44103105-EL-M13</v>
          </cell>
          <cell r="N248">
            <v>11</v>
          </cell>
          <cell r="O248">
            <v>600</v>
          </cell>
        </row>
        <row r="249">
          <cell r="M249" t="str">
            <v>44103105-EP-B14</v>
          </cell>
          <cell r="N249">
            <v>11</v>
          </cell>
          <cell r="O249">
            <v>297</v>
          </cell>
        </row>
        <row r="250">
          <cell r="M250" t="str">
            <v>44103105-EP-C14</v>
          </cell>
          <cell r="N250">
            <v>11</v>
          </cell>
          <cell r="O250">
            <v>334</v>
          </cell>
        </row>
        <row r="251">
          <cell r="M251" t="str">
            <v>44103105-EP-M14</v>
          </cell>
          <cell r="N251">
            <v>11</v>
          </cell>
          <cell r="O251">
            <v>334</v>
          </cell>
        </row>
        <row r="252">
          <cell r="M252" t="str">
            <v>44103105-EP-Y14</v>
          </cell>
          <cell r="N252">
            <v>11</v>
          </cell>
          <cell r="O252">
            <v>334</v>
          </cell>
        </row>
        <row r="253">
          <cell r="M253" t="str">
            <v>44103105-EP-B15</v>
          </cell>
          <cell r="N253">
            <v>11</v>
          </cell>
          <cell r="O253">
            <v>565</v>
          </cell>
        </row>
        <row r="254">
          <cell r="M254" t="str">
            <v>44103105-EP-C15</v>
          </cell>
          <cell r="N254">
            <v>11</v>
          </cell>
          <cell r="O254">
            <v>448</v>
          </cell>
        </row>
        <row r="255">
          <cell r="M255" t="str">
            <v>44103105-EP-M15</v>
          </cell>
          <cell r="N255">
            <v>11</v>
          </cell>
          <cell r="O255">
            <v>448</v>
          </cell>
        </row>
        <row r="256">
          <cell r="M256" t="str">
            <v>44103105-EP-Y15</v>
          </cell>
          <cell r="N256">
            <v>11</v>
          </cell>
          <cell r="O256">
            <v>448</v>
          </cell>
        </row>
        <row r="257">
          <cell r="M257" t="str">
            <v>44103105-EP-B18</v>
          </cell>
          <cell r="N257">
            <v>11</v>
          </cell>
          <cell r="O257">
            <v>170</v>
          </cell>
        </row>
        <row r="258">
          <cell r="M258" t="str">
            <v>44103105-EP-C18</v>
          </cell>
          <cell r="N258">
            <v>11</v>
          </cell>
          <cell r="O258">
            <v>320</v>
          </cell>
        </row>
        <row r="259">
          <cell r="M259" t="str">
            <v>44103105-EP-M18</v>
          </cell>
          <cell r="N259">
            <v>11</v>
          </cell>
          <cell r="O259">
            <v>320</v>
          </cell>
        </row>
        <row r="260">
          <cell r="M260" t="str">
            <v>44103105-EP-Y18</v>
          </cell>
          <cell r="N260">
            <v>11</v>
          </cell>
          <cell r="O260">
            <v>320</v>
          </cell>
        </row>
        <row r="261">
          <cell r="M261" t="str">
            <v>44103105-EP-B17</v>
          </cell>
          <cell r="N261">
            <v>11</v>
          </cell>
          <cell r="O261">
            <v>245</v>
          </cell>
        </row>
        <row r="262">
          <cell r="M262" t="str">
            <v>44103105-EP-C17</v>
          </cell>
          <cell r="N262">
            <v>11</v>
          </cell>
          <cell r="O262">
            <v>245</v>
          </cell>
        </row>
        <row r="263">
          <cell r="M263" t="str">
            <v>44103105-EP-M17</v>
          </cell>
          <cell r="N263">
            <v>11</v>
          </cell>
          <cell r="O263">
            <v>245</v>
          </cell>
        </row>
        <row r="264">
          <cell r="M264" t="str">
            <v>44103105-EP-Y17</v>
          </cell>
          <cell r="N264">
            <v>11</v>
          </cell>
          <cell r="O264">
            <v>245</v>
          </cell>
        </row>
        <row r="265">
          <cell r="M265" t="str">
            <v>44103105-HP-B13</v>
          </cell>
          <cell r="N265">
            <v>11</v>
          </cell>
          <cell r="O265">
            <v>1295</v>
          </cell>
        </row>
        <row r="266">
          <cell r="M266" t="str">
            <v>44103105-HP-T11</v>
          </cell>
          <cell r="N266">
            <v>11</v>
          </cell>
          <cell r="O266">
            <v>1550</v>
          </cell>
        </row>
        <row r="267">
          <cell r="M267" t="str">
            <v>44103105-HP-B04</v>
          </cell>
          <cell r="N267">
            <v>11</v>
          </cell>
          <cell r="O267">
            <v>962</v>
          </cell>
        </row>
        <row r="268">
          <cell r="M268" t="str">
            <v>44103105-HP-C04</v>
          </cell>
          <cell r="N268">
            <v>11</v>
          </cell>
          <cell r="O268">
            <v>962</v>
          </cell>
        </row>
        <row r="269">
          <cell r="M269" t="str">
            <v>44103105-HP-M04</v>
          </cell>
          <cell r="N269">
            <v>11</v>
          </cell>
          <cell r="O269">
            <v>962</v>
          </cell>
        </row>
        <row r="270">
          <cell r="M270" t="str">
            <v>44103105-HP-Y04</v>
          </cell>
          <cell r="N270">
            <v>11</v>
          </cell>
          <cell r="O270">
            <v>962</v>
          </cell>
        </row>
        <row r="271">
          <cell r="M271" t="str">
            <v>44103105-HP-C03</v>
          </cell>
          <cell r="N271">
            <v>11</v>
          </cell>
          <cell r="O271">
            <v>1476</v>
          </cell>
        </row>
        <row r="272">
          <cell r="M272" t="str">
            <v>44103105-HP-M03</v>
          </cell>
          <cell r="N272">
            <v>11</v>
          </cell>
          <cell r="O272">
            <v>1476</v>
          </cell>
        </row>
        <row r="273">
          <cell r="M273" t="str">
            <v>44103105-HP-Y03</v>
          </cell>
          <cell r="N273">
            <v>11</v>
          </cell>
          <cell r="O273">
            <v>1476</v>
          </cell>
        </row>
        <row r="274">
          <cell r="M274" t="str">
            <v>44103105-HP-B02</v>
          </cell>
          <cell r="N274">
            <v>11</v>
          </cell>
          <cell r="O274">
            <v>1495</v>
          </cell>
        </row>
        <row r="275">
          <cell r="M275" t="str">
            <v>44103105-HP-B41</v>
          </cell>
          <cell r="N275">
            <v>11</v>
          </cell>
          <cell r="O275">
            <v>1375</v>
          </cell>
        </row>
        <row r="276">
          <cell r="M276" t="str">
            <v>44103105-HX-B42</v>
          </cell>
          <cell r="N276">
            <v>11</v>
          </cell>
          <cell r="O276">
            <v>1495</v>
          </cell>
        </row>
        <row r="277">
          <cell r="M277" t="str">
            <v>44103105-HX-C42</v>
          </cell>
          <cell r="N277">
            <v>11</v>
          </cell>
          <cell r="O277">
            <v>995</v>
          </cell>
        </row>
        <row r="278">
          <cell r="M278" t="str">
            <v>44103105-HX-M42</v>
          </cell>
          <cell r="N278">
            <v>11</v>
          </cell>
          <cell r="O278">
            <v>995</v>
          </cell>
        </row>
        <row r="279">
          <cell r="M279" t="str">
            <v>44103105-HX-Y42</v>
          </cell>
          <cell r="N279">
            <v>11</v>
          </cell>
          <cell r="O279">
            <v>995</v>
          </cell>
        </row>
        <row r="280">
          <cell r="M280" t="str">
            <v>44103105-HP-B07</v>
          </cell>
          <cell r="N280">
            <v>11</v>
          </cell>
          <cell r="O280">
            <v>945</v>
          </cell>
        </row>
        <row r="281">
          <cell r="M281" t="str">
            <v>44103105-HP-C07</v>
          </cell>
          <cell r="N281">
            <v>11</v>
          </cell>
          <cell r="O281">
            <v>690</v>
          </cell>
        </row>
        <row r="282">
          <cell r="M282" t="str">
            <v>44103105-HP-M07</v>
          </cell>
          <cell r="N282">
            <v>11</v>
          </cell>
          <cell r="O282">
            <v>690</v>
          </cell>
        </row>
        <row r="283">
          <cell r="M283" t="str">
            <v>44103105-HP-Y07</v>
          </cell>
          <cell r="N283">
            <v>11</v>
          </cell>
          <cell r="O283">
            <v>690</v>
          </cell>
        </row>
        <row r="284">
          <cell r="M284" t="str">
            <v>44103105-HP-T23</v>
          </cell>
          <cell r="N284">
            <v>11</v>
          </cell>
          <cell r="O284">
            <v>1545</v>
          </cell>
        </row>
        <row r="285">
          <cell r="M285" t="str">
            <v>44103105-HP-B08</v>
          </cell>
          <cell r="N285">
            <v>11</v>
          </cell>
          <cell r="O285">
            <v>1320</v>
          </cell>
        </row>
        <row r="286">
          <cell r="M286" t="str">
            <v>44103105-HP-B05</v>
          </cell>
          <cell r="N286">
            <v>11</v>
          </cell>
          <cell r="O286">
            <v>1190</v>
          </cell>
        </row>
        <row r="287">
          <cell r="M287" t="str">
            <v>44103105-HP-T06</v>
          </cell>
          <cell r="N287">
            <v>11</v>
          </cell>
          <cell r="O287">
            <v>1295</v>
          </cell>
        </row>
        <row r="288">
          <cell r="M288" t="str">
            <v>44103105-HP-B14</v>
          </cell>
          <cell r="N288">
            <v>11</v>
          </cell>
          <cell r="O288">
            <v>886</v>
          </cell>
        </row>
        <row r="289">
          <cell r="M289" t="str">
            <v>44103105-HP-T15</v>
          </cell>
          <cell r="N289">
            <v>11</v>
          </cell>
          <cell r="O289">
            <v>1410</v>
          </cell>
        </row>
        <row r="290">
          <cell r="M290" t="str">
            <v>44103105-HP-B01</v>
          </cell>
          <cell r="N290">
            <v>11</v>
          </cell>
          <cell r="O290">
            <v>765</v>
          </cell>
        </row>
        <row r="291">
          <cell r="M291" t="str">
            <v>44103105-HP-B12</v>
          </cell>
          <cell r="N291">
            <v>11</v>
          </cell>
          <cell r="O291">
            <v>795</v>
          </cell>
        </row>
        <row r="292">
          <cell r="M292" t="str">
            <v>44103105-HP-B27</v>
          </cell>
          <cell r="N292">
            <v>11</v>
          </cell>
          <cell r="O292">
            <v>895</v>
          </cell>
        </row>
        <row r="293">
          <cell r="M293" t="str">
            <v>44103105-HP-T28</v>
          </cell>
          <cell r="N293">
            <v>11</v>
          </cell>
          <cell r="O293">
            <v>1090</v>
          </cell>
        </row>
        <row r="294">
          <cell r="M294" t="str">
            <v>44103105-HP-B29</v>
          </cell>
          <cell r="N294">
            <v>11</v>
          </cell>
          <cell r="O294">
            <v>1375</v>
          </cell>
        </row>
        <row r="295">
          <cell r="M295" t="str">
            <v>44103105-HP-C01</v>
          </cell>
          <cell r="N295">
            <v>11</v>
          </cell>
          <cell r="O295">
            <v>410</v>
          </cell>
        </row>
        <row r="296">
          <cell r="M296" t="str">
            <v>44103105-HP-M01</v>
          </cell>
          <cell r="N296">
            <v>11</v>
          </cell>
          <cell r="O296">
            <v>410</v>
          </cell>
        </row>
        <row r="297">
          <cell r="M297" t="str">
            <v>44103105-HP-Y01</v>
          </cell>
          <cell r="N297">
            <v>11</v>
          </cell>
          <cell r="O297">
            <v>410</v>
          </cell>
        </row>
        <row r="298">
          <cell r="M298" t="str">
            <v>44103105-HL-C01</v>
          </cell>
          <cell r="N298">
            <v>11</v>
          </cell>
          <cell r="O298">
            <v>410</v>
          </cell>
        </row>
        <row r="299">
          <cell r="M299" t="str">
            <v>44103105-HL-M01</v>
          </cell>
          <cell r="N299">
            <v>11</v>
          </cell>
          <cell r="O299">
            <v>410</v>
          </cell>
        </row>
        <row r="300">
          <cell r="M300" t="str">
            <v>44103105-HP-B09</v>
          </cell>
          <cell r="N300">
            <v>11</v>
          </cell>
          <cell r="O300">
            <v>633</v>
          </cell>
        </row>
        <row r="301">
          <cell r="M301" t="str">
            <v>44103105-HP-T10</v>
          </cell>
          <cell r="N301">
            <v>11</v>
          </cell>
          <cell r="O301">
            <v>717</v>
          </cell>
        </row>
        <row r="302">
          <cell r="M302" t="str">
            <v>44103105-HP-T26</v>
          </cell>
          <cell r="N302">
            <v>11</v>
          </cell>
          <cell r="O302">
            <v>1295</v>
          </cell>
        </row>
        <row r="303">
          <cell r="M303" t="str">
            <v>44103105-HP-B25</v>
          </cell>
          <cell r="N303">
            <v>11</v>
          </cell>
          <cell r="O303">
            <v>577</v>
          </cell>
        </row>
        <row r="304">
          <cell r="M304" t="str">
            <v>44103105-HP-T30</v>
          </cell>
          <cell r="N304">
            <v>11</v>
          </cell>
          <cell r="O304">
            <v>1435</v>
          </cell>
        </row>
        <row r="305">
          <cell r="M305" t="str">
            <v>44103105-HP-B31</v>
          </cell>
          <cell r="N305">
            <v>11</v>
          </cell>
          <cell r="O305">
            <v>748</v>
          </cell>
        </row>
        <row r="306">
          <cell r="M306" t="str">
            <v>44103105-HX-C24</v>
          </cell>
          <cell r="N306">
            <v>11</v>
          </cell>
          <cell r="O306">
            <v>954</v>
          </cell>
        </row>
        <row r="307">
          <cell r="M307" t="str">
            <v>44103105-HX-M24</v>
          </cell>
          <cell r="N307">
            <v>11</v>
          </cell>
          <cell r="O307">
            <v>954</v>
          </cell>
        </row>
        <row r="308">
          <cell r="M308" t="str">
            <v>44103105-HX-Y24</v>
          </cell>
          <cell r="N308">
            <v>11</v>
          </cell>
          <cell r="O308">
            <v>954</v>
          </cell>
        </row>
        <row r="309">
          <cell r="M309" t="str">
            <v>44103105-HX-B24</v>
          </cell>
          <cell r="N309">
            <v>11</v>
          </cell>
          <cell r="O309">
            <v>1410</v>
          </cell>
        </row>
        <row r="310">
          <cell r="M310" t="str">
            <v>44103105-HP-B37</v>
          </cell>
          <cell r="N310">
            <v>11</v>
          </cell>
          <cell r="O310">
            <v>285</v>
          </cell>
        </row>
        <row r="311">
          <cell r="M311" t="str">
            <v>44103105-HP-T37</v>
          </cell>
          <cell r="N311">
            <v>11</v>
          </cell>
          <cell r="O311">
            <v>365</v>
          </cell>
        </row>
        <row r="312">
          <cell r="M312" t="str">
            <v>44103105-HP-B32</v>
          </cell>
          <cell r="N312">
            <v>11</v>
          </cell>
          <cell r="O312">
            <v>458</v>
          </cell>
        </row>
        <row r="313">
          <cell r="M313" t="str">
            <v>44103105-HP-P32</v>
          </cell>
          <cell r="N313">
            <v>11</v>
          </cell>
          <cell r="O313">
            <v>383</v>
          </cell>
        </row>
        <row r="314">
          <cell r="M314" t="str">
            <v>44103105-HP-C32</v>
          </cell>
          <cell r="N314">
            <v>11</v>
          </cell>
          <cell r="O314">
            <v>383</v>
          </cell>
        </row>
        <row r="315">
          <cell r="M315" t="str">
            <v>44103105-HP-M32</v>
          </cell>
          <cell r="N315">
            <v>11</v>
          </cell>
          <cell r="O315">
            <v>383</v>
          </cell>
        </row>
        <row r="316">
          <cell r="M316" t="str">
            <v>44103105-HP-Y32</v>
          </cell>
          <cell r="N316">
            <v>11</v>
          </cell>
          <cell r="O316">
            <v>383</v>
          </cell>
        </row>
        <row r="317">
          <cell r="M317" t="str">
            <v>44103105-HP-B21</v>
          </cell>
          <cell r="N317">
            <v>11</v>
          </cell>
          <cell r="O317">
            <v>670</v>
          </cell>
        </row>
        <row r="318">
          <cell r="M318" t="str">
            <v>44103105-HX-B21</v>
          </cell>
          <cell r="N318">
            <v>11</v>
          </cell>
          <cell r="O318">
            <v>1450</v>
          </cell>
        </row>
        <row r="319">
          <cell r="M319" t="str">
            <v>44103105-HP-T22</v>
          </cell>
          <cell r="N319">
            <v>11</v>
          </cell>
          <cell r="O319">
            <v>773</v>
          </cell>
        </row>
        <row r="320">
          <cell r="M320" t="str">
            <v>44103105-HX-T22</v>
          </cell>
          <cell r="N320">
            <v>11</v>
          </cell>
          <cell r="O320">
            <v>1545</v>
          </cell>
        </row>
        <row r="321">
          <cell r="M321" t="str">
            <v>44103105-HP-B17</v>
          </cell>
          <cell r="N321">
            <v>11</v>
          </cell>
          <cell r="O321">
            <v>625</v>
          </cell>
        </row>
        <row r="322">
          <cell r="M322" t="str">
            <v>44103105-HX-B19</v>
          </cell>
          <cell r="N322">
            <v>11</v>
          </cell>
          <cell r="O322">
            <v>1390</v>
          </cell>
        </row>
        <row r="323">
          <cell r="M323" t="str">
            <v>44103105-HP-T17</v>
          </cell>
          <cell r="N323">
            <v>11</v>
          </cell>
          <cell r="O323">
            <v>737</v>
          </cell>
        </row>
        <row r="324">
          <cell r="M324" t="str">
            <v>44103105-HX-T19</v>
          </cell>
          <cell r="N324">
            <v>11</v>
          </cell>
          <cell r="O324">
            <v>1595</v>
          </cell>
        </row>
        <row r="325">
          <cell r="M325" t="str">
            <v>44103105-HP-B38</v>
          </cell>
          <cell r="N325">
            <v>11</v>
          </cell>
          <cell r="O325">
            <v>615</v>
          </cell>
        </row>
        <row r="326">
          <cell r="M326" t="str">
            <v>44103105-HP-T38</v>
          </cell>
          <cell r="N326">
            <v>11</v>
          </cell>
          <cell r="O326">
            <v>980</v>
          </cell>
        </row>
        <row r="327">
          <cell r="M327" t="str">
            <v>44103105-HP-B34</v>
          </cell>
          <cell r="N327">
            <v>11</v>
          </cell>
          <cell r="O327">
            <v>1045</v>
          </cell>
        </row>
        <row r="328">
          <cell r="M328" t="str">
            <v>44103105-HP-B35</v>
          </cell>
          <cell r="N328">
            <v>11</v>
          </cell>
          <cell r="O328">
            <v>326</v>
          </cell>
        </row>
        <row r="329">
          <cell r="M329" t="str">
            <v>44103105-HP-T35</v>
          </cell>
          <cell r="N329">
            <v>11</v>
          </cell>
          <cell r="O329">
            <v>326</v>
          </cell>
        </row>
        <row r="330">
          <cell r="M330" t="str">
            <v>44103105-HP-B39</v>
          </cell>
          <cell r="N330">
            <v>11</v>
          </cell>
          <cell r="O330">
            <v>762</v>
          </cell>
        </row>
        <row r="331">
          <cell r="M331" t="str">
            <v>44103105-HX-C40</v>
          </cell>
          <cell r="N331">
            <v>11</v>
          </cell>
          <cell r="O331">
            <v>605</v>
          </cell>
        </row>
        <row r="332">
          <cell r="M332" t="str">
            <v>44103105-HX-M40</v>
          </cell>
          <cell r="N332">
            <v>11</v>
          </cell>
          <cell r="O332">
            <v>605</v>
          </cell>
        </row>
        <row r="333">
          <cell r="M333" t="str">
            <v>44103105-HX-Y40</v>
          </cell>
          <cell r="N333">
            <v>11</v>
          </cell>
          <cell r="O333">
            <v>605</v>
          </cell>
        </row>
        <row r="334">
          <cell r="M334" t="str">
            <v>44103105-HX-B40</v>
          </cell>
          <cell r="N334">
            <v>11</v>
          </cell>
          <cell r="O334">
            <v>1195</v>
          </cell>
        </row>
        <row r="335">
          <cell r="M335" t="str">
            <v>44103105-HP-B20</v>
          </cell>
          <cell r="N335">
            <v>11</v>
          </cell>
          <cell r="O335">
            <v>620</v>
          </cell>
        </row>
        <row r="336">
          <cell r="M336" t="str">
            <v>44103105-HP-T20</v>
          </cell>
          <cell r="N336">
            <v>11</v>
          </cell>
          <cell r="O336">
            <v>795</v>
          </cell>
        </row>
        <row r="337">
          <cell r="M337" t="str">
            <v>44103105-HX-B43</v>
          </cell>
          <cell r="N337">
            <v>11</v>
          </cell>
          <cell r="O337">
            <v>1495</v>
          </cell>
        </row>
        <row r="338">
          <cell r="M338" t="str">
            <v>44103105-HX-C43</v>
          </cell>
          <cell r="N338">
            <v>11</v>
          </cell>
          <cell r="O338">
            <v>1130</v>
          </cell>
        </row>
        <row r="339">
          <cell r="M339" t="str">
            <v>44103105-HX-M43</v>
          </cell>
          <cell r="N339">
            <v>11</v>
          </cell>
          <cell r="O339">
            <v>1135</v>
          </cell>
        </row>
        <row r="340">
          <cell r="M340" t="str">
            <v>44103105-HX-Y43</v>
          </cell>
          <cell r="N340">
            <v>11</v>
          </cell>
          <cell r="O340">
            <v>1135</v>
          </cell>
        </row>
        <row r="341">
          <cell r="M341" t="str">
            <v>44103105-HP-B45</v>
          </cell>
          <cell r="N341">
            <v>11</v>
          </cell>
          <cell r="O341">
            <v>1275</v>
          </cell>
        </row>
        <row r="342">
          <cell r="M342" t="str">
            <v>44103105-HP-C45</v>
          </cell>
          <cell r="N342">
            <v>11</v>
          </cell>
          <cell r="O342">
            <v>630</v>
          </cell>
        </row>
        <row r="343">
          <cell r="M343" t="str">
            <v>44103105-HP-M45</v>
          </cell>
          <cell r="N343">
            <v>11</v>
          </cell>
          <cell r="O343">
            <v>630</v>
          </cell>
        </row>
        <row r="344">
          <cell r="M344" t="str">
            <v>44103105-HP-Y45</v>
          </cell>
          <cell r="N344">
            <v>11</v>
          </cell>
          <cell r="O344">
            <v>630</v>
          </cell>
        </row>
        <row r="345">
          <cell r="M345" t="str">
            <v>44103105-HP-B46</v>
          </cell>
          <cell r="N345">
            <v>11</v>
          </cell>
          <cell r="O345">
            <v>3120</v>
          </cell>
        </row>
        <row r="346">
          <cell r="M346" t="str">
            <v>44103105-HP-C46</v>
          </cell>
          <cell r="N346">
            <v>11</v>
          </cell>
          <cell r="O346">
            <v>3255</v>
          </cell>
        </row>
        <row r="347">
          <cell r="M347" t="str">
            <v>44103105-HP-M46</v>
          </cell>
          <cell r="N347">
            <v>11</v>
          </cell>
          <cell r="O347">
            <v>3255</v>
          </cell>
        </row>
        <row r="348">
          <cell r="M348" t="str">
            <v>44103105-HP-Y46</v>
          </cell>
          <cell r="N348">
            <v>11</v>
          </cell>
          <cell r="O348">
            <v>3255</v>
          </cell>
        </row>
        <row r="349">
          <cell r="M349" t="str">
            <v>44103105-HX-B47</v>
          </cell>
          <cell r="N349">
            <v>11</v>
          </cell>
          <cell r="O349">
            <v>4990</v>
          </cell>
        </row>
        <row r="350">
          <cell r="M350" t="str">
            <v>44103105-HX-C47</v>
          </cell>
          <cell r="N350">
            <v>11</v>
          </cell>
          <cell r="O350">
            <v>4940</v>
          </cell>
        </row>
        <row r="351">
          <cell r="M351" t="str">
            <v>44103105-HX-M47</v>
          </cell>
          <cell r="N351">
            <v>11</v>
          </cell>
          <cell r="O351">
            <v>4940</v>
          </cell>
        </row>
        <row r="352">
          <cell r="M352" t="str">
            <v>44103105-HX-Y47</v>
          </cell>
          <cell r="N352">
            <v>11</v>
          </cell>
          <cell r="O352">
            <v>4940</v>
          </cell>
        </row>
        <row r="353">
          <cell r="M353" t="str">
            <v>44103105-HP-B36</v>
          </cell>
          <cell r="N353">
            <v>11</v>
          </cell>
          <cell r="O353">
            <v>326</v>
          </cell>
        </row>
        <row r="354">
          <cell r="M354" t="str">
            <v>44103105-HP-T36</v>
          </cell>
          <cell r="N354">
            <v>11</v>
          </cell>
          <cell r="O354">
            <v>326</v>
          </cell>
        </row>
        <row r="355">
          <cell r="M355" t="str">
            <v>44103105-HP-B33</v>
          </cell>
          <cell r="N355">
            <v>11</v>
          </cell>
          <cell r="O355">
            <v>326</v>
          </cell>
        </row>
        <row r="356">
          <cell r="M356" t="str">
            <v>44103105-HP-T33</v>
          </cell>
          <cell r="N356">
            <v>11</v>
          </cell>
          <cell r="O356">
            <v>326</v>
          </cell>
        </row>
        <row r="357">
          <cell r="M357" t="str">
            <v>44103105-HP-B42</v>
          </cell>
          <cell r="N357">
            <v>11</v>
          </cell>
          <cell r="O357">
            <v>352</v>
          </cell>
        </row>
        <row r="358">
          <cell r="M358" t="str">
            <v>44103105-HP-C33</v>
          </cell>
          <cell r="N358">
            <v>11</v>
          </cell>
          <cell r="O358">
            <v>240</v>
          </cell>
        </row>
        <row r="359">
          <cell r="M359" t="str">
            <v>44103105-HP-M33</v>
          </cell>
          <cell r="N359">
            <v>11</v>
          </cell>
          <cell r="O359">
            <v>240</v>
          </cell>
        </row>
        <row r="360">
          <cell r="M360" t="str">
            <v>44103105-HP-Y33</v>
          </cell>
          <cell r="N360">
            <v>11</v>
          </cell>
          <cell r="O360">
            <v>240</v>
          </cell>
        </row>
        <row r="361">
          <cell r="M361" t="str">
            <v>44103105-HP-T44</v>
          </cell>
          <cell r="N361">
            <v>11</v>
          </cell>
          <cell r="O361">
            <v>895</v>
          </cell>
        </row>
        <row r="362">
          <cell r="M362" t="str">
            <v>44103105-LX-B01</v>
          </cell>
          <cell r="N362">
            <v>11</v>
          </cell>
          <cell r="O362">
            <v>965</v>
          </cell>
        </row>
        <row r="363">
          <cell r="M363" t="str">
            <v>44103105-LX-C01</v>
          </cell>
          <cell r="N363">
            <v>11</v>
          </cell>
          <cell r="O363">
            <v>1150</v>
          </cell>
        </row>
        <row r="364">
          <cell r="M364" t="str">
            <v>44103105-LX-B02</v>
          </cell>
          <cell r="N364">
            <v>11</v>
          </cell>
          <cell r="O364">
            <v>1630</v>
          </cell>
        </row>
        <row r="365">
          <cell r="M365" t="str">
            <v>44103105-LX-C02</v>
          </cell>
          <cell r="N365">
            <v>11</v>
          </cell>
          <cell r="O365">
            <v>1970</v>
          </cell>
        </row>
        <row r="366">
          <cell r="M366" t="str">
            <v>44103105-LX-B03</v>
          </cell>
          <cell r="N366">
            <v>11</v>
          </cell>
          <cell r="O366">
            <v>965</v>
          </cell>
        </row>
        <row r="367">
          <cell r="M367" t="str">
            <v>44103105-LX-C03</v>
          </cell>
          <cell r="N367">
            <v>11</v>
          </cell>
          <cell r="O367">
            <v>1198</v>
          </cell>
        </row>
        <row r="368">
          <cell r="M368" t="str">
            <v>44103105-LX-P04</v>
          </cell>
          <cell r="N368">
            <v>11</v>
          </cell>
          <cell r="O368">
            <v>2035</v>
          </cell>
        </row>
        <row r="369">
          <cell r="M369" t="str">
            <v>44103105-HP-B40</v>
          </cell>
          <cell r="N369">
            <v>11</v>
          </cell>
          <cell r="O369">
            <v>0</v>
          </cell>
        </row>
        <row r="370">
          <cell r="M370" t="str">
            <v>44103105-HP-T40</v>
          </cell>
          <cell r="N370">
            <v>11</v>
          </cell>
          <cell r="O370">
            <v>0</v>
          </cell>
        </row>
        <row r="371">
          <cell r="M371" t="str">
            <v>44103105-HP-P48</v>
          </cell>
          <cell r="N371">
            <v>11</v>
          </cell>
          <cell r="O371">
            <v>1920</v>
          </cell>
        </row>
        <row r="372">
          <cell r="M372" t="str">
            <v>44103105-HP-C48</v>
          </cell>
          <cell r="N372">
            <v>11</v>
          </cell>
          <cell r="O372">
            <v>1920</v>
          </cell>
        </row>
        <row r="373">
          <cell r="M373" t="str">
            <v>44103105-HP-M48</v>
          </cell>
          <cell r="N373">
            <v>11</v>
          </cell>
          <cell r="O373">
            <v>1920</v>
          </cell>
        </row>
        <row r="374">
          <cell r="M374" t="str">
            <v>44103105-HP-Y48</v>
          </cell>
          <cell r="N374">
            <v>11</v>
          </cell>
          <cell r="O374">
            <v>1920</v>
          </cell>
        </row>
        <row r="375">
          <cell r="M375" t="str">
            <v>44103105-HP-G48</v>
          </cell>
          <cell r="N375">
            <v>11</v>
          </cell>
          <cell r="O375">
            <v>1920</v>
          </cell>
        </row>
        <row r="376">
          <cell r="M376" t="str">
            <v>44103105-HP-B48</v>
          </cell>
          <cell r="N376">
            <v>11</v>
          </cell>
          <cell r="O376">
            <v>2900</v>
          </cell>
        </row>
        <row r="377">
          <cell r="M377" t="str">
            <v>44103105-HP-B49</v>
          </cell>
          <cell r="N377">
            <v>11</v>
          </cell>
          <cell r="O377">
            <v>1800</v>
          </cell>
        </row>
        <row r="378">
          <cell r="M378" t="str">
            <v>44103105-HP-C49</v>
          </cell>
          <cell r="N378">
            <v>11</v>
          </cell>
          <cell r="O378">
            <v>1250</v>
          </cell>
        </row>
        <row r="379">
          <cell r="M379" t="str">
            <v>44103105-HP-M49</v>
          </cell>
          <cell r="N379">
            <v>11</v>
          </cell>
          <cell r="O379">
            <v>1250</v>
          </cell>
        </row>
        <row r="380">
          <cell r="M380" t="str">
            <v>44103105-HP-Y49</v>
          </cell>
          <cell r="N380">
            <v>11</v>
          </cell>
          <cell r="O380">
            <v>1250</v>
          </cell>
        </row>
        <row r="381">
          <cell r="M381" t="str">
            <v>44103105-HP-T43</v>
          </cell>
          <cell r="N381">
            <v>11</v>
          </cell>
          <cell r="O381">
            <v>388.3</v>
          </cell>
        </row>
        <row r="382">
          <cell r="M382" t="str">
            <v>44103105-HP-B43</v>
          </cell>
          <cell r="N382">
            <v>11</v>
          </cell>
          <cell r="O382">
            <v>388.3</v>
          </cell>
        </row>
        <row r="383">
          <cell r="M383" t="str">
            <v>44103105-HP-C50</v>
          </cell>
          <cell r="N383">
            <v>11</v>
          </cell>
          <cell r="O383">
            <v>0</v>
          </cell>
        </row>
        <row r="384">
          <cell r="M384" t="str">
            <v>44103105-HP-M50</v>
          </cell>
          <cell r="N384">
            <v>11</v>
          </cell>
          <cell r="O384">
            <v>0</v>
          </cell>
        </row>
        <row r="385">
          <cell r="M385" t="str">
            <v>44103105-HP-Y50</v>
          </cell>
          <cell r="N385">
            <v>11</v>
          </cell>
          <cell r="O385">
            <v>0</v>
          </cell>
        </row>
        <row r="386">
          <cell r="M386" t="str">
            <v>44103105-HP-B50</v>
          </cell>
          <cell r="N386">
            <v>11</v>
          </cell>
          <cell r="O386">
            <v>0</v>
          </cell>
        </row>
        <row r="387">
          <cell r="M387" t="str">
            <v>44103105-HX-C48</v>
          </cell>
          <cell r="N387">
            <v>11</v>
          </cell>
          <cell r="O387">
            <v>1228.6199999999999</v>
          </cell>
        </row>
        <row r="388">
          <cell r="M388" t="str">
            <v>44103105-HX-M48</v>
          </cell>
          <cell r="N388">
            <v>11</v>
          </cell>
          <cell r="O388">
            <v>1228.6199999999999</v>
          </cell>
        </row>
        <row r="389">
          <cell r="M389" t="str">
            <v>44103105-HX-Y48</v>
          </cell>
          <cell r="N389">
            <v>11</v>
          </cell>
          <cell r="O389">
            <v>1228.6199999999999</v>
          </cell>
        </row>
        <row r="390">
          <cell r="M390" t="str">
            <v>44103105-HX-B48</v>
          </cell>
          <cell r="N390">
            <v>11</v>
          </cell>
          <cell r="O390">
            <v>1670.21</v>
          </cell>
        </row>
        <row r="391">
          <cell r="M391" t="str">
            <v>44103105-HP-C51</v>
          </cell>
          <cell r="N391">
            <v>11</v>
          </cell>
          <cell r="O391">
            <v>436.17</v>
          </cell>
        </row>
        <row r="392">
          <cell r="M392" t="str">
            <v>44103105-HP-M51</v>
          </cell>
          <cell r="N392">
            <v>11</v>
          </cell>
          <cell r="O392">
            <v>436.17</v>
          </cell>
        </row>
        <row r="393">
          <cell r="M393" t="str">
            <v>44103105-HP-Y51</v>
          </cell>
          <cell r="N393">
            <v>11</v>
          </cell>
          <cell r="O393">
            <v>436.17</v>
          </cell>
        </row>
        <row r="394">
          <cell r="M394" t="str">
            <v>44103105-HP-B51</v>
          </cell>
          <cell r="N394">
            <v>11</v>
          </cell>
          <cell r="O394">
            <v>712.77</v>
          </cell>
        </row>
        <row r="395">
          <cell r="M395" t="str">
            <v>44103105-HX-C49</v>
          </cell>
          <cell r="N395">
            <v>11</v>
          </cell>
          <cell r="O395">
            <v>0</v>
          </cell>
        </row>
        <row r="396">
          <cell r="M396" t="str">
            <v>44103105-HX-M49</v>
          </cell>
          <cell r="N396">
            <v>11</v>
          </cell>
          <cell r="O396">
            <v>0</v>
          </cell>
        </row>
        <row r="397">
          <cell r="M397" t="str">
            <v>44103105-HX-Y49</v>
          </cell>
          <cell r="N397">
            <v>11</v>
          </cell>
          <cell r="O397">
            <v>0</v>
          </cell>
        </row>
        <row r="398">
          <cell r="M398" t="str">
            <v>44103105-HX-B49</v>
          </cell>
          <cell r="N398">
            <v>11</v>
          </cell>
          <cell r="O398">
            <v>0</v>
          </cell>
        </row>
        <row r="399">
          <cell r="M399" t="str">
            <v>10191509-IN-A01</v>
          </cell>
          <cell r="N399">
            <v>11</v>
          </cell>
          <cell r="O399">
            <v>134</v>
          </cell>
        </row>
        <row r="400">
          <cell r="M400" t="str">
            <v>44103103-KY-T09</v>
          </cell>
          <cell r="N400">
            <v>11</v>
          </cell>
          <cell r="O400">
            <v>8800</v>
          </cell>
        </row>
        <row r="401">
          <cell r="M401" t="str">
            <v>44103103-KY-T02</v>
          </cell>
          <cell r="N401">
            <v>11</v>
          </cell>
          <cell r="O401">
            <v>5250</v>
          </cell>
        </row>
        <row r="402">
          <cell r="M402" t="str">
            <v>44103103-KY-T01</v>
          </cell>
          <cell r="N402">
            <v>11</v>
          </cell>
          <cell r="O402">
            <v>4900</v>
          </cell>
        </row>
        <row r="403">
          <cell r="M403" t="str">
            <v>44103103-KY-T03</v>
          </cell>
          <cell r="N403">
            <v>11</v>
          </cell>
          <cell r="O403">
            <v>5250</v>
          </cell>
        </row>
        <row r="404">
          <cell r="M404" t="str">
            <v>44103103-KY-T04</v>
          </cell>
          <cell r="N404">
            <v>11</v>
          </cell>
          <cell r="O404">
            <v>5250</v>
          </cell>
        </row>
        <row r="405">
          <cell r="M405" t="str">
            <v>44103103-KY-T05</v>
          </cell>
          <cell r="N405">
            <v>11</v>
          </cell>
          <cell r="O405">
            <v>8200</v>
          </cell>
        </row>
        <row r="406">
          <cell r="M406" t="str">
            <v>44103103-KY-T08</v>
          </cell>
          <cell r="N406">
            <v>11</v>
          </cell>
          <cell r="O406">
            <v>8200</v>
          </cell>
        </row>
        <row r="407">
          <cell r="M407" t="str">
            <v>44103103-KY-T06</v>
          </cell>
          <cell r="N407">
            <v>11</v>
          </cell>
          <cell r="O407">
            <v>8200</v>
          </cell>
        </row>
        <row r="408">
          <cell r="M408" t="str">
            <v>44103103-KY-T07</v>
          </cell>
          <cell r="N408">
            <v>11</v>
          </cell>
          <cell r="O408">
            <v>8200</v>
          </cell>
        </row>
        <row r="409">
          <cell r="M409" t="str">
            <v>44103103-KY-T10</v>
          </cell>
          <cell r="N409">
            <v>11</v>
          </cell>
          <cell r="O409">
            <v>12300</v>
          </cell>
        </row>
        <row r="410">
          <cell r="M410" t="str">
            <v>43211503-LCT-01</v>
          </cell>
          <cell r="N410">
            <v>12</v>
          </cell>
          <cell r="O410">
            <v>33827</v>
          </cell>
        </row>
        <row r="411">
          <cell r="M411" t="str">
            <v>43211503-LCT-02</v>
          </cell>
          <cell r="N411">
            <v>12</v>
          </cell>
          <cell r="O411">
            <v>34535</v>
          </cell>
        </row>
        <row r="412">
          <cell r="M412" t="str">
            <v>45111601-LP-P01</v>
          </cell>
          <cell r="N412">
            <v>11</v>
          </cell>
          <cell r="O412">
            <v>528.88</v>
          </cell>
        </row>
        <row r="413">
          <cell r="M413" t="str">
            <v>44121902-LE-M01</v>
          </cell>
          <cell r="N413">
            <v>11</v>
          </cell>
          <cell r="O413">
            <v>7</v>
          </cell>
        </row>
        <row r="414">
          <cell r="M414" t="str">
            <v>39101628-LB-L01</v>
          </cell>
          <cell r="N414">
            <v>11</v>
          </cell>
          <cell r="O414">
            <v>69.7</v>
          </cell>
        </row>
        <row r="415">
          <cell r="M415" t="str">
            <v>39101628-LT-L01</v>
          </cell>
          <cell r="N415">
            <v>11</v>
          </cell>
          <cell r="O415">
            <v>270</v>
          </cell>
        </row>
        <row r="416">
          <cell r="M416" t="str">
            <v>14111609-LL-C01</v>
          </cell>
          <cell r="N416">
            <v>11</v>
          </cell>
          <cell r="O416">
            <v>644.9</v>
          </cell>
        </row>
        <row r="417">
          <cell r="M417" t="str">
            <v>81112501-MEA003</v>
          </cell>
          <cell r="N417">
            <v>11</v>
          </cell>
          <cell r="O417">
            <v>4782.62</v>
          </cell>
        </row>
        <row r="418">
          <cell r="M418" t="str">
            <v>81112501-MEA004</v>
          </cell>
          <cell r="N418">
            <v>11</v>
          </cell>
          <cell r="O418">
            <v>19130.990000000002</v>
          </cell>
        </row>
        <row r="419">
          <cell r="M419" t="str">
            <v>81112501-MEA005</v>
          </cell>
          <cell r="N419">
            <v>11</v>
          </cell>
          <cell r="O419">
            <v>102.51</v>
          </cell>
        </row>
        <row r="420">
          <cell r="M420" t="str">
            <v>81112501-MEA006</v>
          </cell>
          <cell r="N420">
            <v>11</v>
          </cell>
          <cell r="O420">
            <v>0</v>
          </cell>
        </row>
        <row r="421">
          <cell r="M421" t="str">
            <v>44111515-MF-B02</v>
          </cell>
          <cell r="N421">
            <v>11</v>
          </cell>
          <cell r="O421">
            <v>40</v>
          </cell>
        </row>
        <row r="422">
          <cell r="M422" t="str">
            <v>44111515-MF-B01</v>
          </cell>
          <cell r="N422">
            <v>11</v>
          </cell>
          <cell r="O422">
            <v>33</v>
          </cell>
        </row>
        <row r="423">
          <cell r="M423" t="str">
            <v>60121124-MA-P01</v>
          </cell>
          <cell r="N423">
            <v>11</v>
          </cell>
          <cell r="O423">
            <v>0</v>
          </cell>
        </row>
        <row r="424">
          <cell r="M424" t="str">
            <v>44122106-MP-R01</v>
          </cell>
          <cell r="N424">
            <v>11</v>
          </cell>
          <cell r="O424">
            <v>0</v>
          </cell>
        </row>
        <row r="425">
          <cell r="M425" t="str">
            <v>44121716-MA-F01</v>
          </cell>
          <cell r="N425">
            <v>11</v>
          </cell>
          <cell r="O425">
            <v>35.799999999999997</v>
          </cell>
        </row>
        <row r="426">
          <cell r="M426" t="str">
            <v>44121708-MP-C01</v>
          </cell>
          <cell r="N426">
            <v>11</v>
          </cell>
          <cell r="O426">
            <v>11.68</v>
          </cell>
        </row>
        <row r="427">
          <cell r="M427" t="str">
            <v>44121708-MP-C02</v>
          </cell>
          <cell r="N427">
            <v>11</v>
          </cell>
          <cell r="O427">
            <v>11.68</v>
          </cell>
        </row>
        <row r="428">
          <cell r="M428" t="str">
            <v>44121708-MP-B01</v>
          </cell>
          <cell r="N428">
            <v>11</v>
          </cell>
          <cell r="O428">
            <v>9.2799999999999994</v>
          </cell>
        </row>
        <row r="429">
          <cell r="M429" t="str">
            <v>44121708-MP-B02</v>
          </cell>
          <cell r="N429">
            <v>11</v>
          </cell>
          <cell r="O429">
            <v>9.2799999999999994</v>
          </cell>
        </row>
        <row r="430">
          <cell r="M430" t="str">
            <v>44121708-MP-B03</v>
          </cell>
          <cell r="N430">
            <v>11</v>
          </cell>
          <cell r="O430">
            <v>9.2799999999999994</v>
          </cell>
        </row>
        <row r="431">
          <cell r="M431" t="str">
            <v>44121708-MP-C03</v>
          </cell>
          <cell r="N431">
            <v>11</v>
          </cell>
          <cell r="O431">
            <v>11.68</v>
          </cell>
        </row>
        <row r="432">
          <cell r="M432" t="str">
            <v>44121708-MW-B01</v>
          </cell>
          <cell r="N432">
            <v>11</v>
          </cell>
          <cell r="O432">
            <v>9.91</v>
          </cell>
        </row>
        <row r="433">
          <cell r="M433" t="str">
            <v>44121708-MW-C01</v>
          </cell>
          <cell r="N433">
            <v>11</v>
          </cell>
          <cell r="O433">
            <v>11.35</v>
          </cell>
        </row>
        <row r="434">
          <cell r="M434" t="str">
            <v>44121708-MW-B02</v>
          </cell>
          <cell r="N434">
            <v>11</v>
          </cell>
          <cell r="O434">
            <v>9.91</v>
          </cell>
        </row>
        <row r="435">
          <cell r="M435" t="str">
            <v>44121708-MW-C02</v>
          </cell>
          <cell r="N435">
            <v>11</v>
          </cell>
          <cell r="O435">
            <v>11.35</v>
          </cell>
        </row>
        <row r="436">
          <cell r="M436" t="str">
            <v>44121708-MW-B03</v>
          </cell>
          <cell r="N436">
            <v>11</v>
          </cell>
          <cell r="O436">
            <v>9.91</v>
          </cell>
        </row>
        <row r="437">
          <cell r="M437" t="str">
            <v>44121708-MW-C03</v>
          </cell>
          <cell r="N437">
            <v>11</v>
          </cell>
          <cell r="O437">
            <v>11.35</v>
          </cell>
        </row>
        <row r="438">
          <cell r="M438" t="str">
            <v>52161533-ME-P01</v>
          </cell>
          <cell r="N438">
            <v>11</v>
          </cell>
          <cell r="O438">
            <v>2600</v>
          </cell>
        </row>
        <row r="439">
          <cell r="M439" t="str">
            <v>48101516-MON</v>
          </cell>
          <cell r="N439">
            <v>11</v>
          </cell>
          <cell r="O439">
            <v>7200</v>
          </cell>
        </row>
        <row r="440">
          <cell r="M440" t="str">
            <v>47121804-MP-B01</v>
          </cell>
          <cell r="N440">
            <v>11</v>
          </cell>
          <cell r="O440">
            <v>1837.5</v>
          </cell>
        </row>
        <row r="441">
          <cell r="M441" t="str">
            <v>47131613-MP-H02</v>
          </cell>
          <cell r="N441">
            <v>11</v>
          </cell>
          <cell r="O441">
            <v>140</v>
          </cell>
        </row>
        <row r="442">
          <cell r="M442" t="str">
            <v>47131619-MP-R01</v>
          </cell>
          <cell r="N442">
            <v>11</v>
          </cell>
          <cell r="O442">
            <v>106</v>
          </cell>
        </row>
        <row r="443">
          <cell r="M443" t="str">
            <v>43211708-MO-O01</v>
          </cell>
          <cell r="N443">
            <v>11</v>
          </cell>
          <cell r="O443">
            <v>129.80000000000001</v>
          </cell>
        </row>
        <row r="444">
          <cell r="M444" t="str">
            <v>45111609-MM-P01</v>
          </cell>
          <cell r="N444">
            <v>12</v>
          </cell>
          <cell r="O444">
            <v>17900</v>
          </cell>
        </row>
        <row r="445">
          <cell r="M445" t="str">
            <v>45111609-MM-P02</v>
          </cell>
          <cell r="N445">
            <v>11</v>
          </cell>
          <cell r="O445">
            <v>39535.29</v>
          </cell>
        </row>
        <row r="446">
          <cell r="M446" t="str">
            <v>14111514-NP-S01</v>
          </cell>
          <cell r="N446">
            <v>11</v>
          </cell>
          <cell r="O446">
            <v>94.98</v>
          </cell>
        </row>
        <row r="447">
          <cell r="M447" t="str">
            <v>14111514-NP-S02</v>
          </cell>
          <cell r="N447">
            <v>11</v>
          </cell>
          <cell r="O447">
            <v>30.98</v>
          </cell>
        </row>
        <row r="448">
          <cell r="M448" t="str">
            <v>14111514-NP-S04</v>
          </cell>
          <cell r="N448">
            <v>11</v>
          </cell>
          <cell r="O448">
            <v>53.9</v>
          </cell>
        </row>
        <row r="449">
          <cell r="M449" t="str">
            <v>14111514-NP-S03</v>
          </cell>
          <cell r="N449">
            <v>11</v>
          </cell>
          <cell r="O449">
            <v>39.9</v>
          </cell>
        </row>
        <row r="450">
          <cell r="M450" t="str">
            <v>14111514-NB-S01</v>
          </cell>
          <cell r="N450">
            <v>11</v>
          </cell>
          <cell r="O450">
            <v>11.58</v>
          </cell>
        </row>
        <row r="451">
          <cell r="M451" t="str">
            <v>81112501-OBO001</v>
          </cell>
          <cell r="N451">
            <v>11</v>
          </cell>
          <cell r="O451">
            <v>5172.04</v>
          </cell>
        </row>
        <row r="452">
          <cell r="M452" t="str">
            <v>81112501-OFF040</v>
          </cell>
          <cell r="N452">
            <v>11</v>
          </cell>
          <cell r="O452">
            <v>3722.66</v>
          </cell>
        </row>
        <row r="453">
          <cell r="M453" t="str">
            <v>81112501-OFF038</v>
          </cell>
          <cell r="N453">
            <v>11</v>
          </cell>
          <cell r="O453">
            <v>9076.5</v>
          </cell>
        </row>
        <row r="454">
          <cell r="M454" t="str">
            <v>81112501-OFF039</v>
          </cell>
          <cell r="N454">
            <v>11</v>
          </cell>
          <cell r="O454">
            <v>5932.95</v>
          </cell>
        </row>
        <row r="455">
          <cell r="M455" t="str">
            <v>81112501-OFF042</v>
          </cell>
          <cell r="N455">
            <v>11</v>
          </cell>
          <cell r="O455">
            <v>1798.19</v>
          </cell>
        </row>
        <row r="456">
          <cell r="M456" t="str">
            <v>12181601-OL-G01</v>
          </cell>
          <cell r="N456">
            <v>11</v>
          </cell>
          <cell r="O456">
            <v>0</v>
          </cell>
        </row>
        <row r="457">
          <cell r="M457" t="str">
            <v>44122104-PC-J02</v>
          </cell>
          <cell r="N457">
            <v>11</v>
          </cell>
          <cell r="O457">
            <v>12.25</v>
          </cell>
        </row>
        <row r="458">
          <cell r="M458" t="str">
            <v>44122104-PC-G01</v>
          </cell>
          <cell r="N458">
            <v>11</v>
          </cell>
          <cell r="O458">
            <v>5.75</v>
          </cell>
        </row>
        <row r="459">
          <cell r="M459" t="str">
            <v>44101603-PS-M01</v>
          </cell>
          <cell r="N459">
            <v>11</v>
          </cell>
          <cell r="O459">
            <v>5480</v>
          </cell>
        </row>
        <row r="460">
          <cell r="M460" t="str">
            <v>44101603-PS-M02</v>
          </cell>
          <cell r="N460">
            <v>11</v>
          </cell>
          <cell r="O460">
            <v>0</v>
          </cell>
        </row>
        <row r="461">
          <cell r="M461" t="str">
            <v>44101601-PT-M01</v>
          </cell>
          <cell r="N461">
            <v>11</v>
          </cell>
          <cell r="O461">
            <v>7777</v>
          </cell>
        </row>
        <row r="462">
          <cell r="M462" t="str">
            <v>14111507-PG-B01</v>
          </cell>
          <cell r="N462">
            <v>11</v>
          </cell>
          <cell r="O462">
            <v>93.9</v>
          </cell>
        </row>
        <row r="463">
          <cell r="M463" t="str">
            <v>14111507-PG-B02</v>
          </cell>
          <cell r="N463">
            <v>11</v>
          </cell>
          <cell r="O463">
            <v>108.44</v>
          </cell>
        </row>
        <row r="464">
          <cell r="M464" t="str">
            <v>14111507-PP-C03</v>
          </cell>
          <cell r="N464">
            <v>11</v>
          </cell>
          <cell r="O464">
            <v>0</v>
          </cell>
        </row>
        <row r="465">
          <cell r="M465" t="str">
            <v>14111505-PM-G01</v>
          </cell>
          <cell r="N465">
            <v>11</v>
          </cell>
          <cell r="O465">
            <v>82.38</v>
          </cell>
        </row>
        <row r="466">
          <cell r="M466" t="str">
            <v>14111505-PM-G02</v>
          </cell>
          <cell r="N466">
            <v>11</v>
          </cell>
          <cell r="O466">
            <v>88.9</v>
          </cell>
        </row>
        <row r="467">
          <cell r="M467" t="str">
            <v>14111505-PM-W01</v>
          </cell>
          <cell r="N467">
            <v>11</v>
          </cell>
          <cell r="O467">
            <v>98.9</v>
          </cell>
        </row>
        <row r="468">
          <cell r="M468" t="str">
            <v>14111505-PM-W02</v>
          </cell>
          <cell r="N468">
            <v>11</v>
          </cell>
          <cell r="O468">
            <v>108.5</v>
          </cell>
        </row>
        <row r="469">
          <cell r="M469" t="str">
            <v>14111507-PP-M01</v>
          </cell>
          <cell r="N469">
            <v>11</v>
          </cell>
          <cell r="O469">
            <v>127.28</v>
          </cell>
        </row>
        <row r="470">
          <cell r="M470" t="str">
            <v>14111507-PP-M02</v>
          </cell>
          <cell r="N470">
            <v>11</v>
          </cell>
          <cell r="O470">
            <v>148.80000000000001</v>
          </cell>
        </row>
        <row r="471">
          <cell r="M471" t="str">
            <v>14111507-PP-C01</v>
          </cell>
          <cell r="N471">
            <v>11</v>
          </cell>
          <cell r="O471">
            <v>110.11</v>
          </cell>
        </row>
        <row r="472">
          <cell r="M472" t="str">
            <v>14111507-PP-C02</v>
          </cell>
          <cell r="N472">
            <v>11</v>
          </cell>
          <cell r="O472">
            <v>124.98</v>
          </cell>
        </row>
        <row r="473">
          <cell r="M473" t="str">
            <v>14111531-PP-R01</v>
          </cell>
          <cell r="N473">
            <v>11</v>
          </cell>
          <cell r="O473">
            <v>16.68</v>
          </cell>
        </row>
        <row r="474">
          <cell r="M474" t="str">
            <v>14111503-PA-P01</v>
          </cell>
          <cell r="N474">
            <v>11</v>
          </cell>
          <cell r="O474">
            <v>92.5</v>
          </cell>
        </row>
        <row r="475">
          <cell r="M475" t="str">
            <v>14111818-TH-P01</v>
          </cell>
          <cell r="N475">
            <v>11</v>
          </cell>
          <cell r="O475">
            <v>33</v>
          </cell>
        </row>
        <row r="476">
          <cell r="M476" t="str">
            <v>14111818-TH-P02</v>
          </cell>
          <cell r="N476">
            <v>11</v>
          </cell>
          <cell r="O476">
            <v>46.9</v>
          </cell>
        </row>
        <row r="477">
          <cell r="M477" t="str">
            <v>60131105-PW-S01</v>
          </cell>
          <cell r="N477">
            <v>11</v>
          </cell>
          <cell r="O477">
            <v>0</v>
          </cell>
        </row>
        <row r="478">
          <cell r="M478" t="str">
            <v>44121619-PS-M01</v>
          </cell>
          <cell r="N478">
            <v>11</v>
          </cell>
          <cell r="O478">
            <v>180</v>
          </cell>
        </row>
        <row r="479">
          <cell r="M479" t="str">
            <v>44121706-PE-L01</v>
          </cell>
          <cell r="N479">
            <v>11</v>
          </cell>
          <cell r="O479">
            <v>19.989999999999998</v>
          </cell>
        </row>
        <row r="480">
          <cell r="M480" t="str">
            <v>44121705-PE-M01</v>
          </cell>
          <cell r="N480">
            <v>11</v>
          </cell>
          <cell r="O480">
            <v>22</v>
          </cell>
        </row>
        <row r="481">
          <cell r="M481" t="str">
            <v>55121905-PH-F01</v>
          </cell>
          <cell r="N481">
            <v>11</v>
          </cell>
          <cell r="O481">
            <v>307</v>
          </cell>
        </row>
        <row r="482">
          <cell r="M482" t="str">
            <v>44101706-HP-P01</v>
          </cell>
          <cell r="N482">
            <v>11</v>
          </cell>
          <cell r="O482">
            <v>3640</v>
          </cell>
        </row>
        <row r="483">
          <cell r="M483" t="str">
            <v>44101706-LX-P01</v>
          </cell>
          <cell r="N483">
            <v>11</v>
          </cell>
          <cell r="O483">
            <v>4040</v>
          </cell>
        </row>
        <row r="484">
          <cell r="M484" t="str">
            <v>44101706-LX-P02</v>
          </cell>
          <cell r="N484">
            <v>11</v>
          </cell>
          <cell r="O484">
            <v>2250</v>
          </cell>
        </row>
        <row r="485">
          <cell r="M485" t="str">
            <v>44101706-LX-P03</v>
          </cell>
          <cell r="N485">
            <v>11</v>
          </cell>
          <cell r="O485">
            <v>2250</v>
          </cell>
        </row>
        <row r="486">
          <cell r="M486" t="str">
            <v>44101706-SA-P01</v>
          </cell>
          <cell r="N486">
            <v>11</v>
          </cell>
          <cell r="O486">
            <v>10000</v>
          </cell>
        </row>
        <row r="487">
          <cell r="M487" t="str">
            <v>43212102-PR-D02</v>
          </cell>
          <cell r="N487">
            <v>12</v>
          </cell>
          <cell r="O487">
            <v>31857</v>
          </cell>
        </row>
        <row r="488">
          <cell r="M488" t="str">
            <v>43212102-PR-D01</v>
          </cell>
          <cell r="N488">
            <v>11</v>
          </cell>
          <cell r="O488">
            <v>7688</v>
          </cell>
        </row>
        <row r="489">
          <cell r="M489" t="str">
            <v>43212104-IJ-P01</v>
          </cell>
          <cell r="N489">
            <v>11</v>
          </cell>
          <cell r="O489">
            <v>15290</v>
          </cell>
        </row>
        <row r="490">
          <cell r="M490" t="str">
            <v>43212104-PR-I01</v>
          </cell>
          <cell r="N490">
            <v>11</v>
          </cell>
          <cell r="O490">
            <v>9615.3799999999992</v>
          </cell>
        </row>
        <row r="491">
          <cell r="M491" t="str">
            <v>43212105-PR-L01</v>
          </cell>
          <cell r="N491">
            <v>11</v>
          </cell>
          <cell r="O491">
            <v>697</v>
          </cell>
        </row>
        <row r="492">
          <cell r="M492" t="str">
            <v>43212102-PR-O01</v>
          </cell>
          <cell r="N492">
            <v>11</v>
          </cell>
          <cell r="O492">
            <v>6850</v>
          </cell>
        </row>
        <row r="493">
          <cell r="M493" t="str">
            <v>44103110-HH-B01</v>
          </cell>
          <cell r="N493">
            <v>11</v>
          </cell>
          <cell r="O493">
            <v>1410</v>
          </cell>
        </row>
        <row r="494">
          <cell r="M494" t="str">
            <v>44103110-HH-C01</v>
          </cell>
          <cell r="N494">
            <v>11</v>
          </cell>
          <cell r="O494">
            <v>1555</v>
          </cell>
        </row>
        <row r="495">
          <cell r="M495" t="str">
            <v>44103110-HH-M01</v>
          </cell>
          <cell r="N495">
            <v>11</v>
          </cell>
          <cell r="O495">
            <v>1410</v>
          </cell>
        </row>
        <row r="496">
          <cell r="M496" t="str">
            <v>44103110-HH-Y01</v>
          </cell>
          <cell r="N496">
            <v>11</v>
          </cell>
          <cell r="O496">
            <v>1410</v>
          </cell>
        </row>
        <row r="497">
          <cell r="M497" t="str">
            <v>44101602-PU-P01</v>
          </cell>
          <cell r="N497">
            <v>11</v>
          </cell>
          <cell r="O497">
            <v>126.88</v>
          </cell>
        </row>
        <row r="498">
          <cell r="M498" t="str">
            <v>44122106-PP-F02</v>
          </cell>
          <cell r="N498">
            <v>11</v>
          </cell>
          <cell r="O498">
            <v>24</v>
          </cell>
        </row>
        <row r="499">
          <cell r="M499" t="str">
            <v>47131501-RG-C01</v>
          </cell>
          <cell r="N499">
            <v>11</v>
          </cell>
          <cell r="O499">
            <v>47.78</v>
          </cell>
        </row>
        <row r="500">
          <cell r="M500" t="str">
            <v>14111531-RE-B01</v>
          </cell>
          <cell r="N500">
            <v>11</v>
          </cell>
          <cell r="O500">
            <v>68</v>
          </cell>
        </row>
        <row r="501">
          <cell r="M501" t="str">
            <v>14111531-RE-B02</v>
          </cell>
          <cell r="N501">
            <v>11</v>
          </cell>
          <cell r="O501">
            <v>98</v>
          </cell>
        </row>
        <row r="502">
          <cell r="M502" t="str">
            <v>44103112-EP-R02</v>
          </cell>
          <cell r="N502">
            <v>11</v>
          </cell>
          <cell r="O502">
            <v>117</v>
          </cell>
        </row>
        <row r="503">
          <cell r="M503" t="str">
            <v>44103112-EP-R03</v>
          </cell>
          <cell r="N503">
            <v>11</v>
          </cell>
          <cell r="O503">
            <v>338</v>
          </cell>
        </row>
        <row r="504">
          <cell r="M504" t="str">
            <v>44103112-EP-R04</v>
          </cell>
          <cell r="N504">
            <v>11</v>
          </cell>
          <cell r="O504">
            <v>125</v>
          </cell>
        </row>
        <row r="505">
          <cell r="M505" t="str">
            <v>44103112-EP-R05</v>
          </cell>
          <cell r="N505">
            <v>11</v>
          </cell>
          <cell r="O505">
            <v>73.8</v>
          </cell>
        </row>
        <row r="506">
          <cell r="M506" t="str">
            <v>44103112-EP-R06</v>
          </cell>
          <cell r="N506">
            <v>11</v>
          </cell>
          <cell r="O506">
            <v>81.5</v>
          </cell>
        </row>
        <row r="507">
          <cell r="M507" t="str">
            <v>44103112-EP-R07</v>
          </cell>
          <cell r="N507">
            <v>11</v>
          </cell>
          <cell r="O507">
            <v>697</v>
          </cell>
        </row>
        <row r="508">
          <cell r="M508" t="str">
            <v>44103112-EP-R08</v>
          </cell>
          <cell r="N508">
            <v>11</v>
          </cell>
          <cell r="O508">
            <v>1200</v>
          </cell>
        </row>
        <row r="509">
          <cell r="M509" t="str">
            <v>44103112-EP-R10</v>
          </cell>
          <cell r="N509">
            <v>11</v>
          </cell>
          <cell r="O509">
            <v>322</v>
          </cell>
        </row>
        <row r="510">
          <cell r="M510" t="str">
            <v>44103112-EP-R12</v>
          </cell>
          <cell r="N510">
            <v>11</v>
          </cell>
          <cell r="O510">
            <v>366</v>
          </cell>
        </row>
        <row r="511">
          <cell r="M511" t="str">
            <v>44103112-EP-R13</v>
          </cell>
          <cell r="N511">
            <v>11</v>
          </cell>
          <cell r="O511">
            <v>73</v>
          </cell>
        </row>
        <row r="512">
          <cell r="M512" t="str">
            <v>44103112-LX-R02</v>
          </cell>
          <cell r="N512">
            <v>11</v>
          </cell>
          <cell r="O512">
            <v>750</v>
          </cell>
        </row>
        <row r="513">
          <cell r="M513" t="str">
            <v>44103112-FU-R01</v>
          </cell>
          <cell r="N513">
            <v>11</v>
          </cell>
          <cell r="O513">
            <v>430</v>
          </cell>
        </row>
        <row r="514">
          <cell r="M514" t="str">
            <v>44103203-RB-K01</v>
          </cell>
          <cell r="N514">
            <v>11</v>
          </cell>
          <cell r="O514">
            <v>620</v>
          </cell>
        </row>
        <row r="515">
          <cell r="M515" t="str">
            <v>44102606-RI-T01</v>
          </cell>
          <cell r="N515">
            <v>11</v>
          </cell>
          <cell r="O515">
            <v>16.48</v>
          </cell>
        </row>
        <row r="516">
          <cell r="M516" t="str">
            <v>44122037-RP-P01</v>
          </cell>
          <cell r="N516">
            <v>11</v>
          </cell>
          <cell r="O516">
            <v>25</v>
          </cell>
        </row>
        <row r="517">
          <cell r="M517" t="str">
            <v>44122037-RB-P03</v>
          </cell>
          <cell r="N517">
            <v>11</v>
          </cell>
          <cell r="O517">
            <v>51</v>
          </cell>
        </row>
        <row r="518">
          <cell r="M518" t="str">
            <v>44122037-RB-P04</v>
          </cell>
          <cell r="N518">
            <v>11</v>
          </cell>
          <cell r="O518">
            <v>87.5</v>
          </cell>
        </row>
        <row r="519">
          <cell r="M519" t="str">
            <v>44122037-RB-P05</v>
          </cell>
          <cell r="N519">
            <v>11</v>
          </cell>
          <cell r="O519">
            <v>96.5</v>
          </cell>
        </row>
        <row r="520">
          <cell r="M520" t="str">
            <v>44122037-RB-P06</v>
          </cell>
          <cell r="N520">
            <v>11</v>
          </cell>
          <cell r="O520">
            <v>142.49</v>
          </cell>
        </row>
        <row r="521">
          <cell r="M521" t="str">
            <v>44122037-RB-P07</v>
          </cell>
          <cell r="N521">
            <v>11</v>
          </cell>
          <cell r="O521">
            <v>0</v>
          </cell>
        </row>
        <row r="522">
          <cell r="M522" t="str">
            <v>44122037-RB-P08</v>
          </cell>
          <cell r="N522">
            <v>11</v>
          </cell>
          <cell r="O522">
            <v>218.49</v>
          </cell>
        </row>
        <row r="523">
          <cell r="M523" t="str">
            <v>44122037-RB-P09</v>
          </cell>
          <cell r="N523">
            <v>11</v>
          </cell>
          <cell r="O523">
            <v>246.99</v>
          </cell>
        </row>
        <row r="524">
          <cell r="M524" t="str">
            <v>44122037-RB-P12</v>
          </cell>
          <cell r="N524">
            <v>11</v>
          </cell>
          <cell r="O524">
            <v>279.83999999999997</v>
          </cell>
        </row>
        <row r="525">
          <cell r="M525" t="str">
            <v>44122037-RB-P10</v>
          </cell>
          <cell r="N525">
            <v>11</v>
          </cell>
          <cell r="O525">
            <v>193.88</v>
          </cell>
        </row>
        <row r="526">
          <cell r="M526" t="str">
            <v>44122101-RU-B01</v>
          </cell>
          <cell r="N526">
            <v>11</v>
          </cell>
          <cell r="O526">
            <v>93</v>
          </cell>
        </row>
        <row r="527">
          <cell r="M527" t="str">
            <v>41111604-RU-P01</v>
          </cell>
          <cell r="N527">
            <v>11</v>
          </cell>
          <cell r="O527">
            <v>2</v>
          </cell>
        </row>
        <row r="528">
          <cell r="M528" t="str">
            <v>41111604-RU-P02</v>
          </cell>
          <cell r="N528">
            <v>11</v>
          </cell>
          <cell r="O528">
            <v>14.88</v>
          </cell>
        </row>
        <row r="529">
          <cell r="M529" t="str">
            <v>60101733-SC-F01</v>
          </cell>
          <cell r="N529">
            <v>11</v>
          </cell>
          <cell r="O529">
            <v>28.88</v>
          </cell>
        </row>
        <row r="530">
          <cell r="M530" t="str">
            <v>44121618-SS-S01</v>
          </cell>
          <cell r="N530">
            <v>11</v>
          </cell>
          <cell r="O530">
            <v>15</v>
          </cell>
        </row>
        <row r="531">
          <cell r="M531" t="str">
            <v>47131602-SC-N01</v>
          </cell>
          <cell r="N531">
            <v>11</v>
          </cell>
          <cell r="O531">
            <v>99</v>
          </cell>
        </row>
        <row r="532">
          <cell r="M532" t="str">
            <v>81112501-SPS014</v>
          </cell>
          <cell r="N532">
            <v>11</v>
          </cell>
          <cell r="O532">
            <v>6200.44</v>
          </cell>
        </row>
        <row r="533">
          <cell r="M533" t="str">
            <v>81112501-SPS015</v>
          </cell>
          <cell r="N533">
            <v>11</v>
          </cell>
          <cell r="O533">
            <v>447138.34</v>
          </cell>
        </row>
        <row r="534">
          <cell r="M534" t="str">
            <v>60121524-SP-G01</v>
          </cell>
          <cell r="N534">
            <v>11</v>
          </cell>
          <cell r="O534">
            <v>33.28</v>
          </cell>
        </row>
        <row r="535">
          <cell r="M535" t="str">
            <v>60121524-SP-G02</v>
          </cell>
          <cell r="N535">
            <v>11</v>
          </cell>
          <cell r="O535">
            <v>33.28</v>
          </cell>
        </row>
        <row r="536">
          <cell r="M536" t="str">
            <v>60121524-SP-G03</v>
          </cell>
          <cell r="N536">
            <v>11</v>
          </cell>
          <cell r="O536">
            <v>33.28</v>
          </cell>
        </row>
        <row r="537">
          <cell r="M537" t="str">
            <v>43201874-CA-M01</v>
          </cell>
          <cell r="N537">
            <v>11</v>
          </cell>
          <cell r="O537">
            <v>24357.759999999998</v>
          </cell>
        </row>
        <row r="538">
          <cell r="M538" t="str">
            <v>43201834-CO-S01</v>
          </cell>
          <cell r="N538">
            <v>11</v>
          </cell>
          <cell r="O538">
            <v>28697</v>
          </cell>
        </row>
        <row r="539">
          <cell r="M539" t="str">
            <v>53131608-SB-R02</v>
          </cell>
          <cell r="N539">
            <v>11</v>
          </cell>
          <cell r="O539">
            <v>0</v>
          </cell>
        </row>
        <row r="540">
          <cell r="M540" t="str">
            <v>53131608-SB-R01</v>
          </cell>
          <cell r="N540">
            <v>11</v>
          </cell>
          <cell r="O540">
            <v>0</v>
          </cell>
        </row>
        <row r="541">
          <cell r="M541" t="str">
            <v>81112501-SQL052</v>
          </cell>
          <cell r="N541">
            <v>11</v>
          </cell>
          <cell r="O541">
            <v>13733.32</v>
          </cell>
        </row>
        <row r="542">
          <cell r="M542" t="str">
            <v>12171703-SI-P01</v>
          </cell>
          <cell r="N542">
            <v>11</v>
          </cell>
          <cell r="O542">
            <v>23.68</v>
          </cell>
        </row>
        <row r="543">
          <cell r="M543" t="str">
            <v>44121905-SP-F01</v>
          </cell>
          <cell r="N543">
            <v>11</v>
          </cell>
          <cell r="O543">
            <v>26.6</v>
          </cell>
        </row>
        <row r="544">
          <cell r="M544" t="str">
            <v>44121613-SR-P01</v>
          </cell>
          <cell r="N544">
            <v>11</v>
          </cell>
          <cell r="O544">
            <v>17.48</v>
          </cell>
        </row>
        <row r="545">
          <cell r="M545" t="str">
            <v>31151804-SW-H01</v>
          </cell>
          <cell r="N545">
            <v>11</v>
          </cell>
          <cell r="O545">
            <v>19.88</v>
          </cell>
        </row>
        <row r="546">
          <cell r="M546" t="str">
            <v>31151804-SW-H02</v>
          </cell>
          <cell r="N546">
            <v>11</v>
          </cell>
          <cell r="O546">
            <v>39.880000000000003</v>
          </cell>
        </row>
        <row r="547">
          <cell r="M547" t="str">
            <v>31151804-SW-S01</v>
          </cell>
          <cell r="N547">
            <v>11</v>
          </cell>
          <cell r="O547">
            <v>19.28</v>
          </cell>
        </row>
        <row r="548">
          <cell r="M548" t="str">
            <v>44121615-ST-B01</v>
          </cell>
          <cell r="N548">
            <v>11</v>
          </cell>
          <cell r="O548">
            <v>845</v>
          </cell>
        </row>
        <row r="549">
          <cell r="M549" t="str">
            <v>44121615-ST-S01</v>
          </cell>
          <cell r="N549">
            <v>11</v>
          </cell>
          <cell r="O549">
            <v>79</v>
          </cell>
        </row>
        <row r="550">
          <cell r="M550" t="str">
            <v>39111810-ST-L01</v>
          </cell>
          <cell r="N550">
            <v>11</v>
          </cell>
          <cell r="O550">
            <v>5</v>
          </cell>
        </row>
        <row r="551">
          <cell r="M551" t="str">
            <v>81112501-SCS012</v>
          </cell>
          <cell r="N551">
            <v>11</v>
          </cell>
          <cell r="O551">
            <v>7247.32</v>
          </cell>
        </row>
        <row r="552">
          <cell r="M552" t="str">
            <v>56101519-TM-S02</v>
          </cell>
          <cell r="N552">
            <v>11</v>
          </cell>
          <cell r="O552">
            <v>1275</v>
          </cell>
        </row>
        <row r="553">
          <cell r="M553" t="str">
            <v>56101519-TM-S01</v>
          </cell>
          <cell r="N553">
            <v>11</v>
          </cell>
          <cell r="O553">
            <v>1275</v>
          </cell>
        </row>
        <row r="554">
          <cell r="M554" t="str">
            <v>43211509-TAB016</v>
          </cell>
          <cell r="N554">
            <v>11</v>
          </cell>
          <cell r="O554">
            <v>12490</v>
          </cell>
        </row>
        <row r="555">
          <cell r="M555" t="str">
            <v>44121605-TD-H01</v>
          </cell>
          <cell r="N555">
            <v>11</v>
          </cell>
          <cell r="O555">
            <v>27.98</v>
          </cell>
        </row>
        <row r="556">
          <cell r="M556" t="str">
            <v>44121605-TD-T01</v>
          </cell>
          <cell r="N556">
            <v>11</v>
          </cell>
          <cell r="O556">
            <v>53.68</v>
          </cell>
        </row>
        <row r="557">
          <cell r="M557" t="str">
            <v>43202002-TA-A01</v>
          </cell>
          <cell r="N557">
            <v>11</v>
          </cell>
          <cell r="O557">
            <v>22</v>
          </cell>
        </row>
        <row r="558">
          <cell r="M558" t="str">
            <v>31201502-TA-E01</v>
          </cell>
          <cell r="N558">
            <v>11</v>
          </cell>
          <cell r="O558">
            <v>17.5</v>
          </cell>
        </row>
        <row r="559">
          <cell r="M559" t="str">
            <v>31201503-TA-M01</v>
          </cell>
          <cell r="N559">
            <v>11</v>
          </cell>
          <cell r="O559">
            <v>53</v>
          </cell>
        </row>
        <row r="560">
          <cell r="M560" t="str">
            <v>31201503-TA-M02</v>
          </cell>
          <cell r="N560">
            <v>11</v>
          </cell>
          <cell r="O560">
            <v>102.5</v>
          </cell>
        </row>
        <row r="561">
          <cell r="M561" t="str">
            <v>31201517-TA-P01</v>
          </cell>
          <cell r="N561">
            <v>11</v>
          </cell>
          <cell r="O561">
            <v>17.5</v>
          </cell>
        </row>
        <row r="562">
          <cell r="M562" t="str">
            <v>14111515-TA-C01</v>
          </cell>
          <cell r="N562">
            <v>11</v>
          </cell>
          <cell r="O562">
            <v>0</v>
          </cell>
        </row>
        <row r="563">
          <cell r="M563" t="str">
            <v>31201512-TA-T01</v>
          </cell>
          <cell r="N563">
            <v>11</v>
          </cell>
          <cell r="O563">
            <v>8.75</v>
          </cell>
        </row>
        <row r="564">
          <cell r="M564" t="str">
            <v>31201512-TA-T02</v>
          </cell>
          <cell r="N564">
            <v>11</v>
          </cell>
          <cell r="O564">
            <v>17.5</v>
          </cell>
        </row>
        <row r="565">
          <cell r="M565" t="str">
            <v>NCSE_TEMP_00001</v>
          </cell>
          <cell r="N565">
            <v>11</v>
          </cell>
          <cell r="O565">
            <v>0</v>
          </cell>
        </row>
        <row r="566">
          <cell r="M566" t="str">
            <v>44103205-TC-A01</v>
          </cell>
          <cell r="N566">
            <v>11</v>
          </cell>
          <cell r="O566">
            <v>66.8</v>
          </cell>
        </row>
        <row r="567">
          <cell r="M567" t="str">
            <v>47131816-TD-C01</v>
          </cell>
          <cell r="N567">
            <v>11</v>
          </cell>
          <cell r="O567">
            <v>2.6</v>
          </cell>
        </row>
        <row r="568">
          <cell r="M568" t="str">
            <v>14111704-TT-P01</v>
          </cell>
          <cell r="N568">
            <v>11</v>
          </cell>
          <cell r="O568">
            <v>62.9</v>
          </cell>
        </row>
        <row r="569">
          <cell r="M569" t="str">
            <v>44103103-BR-B01</v>
          </cell>
          <cell r="N569">
            <v>11</v>
          </cell>
          <cell r="O569">
            <v>3115</v>
          </cell>
        </row>
        <row r="570">
          <cell r="M570" t="str">
            <v>44103103-BR-C01</v>
          </cell>
          <cell r="N570">
            <v>11</v>
          </cell>
          <cell r="O570">
            <v>3565</v>
          </cell>
        </row>
        <row r="571">
          <cell r="M571" t="str">
            <v>44103103-BR-M01</v>
          </cell>
          <cell r="N571">
            <v>11</v>
          </cell>
          <cell r="O571">
            <v>3565</v>
          </cell>
        </row>
        <row r="572">
          <cell r="M572" t="str">
            <v>44103103-BR-Y01</v>
          </cell>
          <cell r="N572">
            <v>11</v>
          </cell>
          <cell r="O572">
            <v>3565</v>
          </cell>
        </row>
        <row r="573">
          <cell r="M573" t="str">
            <v>44103103-BR-B02</v>
          </cell>
          <cell r="N573">
            <v>11</v>
          </cell>
          <cell r="O573">
            <v>4400</v>
          </cell>
        </row>
        <row r="574">
          <cell r="M574" t="str">
            <v>44103103-BR-C02</v>
          </cell>
          <cell r="N574">
            <v>11</v>
          </cell>
          <cell r="O574">
            <v>5900</v>
          </cell>
        </row>
        <row r="575">
          <cell r="M575" t="str">
            <v>44103103-BR-M02</v>
          </cell>
          <cell r="N575">
            <v>11</v>
          </cell>
          <cell r="O575">
            <v>5900</v>
          </cell>
        </row>
        <row r="576">
          <cell r="M576" t="str">
            <v>44103103-BR-Y02</v>
          </cell>
          <cell r="N576">
            <v>11</v>
          </cell>
          <cell r="O576">
            <v>5900</v>
          </cell>
        </row>
        <row r="577">
          <cell r="M577" t="str">
            <v>44103103-BR-B03</v>
          </cell>
          <cell r="N577">
            <v>11</v>
          </cell>
          <cell r="O577">
            <v>2458</v>
          </cell>
        </row>
        <row r="578">
          <cell r="M578" t="str">
            <v>44103103-BR-B04</v>
          </cell>
          <cell r="N578">
            <v>11</v>
          </cell>
          <cell r="O578">
            <v>1750</v>
          </cell>
        </row>
        <row r="579">
          <cell r="M579" t="str">
            <v>44103103-BR-B05</v>
          </cell>
          <cell r="N579">
            <v>11</v>
          </cell>
          <cell r="O579">
            <v>2515</v>
          </cell>
        </row>
        <row r="580">
          <cell r="M580" t="str">
            <v>44103103-BR-B10</v>
          </cell>
          <cell r="N580">
            <v>11</v>
          </cell>
          <cell r="O580">
            <v>1630</v>
          </cell>
        </row>
        <row r="581">
          <cell r="M581" t="str">
            <v>44103103-BR-B06</v>
          </cell>
          <cell r="N581">
            <v>11</v>
          </cell>
          <cell r="O581">
            <v>3400</v>
          </cell>
        </row>
        <row r="582">
          <cell r="M582" t="str">
            <v>44103103-BR-B07</v>
          </cell>
          <cell r="N582">
            <v>11</v>
          </cell>
          <cell r="O582">
            <v>4840</v>
          </cell>
        </row>
        <row r="583">
          <cell r="M583" t="str">
            <v>44103103-BR-B12</v>
          </cell>
          <cell r="N583">
            <v>11</v>
          </cell>
          <cell r="O583">
            <v>2990</v>
          </cell>
        </row>
        <row r="584">
          <cell r="M584" t="str">
            <v>44103103-BL-B08</v>
          </cell>
          <cell r="N584">
            <v>11</v>
          </cell>
          <cell r="O584">
            <v>3355</v>
          </cell>
        </row>
        <row r="585">
          <cell r="M585" t="str">
            <v>44103103-BR-B14</v>
          </cell>
          <cell r="N585">
            <v>11</v>
          </cell>
          <cell r="O585">
            <v>4529</v>
          </cell>
        </row>
        <row r="586">
          <cell r="M586" t="str">
            <v>44103103-BR-B09</v>
          </cell>
          <cell r="N586">
            <v>11</v>
          </cell>
          <cell r="O586">
            <v>2828.8</v>
          </cell>
        </row>
        <row r="587">
          <cell r="M587" t="str">
            <v>44103103-BR-B11</v>
          </cell>
          <cell r="N587">
            <v>11</v>
          </cell>
          <cell r="O587">
            <v>4123.6000000000004</v>
          </cell>
        </row>
        <row r="588">
          <cell r="M588" t="str">
            <v>44103103-BR-B13</v>
          </cell>
          <cell r="N588">
            <v>11</v>
          </cell>
          <cell r="O588">
            <v>4646</v>
          </cell>
        </row>
        <row r="589">
          <cell r="M589" t="str">
            <v>44103103-BR-B15</v>
          </cell>
          <cell r="N589">
            <v>11</v>
          </cell>
          <cell r="O589">
            <v>5836</v>
          </cell>
        </row>
        <row r="590">
          <cell r="M590" t="str">
            <v>44103103-CA-B00</v>
          </cell>
          <cell r="N590">
            <v>11</v>
          </cell>
          <cell r="O590">
            <v>12884</v>
          </cell>
        </row>
        <row r="591">
          <cell r="M591" t="str">
            <v>44103103-EP-B01</v>
          </cell>
          <cell r="N591">
            <v>11</v>
          </cell>
          <cell r="O591">
            <v>5463</v>
          </cell>
        </row>
        <row r="592">
          <cell r="M592" t="str">
            <v>44103103-FX-B01</v>
          </cell>
          <cell r="N592">
            <v>11</v>
          </cell>
          <cell r="O592">
            <v>11444</v>
          </cell>
        </row>
        <row r="593">
          <cell r="M593" t="str">
            <v>44103103-FX-B02</v>
          </cell>
          <cell r="N593">
            <v>11</v>
          </cell>
          <cell r="O593">
            <v>8614</v>
          </cell>
        </row>
        <row r="594">
          <cell r="M594" t="str">
            <v>44103103-FX-B03</v>
          </cell>
          <cell r="N594">
            <v>11</v>
          </cell>
          <cell r="O594">
            <v>7330</v>
          </cell>
        </row>
        <row r="595">
          <cell r="M595" t="str">
            <v>44103103-FX-B04</v>
          </cell>
          <cell r="N595">
            <v>11</v>
          </cell>
          <cell r="O595">
            <v>4734</v>
          </cell>
        </row>
        <row r="596">
          <cell r="M596" t="str">
            <v>44103103-FX-B05</v>
          </cell>
          <cell r="N596">
            <v>11</v>
          </cell>
          <cell r="O596">
            <v>5465</v>
          </cell>
        </row>
        <row r="597">
          <cell r="M597" t="str">
            <v>44103103-HP-B03</v>
          </cell>
          <cell r="N597">
            <v>11</v>
          </cell>
          <cell r="O597">
            <v>2636</v>
          </cell>
        </row>
        <row r="598">
          <cell r="M598" t="str">
            <v>44103103-HP-B04</v>
          </cell>
          <cell r="N598">
            <v>11</v>
          </cell>
          <cell r="O598">
            <v>4998.53</v>
          </cell>
        </row>
        <row r="599">
          <cell r="M599" t="str">
            <v>44103103-HP-B07</v>
          </cell>
          <cell r="N599">
            <v>11</v>
          </cell>
          <cell r="O599">
            <v>2857</v>
          </cell>
        </row>
        <row r="600">
          <cell r="M600" t="str">
            <v>44103103-HX-B08</v>
          </cell>
          <cell r="N600">
            <v>11</v>
          </cell>
          <cell r="O600">
            <v>11401</v>
          </cell>
        </row>
        <row r="601">
          <cell r="M601" t="str">
            <v>44103103-HP-B10</v>
          </cell>
          <cell r="N601">
            <v>11</v>
          </cell>
          <cell r="O601">
            <v>8418</v>
          </cell>
        </row>
        <row r="602">
          <cell r="M602" t="str">
            <v>44103103-HP-C10</v>
          </cell>
          <cell r="N602">
            <v>11</v>
          </cell>
          <cell r="O602">
            <v>13160</v>
          </cell>
        </row>
        <row r="603">
          <cell r="M603" t="str">
            <v>44103103-HP-Y10</v>
          </cell>
          <cell r="N603">
            <v>11</v>
          </cell>
          <cell r="O603">
            <v>13160</v>
          </cell>
        </row>
        <row r="604">
          <cell r="M604" t="str">
            <v>44103103-HP-M10</v>
          </cell>
          <cell r="N604">
            <v>11</v>
          </cell>
          <cell r="O604">
            <v>13160</v>
          </cell>
        </row>
        <row r="605">
          <cell r="M605" t="str">
            <v>44103103-HP-B11</v>
          </cell>
          <cell r="N605">
            <v>11</v>
          </cell>
          <cell r="O605">
            <v>2728</v>
          </cell>
        </row>
        <row r="606">
          <cell r="M606" t="str">
            <v>44103103-HP-B12</v>
          </cell>
          <cell r="N606">
            <v>11</v>
          </cell>
          <cell r="O606">
            <v>2748</v>
          </cell>
        </row>
        <row r="607">
          <cell r="M607" t="str">
            <v>44103103-HP-B13</v>
          </cell>
          <cell r="N607">
            <v>11</v>
          </cell>
          <cell r="O607">
            <v>3095</v>
          </cell>
        </row>
        <row r="608">
          <cell r="M608" t="str">
            <v>44103103-HP-B14</v>
          </cell>
          <cell r="N608">
            <v>11</v>
          </cell>
          <cell r="O608">
            <v>3185</v>
          </cell>
        </row>
        <row r="609">
          <cell r="M609" t="str">
            <v>44103103-HP-C14</v>
          </cell>
          <cell r="N609">
            <v>11</v>
          </cell>
          <cell r="O609">
            <v>2870</v>
          </cell>
        </row>
        <row r="610">
          <cell r="M610" t="str">
            <v>44103103-HP-Y14</v>
          </cell>
          <cell r="N610">
            <v>11</v>
          </cell>
          <cell r="O610">
            <v>2870</v>
          </cell>
        </row>
        <row r="611">
          <cell r="M611" t="str">
            <v>44103103-HP-M14</v>
          </cell>
          <cell r="N611">
            <v>11</v>
          </cell>
          <cell r="O611">
            <v>2870</v>
          </cell>
        </row>
        <row r="612">
          <cell r="M612" t="str">
            <v>44103103-HP-B15</v>
          </cell>
          <cell r="N612">
            <v>11</v>
          </cell>
          <cell r="O612">
            <v>7095</v>
          </cell>
        </row>
        <row r="613">
          <cell r="M613" t="str">
            <v>44103103-HX-B15</v>
          </cell>
          <cell r="N613">
            <v>11</v>
          </cell>
          <cell r="O613">
            <v>11370</v>
          </cell>
        </row>
        <row r="614">
          <cell r="M614" t="str">
            <v>44103103-HP-B16</v>
          </cell>
          <cell r="N614">
            <v>11</v>
          </cell>
          <cell r="O614">
            <v>5195</v>
          </cell>
        </row>
        <row r="615">
          <cell r="M615" t="str">
            <v>44103103-HP-C16</v>
          </cell>
          <cell r="N615">
            <v>11</v>
          </cell>
          <cell r="O615">
            <v>5095</v>
          </cell>
        </row>
        <row r="616">
          <cell r="M616" t="str">
            <v>44103103-HP-Y16</v>
          </cell>
          <cell r="N616">
            <v>11</v>
          </cell>
          <cell r="O616">
            <v>5095</v>
          </cell>
        </row>
        <row r="617">
          <cell r="M617" t="str">
            <v>44103103-HP-M16</v>
          </cell>
          <cell r="N617">
            <v>11</v>
          </cell>
          <cell r="O617">
            <v>5095</v>
          </cell>
        </row>
        <row r="618">
          <cell r="M618" t="str">
            <v>44103103-HP-B17</v>
          </cell>
          <cell r="N618">
            <v>11</v>
          </cell>
          <cell r="O618">
            <v>5200</v>
          </cell>
        </row>
        <row r="619">
          <cell r="M619" t="str">
            <v>44103103-HP-C17</v>
          </cell>
          <cell r="N619">
            <v>11</v>
          </cell>
          <cell r="O619">
            <v>10146</v>
          </cell>
        </row>
        <row r="620">
          <cell r="M620" t="str">
            <v>44103103-HP-Y17</v>
          </cell>
          <cell r="N620">
            <v>11</v>
          </cell>
          <cell r="O620">
            <v>10146</v>
          </cell>
        </row>
        <row r="621">
          <cell r="M621" t="str">
            <v>44103103-HP-M17</v>
          </cell>
          <cell r="N621">
            <v>11</v>
          </cell>
          <cell r="O621">
            <v>10146</v>
          </cell>
        </row>
        <row r="622">
          <cell r="M622" t="str">
            <v>44103103-HP-B18</v>
          </cell>
          <cell r="N622">
            <v>11</v>
          </cell>
          <cell r="O622">
            <v>6530</v>
          </cell>
        </row>
        <row r="623">
          <cell r="M623" t="str">
            <v>44103103-HX-B18</v>
          </cell>
          <cell r="N623">
            <v>11</v>
          </cell>
          <cell r="O623">
            <v>8637</v>
          </cell>
        </row>
        <row r="624">
          <cell r="M624" t="str">
            <v>44103103-HP-B19</v>
          </cell>
          <cell r="N624">
            <v>11</v>
          </cell>
          <cell r="O624">
            <v>6360</v>
          </cell>
        </row>
        <row r="625">
          <cell r="M625" t="str">
            <v>44103103-HP-C19</v>
          </cell>
          <cell r="N625">
            <v>11</v>
          </cell>
          <cell r="O625">
            <v>10966</v>
          </cell>
        </row>
        <row r="626">
          <cell r="M626" t="str">
            <v>44103103-HP-Y19</v>
          </cell>
          <cell r="N626">
            <v>11</v>
          </cell>
          <cell r="O626">
            <v>10966</v>
          </cell>
        </row>
        <row r="627">
          <cell r="M627" t="str">
            <v>44103103-HP-M19</v>
          </cell>
          <cell r="N627">
            <v>11</v>
          </cell>
          <cell r="O627">
            <v>10966</v>
          </cell>
        </row>
        <row r="628">
          <cell r="M628" t="str">
            <v>44103103-HP-B20</v>
          </cell>
          <cell r="N628">
            <v>11</v>
          </cell>
          <cell r="O628">
            <v>9722</v>
          </cell>
        </row>
        <row r="629">
          <cell r="M629" t="str">
            <v>44103103-HP-C20</v>
          </cell>
          <cell r="N629">
            <v>11</v>
          </cell>
          <cell r="O629">
            <v>15854</v>
          </cell>
        </row>
        <row r="630">
          <cell r="M630" t="str">
            <v>44103103-HP-Y20</v>
          </cell>
          <cell r="N630">
            <v>11</v>
          </cell>
          <cell r="O630">
            <v>15854</v>
          </cell>
        </row>
        <row r="631">
          <cell r="M631" t="str">
            <v>44103103-HP-M20</v>
          </cell>
          <cell r="N631">
            <v>11</v>
          </cell>
          <cell r="O631">
            <v>15854</v>
          </cell>
        </row>
        <row r="632">
          <cell r="M632" t="str">
            <v>44103103-HP-B21</v>
          </cell>
          <cell r="N632">
            <v>11</v>
          </cell>
          <cell r="O632">
            <v>3057</v>
          </cell>
        </row>
        <row r="633">
          <cell r="M633" t="str">
            <v>44103103-HP-B22</v>
          </cell>
          <cell r="N633">
            <v>11</v>
          </cell>
          <cell r="O633">
            <v>2840</v>
          </cell>
        </row>
        <row r="634">
          <cell r="M634" t="str">
            <v>44103103-HP-B23</v>
          </cell>
          <cell r="N634">
            <v>11</v>
          </cell>
          <cell r="O634">
            <v>2295</v>
          </cell>
        </row>
        <row r="635">
          <cell r="M635" t="str">
            <v>44103103-HP-C23</v>
          </cell>
          <cell r="N635">
            <v>11</v>
          </cell>
          <cell r="O635">
            <v>2395</v>
          </cell>
        </row>
        <row r="636">
          <cell r="M636" t="str">
            <v>44103103-HP-Y23</v>
          </cell>
          <cell r="N636">
            <v>11</v>
          </cell>
          <cell r="O636">
            <v>2395</v>
          </cell>
        </row>
        <row r="637">
          <cell r="M637" t="str">
            <v>44103103-HP-M23</v>
          </cell>
          <cell r="N637">
            <v>11</v>
          </cell>
          <cell r="O637">
            <v>2395</v>
          </cell>
        </row>
        <row r="638">
          <cell r="M638" t="str">
            <v>44103103-HP-B24</v>
          </cell>
          <cell r="N638">
            <v>11</v>
          </cell>
          <cell r="O638">
            <v>2745</v>
          </cell>
        </row>
        <row r="639">
          <cell r="M639" t="str">
            <v>44103103-HP-C24</v>
          </cell>
          <cell r="N639">
            <v>11</v>
          </cell>
          <cell r="O639">
            <v>2895</v>
          </cell>
        </row>
        <row r="640">
          <cell r="M640" t="str">
            <v>44103103-HP-Y24</v>
          </cell>
          <cell r="N640">
            <v>11</v>
          </cell>
          <cell r="O640">
            <v>2895</v>
          </cell>
        </row>
        <row r="641">
          <cell r="M641" t="str">
            <v>44103103-HP-M24</v>
          </cell>
          <cell r="N641">
            <v>11</v>
          </cell>
          <cell r="O641">
            <v>2895</v>
          </cell>
        </row>
        <row r="642">
          <cell r="M642" t="str">
            <v>44103103-HP-B25</v>
          </cell>
          <cell r="N642">
            <v>11</v>
          </cell>
          <cell r="O642">
            <v>7395</v>
          </cell>
        </row>
        <row r="643">
          <cell r="M643" t="str">
            <v>44103103-HX-B25</v>
          </cell>
          <cell r="N643">
            <v>11</v>
          </cell>
          <cell r="O643">
            <v>11688</v>
          </cell>
        </row>
        <row r="644">
          <cell r="M644" t="str">
            <v>44103103-HP-B26</v>
          </cell>
          <cell r="N644">
            <v>11</v>
          </cell>
          <cell r="O644">
            <v>6495</v>
          </cell>
        </row>
        <row r="645">
          <cell r="M645" t="str">
            <v>44103103-HP-C26</v>
          </cell>
          <cell r="N645">
            <v>11</v>
          </cell>
          <cell r="O645">
            <v>9595</v>
          </cell>
        </row>
        <row r="646">
          <cell r="M646" t="str">
            <v>44103103-HP-Y26</v>
          </cell>
          <cell r="N646">
            <v>11</v>
          </cell>
          <cell r="O646">
            <v>9595</v>
          </cell>
        </row>
        <row r="647">
          <cell r="M647" t="str">
            <v>44103103-HP-M26</v>
          </cell>
          <cell r="N647">
            <v>11</v>
          </cell>
          <cell r="O647">
            <v>9595</v>
          </cell>
        </row>
        <row r="648">
          <cell r="M648" t="str">
            <v>44103103-HP-B27</v>
          </cell>
          <cell r="N648">
            <v>11</v>
          </cell>
          <cell r="O648">
            <v>3720</v>
          </cell>
        </row>
        <row r="649">
          <cell r="M649" t="str">
            <v>44103103-HP-C27</v>
          </cell>
          <cell r="N649">
            <v>11</v>
          </cell>
          <cell r="O649">
            <v>5300</v>
          </cell>
        </row>
        <row r="650">
          <cell r="M650" t="str">
            <v>44103103-HP-Y27</v>
          </cell>
          <cell r="N650">
            <v>11</v>
          </cell>
          <cell r="O650">
            <v>5300</v>
          </cell>
        </row>
        <row r="651">
          <cell r="M651" t="str">
            <v>44103103-HP-M27</v>
          </cell>
          <cell r="N651">
            <v>11</v>
          </cell>
          <cell r="O651">
            <v>5300</v>
          </cell>
        </row>
        <row r="652">
          <cell r="M652" t="str">
            <v>44103103-HP-B28</v>
          </cell>
          <cell r="N652">
            <v>11</v>
          </cell>
          <cell r="O652">
            <v>3923</v>
          </cell>
        </row>
        <row r="653">
          <cell r="M653" t="str">
            <v>44103103-HX-B28</v>
          </cell>
          <cell r="N653">
            <v>11</v>
          </cell>
          <cell r="O653">
            <v>6936</v>
          </cell>
        </row>
        <row r="654">
          <cell r="M654" t="str">
            <v>44103103-HP-B29</v>
          </cell>
          <cell r="N654">
            <v>11</v>
          </cell>
          <cell r="O654">
            <v>5953</v>
          </cell>
        </row>
        <row r="655">
          <cell r="M655" t="str">
            <v>44103103-HP-C29</v>
          </cell>
          <cell r="N655">
            <v>11</v>
          </cell>
          <cell r="O655">
            <v>10559</v>
          </cell>
        </row>
        <row r="656">
          <cell r="M656" t="str">
            <v>44103103-HP-Y29</v>
          </cell>
          <cell r="N656">
            <v>11</v>
          </cell>
          <cell r="O656">
            <v>10559</v>
          </cell>
        </row>
        <row r="657">
          <cell r="M657" t="str">
            <v>44103103-HP-M29</v>
          </cell>
          <cell r="N657">
            <v>11</v>
          </cell>
          <cell r="O657">
            <v>10559</v>
          </cell>
        </row>
        <row r="658">
          <cell r="M658" t="str">
            <v>44103103-HP-B30</v>
          </cell>
          <cell r="N658">
            <v>11</v>
          </cell>
          <cell r="O658">
            <v>2867</v>
          </cell>
        </row>
        <row r="659">
          <cell r="M659" t="str">
            <v>44103103-HP-C30</v>
          </cell>
          <cell r="N659">
            <v>11</v>
          </cell>
          <cell r="O659">
            <v>3589</v>
          </cell>
        </row>
        <row r="660">
          <cell r="M660" t="str">
            <v>44103103-HP-Y30</v>
          </cell>
          <cell r="N660">
            <v>11</v>
          </cell>
          <cell r="O660">
            <v>3876</v>
          </cell>
        </row>
        <row r="661">
          <cell r="M661" t="str">
            <v>44103103-HP-M30</v>
          </cell>
          <cell r="N661">
            <v>11</v>
          </cell>
          <cell r="O661">
            <v>3876</v>
          </cell>
        </row>
        <row r="662">
          <cell r="M662" t="str">
            <v>44103103-HP-B51</v>
          </cell>
          <cell r="N662">
            <v>11</v>
          </cell>
          <cell r="O662">
            <v>6695</v>
          </cell>
        </row>
        <row r="663">
          <cell r="M663" t="str">
            <v>44103103-HP-B31</v>
          </cell>
          <cell r="N663">
            <v>11</v>
          </cell>
          <cell r="O663">
            <v>6420</v>
          </cell>
        </row>
        <row r="664">
          <cell r="M664" t="str">
            <v>44103103-HP-B34</v>
          </cell>
          <cell r="N664">
            <v>11</v>
          </cell>
          <cell r="O664">
            <v>3043</v>
          </cell>
        </row>
        <row r="665">
          <cell r="M665" t="str">
            <v>44103103-HP-B35</v>
          </cell>
          <cell r="N665">
            <v>11</v>
          </cell>
          <cell r="O665">
            <v>3200</v>
          </cell>
        </row>
        <row r="666">
          <cell r="M666" t="str">
            <v>44103103-HP-B36</v>
          </cell>
          <cell r="N666">
            <v>11</v>
          </cell>
          <cell r="O666">
            <v>3424</v>
          </cell>
        </row>
        <row r="667">
          <cell r="M667" t="str">
            <v>44103103-HP-B37</v>
          </cell>
          <cell r="N667">
            <v>11</v>
          </cell>
          <cell r="O667">
            <v>3400</v>
          </cell>
        </row>
        <row r="668">
          <cell r="M668" t="str">
            <v>44103103-HP-C37</v>
          </cell>
          <cell r="N668">
            <v>11</v>
          </cell>
          <cell r="O668">
            <v>4105</v>
          </cell>
        </row>
        <row r="669">
          <cell r="M669" t="str">
            <v>44103103-HP-Y37</v>
          </cell>
          <cell r="N669">
            <v>11</v>
          </cell>
          <cell r="O669">
            <v>4105</v>
          </cell>
        </row>
        <row r="670">
          <cell r="M670" t="str">
            <v>44103103-HP-M37</v>
          </cell>
          <cell r="N670">
            <v>11</v>
          </cell>
          <cell r="O670">
            <v>4105</v>
          </cell>
        </row>
        <row r="671">
          <cell r="M671" t="str">
            <v>44103103-HP-C38</v>
          </cell>
          <cell r="N671">
            <v>11</v>
          </cell>
          <cell r="O671">
            <v>3086</v>
          </cell>
        </row>
        <row r="672">
          <cell r="M672" t="str">
            <v>44103103-HP-Y38</v>
          </cell>
          <cell r="N672">
            <v>11</v>
          </cell>
          <cell r="O672">
            <v>3086</v>
          </cell>
        </row>
        <row r="673">
          <cell r="M673" t="str">
            <v>44103103-HP-M38</v>
          </cell>
          <cell r="N673">
            <v>11</v>
          </cell>
          <cell r="O673">
            <v>3086</v>
          </cell>
        </row>
        <row r="674">
          <cell r="M674" t="str">
            <v>44103103-HP-B39</v>
          </cell>
          <cell r="N674">
            <v>11</v>
          </cell>
          <cell r="O674">
            <v>7195</v>
          </cell>
        </row>
        <row r="675">
          <cell r="M675" t="str">
            <v>44103103-HP-B40</v>
          </cell>
          <cell r="N675">
            <v>11</v>
          </cell>
          <cell r="O675">
            <v>3395</v>
          </cell>
        </row>
        <row r="676">
          <cell r="M676" t="str">
            <v>44103103-HP-B41</v>
          </cell>
          <cell r="N676">
            <v>11</v>
          </cell>
          <cell r="O676">
            <v>7350</v>
          </cell>
        </row>
        <row r="677">
          <cell r="M677" t="str">
            <v>44103103-HP-C41</v>
          </cell>
          <cell r="N677">
            <v>11</v>
          </cell>
          <cell r="O677">
            <v>10428</v>
          </cell>
        </row>
        <row r="678">
          <cell r="M678" t="str">
            <v>44103103-HP-Y41</v>
          </cell>
          <cell r="N678">
            <v>11</v>
          </cell>
          <cell r="O678">
            <v>10428</v>
          </cell>
        </row>
        <row r="679">
          <cell r="M679" t="str">
            <v>44103103-HP-M41</v>
          </cell>
          <cell r="N679">
            <v>11</v>
          </cell>
          <cell r="O679">
            <v>10428</v>
          </cell>
        </row>
        <row r="680">
          <cell r="M680" t="str">
            <v>44103103-HP-B42</v>
          </cell>
          <cell r="N680">
            <v>11</v>
          </cell>
          <cell r="O680">
            <v>3190</v>
          </cell>
        </row>
        <row r="681">
          <cell r="M681" t="str">
            <v>44103103-HP-C42</v>
          </cell>
          <cell r="N681">
            <v>11</v>
          </cell>
          <cell r="O681">
            <v>3475</v>
          </cell>
        </row>
        <row r="682">
          <cell r="M682" t="str">
            <v>44103103-HP-Y42</v>
          </cell>
          <cell r="N682">
            <v>11</v>
          </cell>
          <cell r="O682">
            <v>3475</v>
          </cell>
        </row>
        <row r="683">
          <cell r="M683" t="str">
            <v>44103103-HP-M42</v>
          </cell>
          <cell r="N683">
            <v>11</v>
          </cell>
          <cell r="O683">
            <v>3475</v>
          </cell>
        </row>
        <row r="684">
          <cell r="M684" t="str">
            <v>44103103-HP-B43</v>
          </cell>
          <cell r="N684">
            <v>11</v>
          </cell>
          <cell r="O684">
            <v>5811</v>
          </cell>
        </row>
        <row r="685">
          <cell r="M685" t="str">
            <v>44103103-HP-C43</v>
          </cell>
          <cell r="N685">
            <v>11</v>
          </cell>
          <cell r="O685">
            <v>12501</v>
          </cell>
        </row>
        <row r="686">
          <cell r="M686" t="str">
            <v>44103103-HP-Y43</v>
          </cell>
          <cell r="N686">
            <v>11</v>
          </cell>
          <cell r="O686">
            <v>12501</v>
          </cell>
        </row>
        <row r="687">
          <cell r="M687" t="str">
            <v>44103103-HP-M43</v>
          </cell>
          <cell r="N687">
            <v>11</v>
          </cell>
          <cell r="O687">
            <v>12501</v>
          </cell>
        </row>
        <row r="688">
          <cell r="M688" t="str">
            <v>44103103-HP-B44</v>
          </cell>
          <cell r="N688">
            <v>11</v>
          </cell>
          <cell r="O688">
            <v>5314</v>
          </cell>
        </row>
        <row r="689">
          <cell r="M689" t="str">
            <v>44103103-HP-C44</v>
          </cell>
          <cell r="N689">
            <v>11</v>
          </cell>
          <cell r="O689">
            <v>5284</v>
          </cell>
        </row>
        <row r="690">
          <cell r="M690" t="str">
            <v>44103103-HP-Y44</v>
          </cell>
          <cell r="N690">
            <v>11</v>
          </cell>
          <cell r="O690">
            <v>5620</v>
          </cell>
        </row>
        <row r="691">
          <cell r="M691" t="str">
            <v>44103103-HP-M44</v>
          </cell>
          <cell r="N691">
            <v>11</v>
          </cell>
          <cell r="O691">
            <v>5620</v>
          </cell>
        </row>
        <row r="692">
          <cell r="M692" t="str">
            <v>44103103-HP-B45</v>
          </cell>
          <cell r="N692">
            <v>11</v>
          </cell>
          <cell r="O692">
            <v>5666</v>
          </cell>
        </row>
        <row r="693">
          <cell r="M693" t="str">
            <v>44103103-HP-B46</v>
          </cell>
          <cell r="N693">
            <v>11</v>
          </cell>
          <cell r="O693">
            <v>7507</v>
          </cell>
        </row>
        <row r="694">
          <cell r="M694" t="str">
            <v>44103103-HP-B47</v>
          </cell>
          <cell r="N694">
            <v>11</v>
          </cell>
          <cell r="O694">
            <v>5925</v>
          </cell>
        </row>
        <row r="695">
          <cell r="M695" t="str">
            <v>44103103-HP-B48</v>
          </cell>
          <cell r="N695">
            <v>11</v>
          </cell>
          <cell r="O695">
            <v>3820</v>
          </cell>
        </row>
        <row r="696">
          <cell r="M696" t="str">
            <v>44103103-HP-B49</v>
          </cell>
          <cell r="N696">
            <v>11</v>
          </cell>
          <cell r="O696">
            <v>7130</v>
          </cell>
        </row>
        <row r="697">
          <cell r="M697" t="str">
            <v>44103103-HP-C49</v>
          </cell>
          <cell r="N697">
            <v>11</v>
          </cell>
          <cell r="O697">
            <v>6841</v>
          </cell>
        </row>
        <row r="698">
          <cell r="M698" t="str">
            <v>44103103-HP-Y49</v>
          </cell>
          <cell r="N698">
            <v>11</v>
          </cell>
          <cell r="O698">
            <v>6841</v>
          </cell>
        </row>
        <row r="699">
          <cell r="M699" t="str">
            <v>44103103-HP-M49</v>
          </cell>
          <cell r="N699">
            <v>11</v>
          </cell>
          <cell r="O699">
            <v>6841</v>
          </cell>
        </row>
        <row r="700">
          <cell r="M700" t="str">
            <v>44103103-KY-B01</v>
          </cell>
          <cell r="N700">
            <v>11</v>
          </cell>
          <cell r="O700">
            <v>3696</v>
          </cell>
        </row>
        <row r="701">
          <cell r="M701" t="str">
            <v>44103103-KY-B05</v>
          </cell>
          <cell r="N701">
            <v>11</v>
          </cell>
          <cell r="O701">
            <v>5333</v>
          </cell>
        </row>
        <row r="702">
          <cell r="M702" t="str">
            <v>44103103-LX-B01</v>
          </cell>
          <cell r="N702">
            <v>11</v>
          </cell>
          <cell r="O702">
            <v>13920</v>
          </cell>
        </row>
        <row r="703">
          <cell r="M703" t="str">
            <v>44103103-LX-B02</v>
          </cell>
          <cell r="N703">
            <v>11</v>
          </cell>
          <cell r="O703">
            <v>4531</v>
          </cell>
        </row>
        <row r="704">
          <cell r="M704" t="str">
            <v>44103103-LX-B07</v>
          </cell>
          <cell r="N704">
            <v>11</v>
          </cell>
          <cell r="O704">
            <v>13300</v>
          </cell>
        </row>
        <row r="705">
          <cell r="M705" t="str">
            <v>44103103-LX-B03</v>
          </cell>
          <cell r="N705">
            <v>11</v>
          </cell>
          <cell r="O705">
            <v>8533</v>
          </cell>
        </row>
        <row r="706">
          <cell r="M706" t="str">
            <v>44103103-LX-B04</v>
          </cell>
          <cell r="N706">
            <v>11</v>
          </cell>
          <cell r="O706">
            <v>6553</v>
          </cell>
        </row>
        <row r="707">
          <cell r="M707" t="str">
            <v>44103103-LX-B05</v>
          </cell>
          <cell r="N707">
            <v>11</v>
          </cell>
          <cell r="O707">
            <v>9260</v>
          </cell>
        </row>
        <row r="708">
          <cell r="M708" t="str">
            <v>44103103-LX-B06</v>
          </cell>
          <cell r="N708">
            <v>11</v>
          </cell>
          <cell r="O708">
            <v>5850</v>
          </cell>
        </row>
        <row r="709">
          <cell r="M709" t="str">
            <v>44103103-SA-C19</v>
          </cell>
          <cell r="N709">
            <v>11</v>
          </cell>
          <cell r="O709">
            <v>5750</v>
          </cell>
        </row>
        <row r="710">
          <cell r="M710" t="str">
            <v>44103103-SA-C11</v>
          </cell>
          <cell r="N710">
            <v>11</v>
          </cell>
          <cell r="O710">
            <v>5500</v>
          </cell>
        </row>
        <row r="711">
          <cell r="M711" t="str">
            <v>44103103-SA-B22</v>
          </cell>
          <cell r="N711">
            <v>11</v>
          </cell>
          <cell r="O711">
            <v>3900</v>
          </cell>
        </row>
        <row r="712">
          <cell r="M712" t="str">
            <v>44103103-SA-B19</v>
          </cell>
          <cell r="N712">
            <v>11</v>
          </cell>
          <cell r="O712">
            <v>6200</v>
          </cell>
        </row>
        <row r="713">
          <cell r="M713" t="str">
            <v>44103103-SA-B11</v>
          </cell>
          <cell r="N713">
            <v>11</v>
          </cell>
          <cell r="O713">
            <v>4850</v>
          </cell>
        </row>
        <row r="714">
          <cell r="M714" t="str">
            <v>44103103-SA-M19</v>
          </cell>
          <cell r="N714">
            <v>11</v>
          </cell>
          <cell r="O714">
            <v>5750</v>
          </cell>
        </row>
        <row r="715">
          <cell r="M715" t="str">
            <v>44103103-SA-M11</v>
          </cell>
          <cell r="N715">
            <v>11</v>
          </cell>
          <cell r="O715">
            <v>5500</v>
          </cell>
        </row>
        <row r="716">
          <cell r="M716" t="str">
            <v>44103103-SA-Y19</v>
          </cell>
          <cell r="N716">
            <v>11</v>
          </cell>
          <cell r="O716">
            <v>5750</v>
          </cell>
        </row>
        <row r="717">
          <cell r="M717" t="str">
            <v>44103103-SA-Y11</v>
          </cell>
          <cell r="N717">
            <v>11</v>
          </cell>
          <cell r="O717">
            <v>5500</v>
          </cell>
        </row>
        <row r="718">
          <cell r="M718" t="str">
            <v>44103103-SA-B02</v>
          </cell>
          <cell r="N718">
            <v>11</v>
          </cell>
          <cell r="O718">
            <v>4600</v>
          </cell>
        </row>
        <row r="719">
          <cell r="M719" t="str">
            <v>44103103-SA-B03</v>
          </cell>
          <cell r="N719">
            <v>11</v>
          </cell>
          <cell r="O719">
            <v>4800</v>
          </cell>
        </row>
        <row r="720">
          <cell r="M720" t="str">
            <v>44103103-SA-B04</v>
          </cell>
          <cell r="N720">
            <v>11</v>
          </cell>
          <cell r="O720">
            <v>6400</v>
          </cell>
        </row>
        <row r="721">
          <cell r="M721" t="str">
            <v>44103103-SA-B15</v>
          </cell>
          <cell r="N721">
            <v>11</v>
          </cell>
          <cell r="O721">
            <v>7500</v>
          </cell>
        </row>
        <row r="722">
          <cell r="M722" t="str">
            <v>44103103-SA-B17</v>
          </cell>
          <cell r="N722">
            <v>11</v>
          </cell>
          <cell r="O722">
            <v>10000</v>
          </cell>
        </row>
        <row r="723">
          <cell r="M723" t="str">
            <v>44103103-SA-B06</v>
          </cell>
          <cell r="N723">
            <v>11</v>
          </cell>
          <cell r="O723">
            <v>2540</v>
          </cell>
        </row>
        <row r="724">
          <cell r="M724" t="str">
            <v>44103103-SA-B13</v>
          </cell>
          <cell r="N724">
            <v>11</v>
          </cell>
          <cell r="O724">
            <v>2800</v>
          </cell>
        </row>
        <row r="725">
          <cell r="M725" t="str">
            <v>44103103-SA-B07</v>
          </cell>
          <cell r="N725">
            <v>11</v>
          </cell>
          <cell r="O725">
            <v>2800</v>
          </cell>
        </row>
        <row r="726">
          <cell r="M726" t="str">
            <v>44103103-SA-B08</v>
          </cell>
          <cell r="N726">
            <v>11</v>
          </cell>
          <cell r="O726">
            <v>2350</v>
          </cell>
        </row>
        <row r="727">
          <cell r="M727" t="str">
            <v>44103103-SA-B09</v>
          </cell>
          <cell r="N727">
            <v>11</v>
          </cell>
          <cell r="O727">
            <v>2680</v>
          </cell>
        </row>
        <row r="728">
          <cell r="M728" t="str">
            <v>44103103-SA-B14</v>
          </cell>
          <cell r="N728">
            <v>11</v>
          </cell>
          <cell r="O728">
            <v>2640</v>
          </cell>
        </row>
        <row r="729">
          <cell r="M729" t="str">
            <v>44103103-SA-B01</v>
          </cell>
          <cell r="N729">
            <v>11</v>
          </cell>
          <cell r="O729">
            <v>3000</v>
          </cell>
        </row>
        <row r="730">
          <cell r="M730" t="str">
            <v>44103103-SA-B21</v>
          </cell>
          <cell r="N730">
            <v>11</v>
          </cell>
          <cell r="O730">
            <v>6850</v>
          </cell>
        </row>
        <row r="731">
          <cell r="M731" t="str">
            <v>44103103-SA-B18</v>
          </cell>
          <cell r="N731">
            <v>11</v>
          </cell>
          <cell r="O731">
            <v>4440</v>
          </cell>
        </row>
        <row r="732">
          <cell r="M732" t="str">
            <v>44103103-SA-B20</v>
          </cell>
          <cell r="N732">
            <v>11</v>
          </cell>
          <cell r="O732">
            <v>9100</v>
          </cell>
        </row>
        <row r="733">
          <cell r="M733" t="str">
            <v>44103103-SA-B12</v>
          </cell>
          <cell r="N733">
            <v>11</v>
          </cell>
          <cell r="O733">
            <v>8850</v>
          </cell>
        </row>
        <row r="734">
          <cell r="M734" t="str">
            <v>44103103-SA-B05</v>
          </cell>
          <cell r="N734">
            <v>11</v>
          </cell>
          <cell r="O734">
            <v>4870</v>
          </cell>
        </row>
        <row r="735">
          <cell r="M735" t="str">
            <v>44103103-SA-B16</v>
          </cell>
          <cell r="N735">
            <v>11</v>
          </cell>
          <cell r="O735">
            <v>8200</v>
          </cell>
        </row>
        <row r="736">
          <cell r="M736" t="str">
            <v>44103103-SA-B10</v>
          </cell>
          <cell r="N736">
            <v>11</v>
          </cell>
          <cell r="O736">
            <v>4190</v>
          </cell>
        </row>
        <row r="737">
          <cell r="M737" t="str">
            <v>44103103-HP-B50</v>
          </cell>
          <cell r="N737">
            <v>11</v>
          </cell>
          <cell r="O737">
            <v>3003</v>
          </cell>
        </row>
        <row r="738">
          <cell r="M738" t="str">
            <v>44103103-HP-B52</v>
          </cell>
          <cell r="N738">
            <v>11</v>
          </cell>
          <cell r="O738">
            <v>2820</v>
          </cell>
        </row>
        <row r="739">
          <cell r="M739" t="str">
            <v>44103103-HP-B53</v>
          </cell>
          <cell r="N739">
            <v>11</v>
          </cell>
          <cell r="O739">
            <v>0</v>
          </cell>
        </row>
        <row r="740">
          <cell r="M740" t="str">
            <v>44103103-HX-B50</v>
          </cell>
          <cell r="N740">
            <v>11</v>
          </cell>
          <cell r="O740">
            <v>0</v>
          </cell>
        </row>
        <row r="741">
          <cell r="M741" t="str">
            <v>44103103-HP-B55</v>
          </cell>
          <cell r="N741">
            <v>11</v>
          </cell>
          <cell r="O741">
            <v>0</v>
          </cell>
        </row>
        <row r="742">
          <cell r="M742" t="str">
            <v>44103103-HP-B56</v>
          </cell>
          <cell r="N742">
            <v>11</v>
          </cell>
          <cell r="O742">
            <v>8308.51</v>
          </cell>
        </row>
        <row r="743">
          <cell r="M743" t="str">
            <v>44103103-HP-B57</v>
          </cell>
          <cell r="N743">
            <v>11</v>
          </cell>
          <cell r="O743">
            <v>3117.02</v>
          </cell>
        </row>
        <row r="744">
          <cell r="M744" t="str">
            <v>44103103-HX-B51</v>
          </cell>
          <cell r="N744">
            <v>11</v>
          </cell>
          <cell r="O744">
            <v>3795</v>
          </cell>
        </row>
        <row r="745">
          <cell r="M745" t="str">
            <v>44103103-HP-B58</v>
          </cell>
          <cell r="N745">
            <v>11</v>
          </cell>
          <cell r="O745">
            <v>9665</v>
          </cell>
        </row>
        <row r="746">
          <cell r="M746" t="str">
            <v>44103103-HP-B59</v>
          </cell>
          <cell r="N746">
            <v>11</v>
          </cell>
          <cell r="O746">
            <v>0</v>
          </cell>
        </row>
        <row r="747">
          <cell r="M747" t="str">
            <v>44103103-HP-C59</v>
          </cell>
          <cell r="N747">
            <v>11</v>
          </cell>
          <cell r="O747">
            <v>0</v>
          </cell>
        </row>
        <row r="748">
          <cell r="M748" t="str">
            <v>44103103-HP-Y59</v>
          </cell>
          <cell r="N748">
            <v>11</v>
          </cell>
          <cell r="O748">
            <v>0</v>
          </cell>
        </row>
        <row r="749">
          <cell r="M749" t="str">
            <v>44103103-HP-M59</v>
          </cell>
          <cell r="N749">
            <v>11</v>
          </cell>
          <cell r="O749">
            <v>0</v>
          </cell>
        </row>
        <row r="750">
          <cell r="M750" t="str">
            <v>44103103-HX-B52</v>
          </cell>
          <cell r="N750">
            <v>11</v>
          </cell>
          <cell r="O750">
            <v>12650</v>
          </cell>
        </row>
        <row r="751">
          <cell r="M751" t="str">
            <v>44103103-HP-B60</v>
          </cell>
          <cell r="N751">
            <v>11</v>
          </cell>
          <cell r="O751">
            <v>2790</v>
          </cell>
        </row>
        <row r="752">
          <cell r="M752" t="str">
            <v>44103103-HP-C60</v>
          </cell>
          <cell r="N752">
            <v>11</v>
          </cell>
          <cell r="O752">
            <v>2830</v>
          </cell>
        </row>
        <row r="753">
          <cell r="M753" t="str">
            <v>44103103-HP-Y60</v>
          </cell>
          <cell r="N753">
            <v>11</v>
          </cell>
          <cell r="O753">
            <v>2830</v>
          </cell>
        </row>
        <row r="754">
          <cell r="M754" t="str">
            <v>44103103-HP-M60</v>
          </cell>
          <cell r="N754">
            <v>11</v>
          </cell>
          <cell r="O754">
            <v>2830</v>
          </cell>
        </row>
        <row r="755">
          <cell r="M755" t="str">
            <v>44103103-HP-B61</v>
          </cell>
          <cell r="N755">
            <v>11</v>
          </cell>
          <cell r="O755">
            <v>7105</v>
          </cell>
        </row>
        <row r="756">
          <cell r="M756" t="str">
            <v>44103103-HX-B53</v>
          </cell>
          <cell r="N756">
            <v>11</v>
          </cell>
          <cell r="O756">
            <v>0</v>
          </cell>
        </row>
        <row r="757">
          <cell r="M757" t="str">
            <v>44103103-HP-C61</v>
          </cell>
          <cell r="N757">
            <v>11</v>
          </cell>
          <cell r="O757">
            <v>9110</v>
          </cell>
        </row>
        <row r="758">
          <cell r="M758" t="str">
            <v>44103103-HX-C53</v>
          </cell>
          <cell r="N758">
            <v>11</v>
          </cell>
          <cell r="O758">
            <v>0</v>
          </cell>
        </row>
        <row r="759">
          <cell r="M759" t="str">
            <v>44103103-HP-Y61</v>
          </cell>
          <cell r="N759">
            <v>11</v>
          </cell>
          <cell r="O759">
            <v>9110</v>
          </cell>
        </row>
        <row r="760">
          <cell r="M760" t="str">
            <v>44103103-HX-Y53</v>
          </cell>
          <cell r="N760">
            <v>11</v>
          </cell>
          <cell r="O760">
            <v>0</v>
          </cell>
        </row>
        <row r="761">
          <cell r="M761" t="str">
            <v>44103103-HP-M61</v>
          </cell>
          <cell r="N761">
            <v>11</v>
          </cell>
          <cell r="O761">
            <v>9110</v>
          </cell>
        </row>
        <row r="762">
          <cell r="M762" t="str">
            <v>44103103-HX-M53</v>
          </cell>
          <cell r="N762">
            <v>11</v>
          </cell>
          <cell r="O762">
            <v>0</v>
          </cell>
        </row>
        <row r="763">
          <cell r="M763" t="str">
            <v>44103103-HP-B62</v>
          </cell>
          <cell r="N763">
            <v>11</v>
          </cell>
          <cell r="O763">
            <v>0</v>
          </cell>
        </row>
        <row r="764">
          <cell r="M764" t="str">
            <v>44103103-HP-C62</v>
          </cell>
          <cell r="N764">
            <v>11</v>
          </cell>
          <cell r="O764">
            <v>0</v>
          </cell>
        </row>
        <row r="765">
          <cell r="M765" t="str">
            <v>44103103-HP-Y62</v>
          </cell>
          <cell r="N765">
            <v>11</v>
          </cell>
          <cell r="O765">
            <v>0</v>
          </cell>
        </row>
        <row r="766">
          <cell r="M766" t="str">
            <v>44103103-HP-M62</v>
          </cell>
          <cell r="N766">
            <v>11</v>
          </cell>
          <cell r="O766">
            <v>0</v>
          </cell>
        </row>
        <row r="767">
          <cell r="M767" t="str">
            <v>44103103-HP-B63</v>
          </cell>
          <cell r="N767">
            <v>11</v>
          </cell>
          <cell r="O767">
            <v>4270</v>
          </cell>
        </row>
        <row r="768">
          <cell r="M768" t="str">
            <v>44103103-HX-B54</v>
          </cell>
          <cell r="N768">
            <v>11</v>
          </cell>
          <cell r="O768">
            <v>7155</v>
          </cell>
        </row>
        <row r="769">
          <cell r="M769" t="str">
            <v>44103103-HP-C63</v>
          </cell>
          <cell r="N769">
            <v>11</v>
          </cell>
          <cell r="O769">
            <v>4855</v>
          </cell>
        </row>
        <row r="770">
          <cell r="M770" t="str">
            <v>44103103-HX-C54</v>
          </cell>
          <cell r="N770">
            <v>11</v>
          </cell>
          <cell r="O770">
            <v>7185</v>
          </cell>
        </row>
        <row r="771">
          <cell r="M771" t="str">
            <v>44103103-HP-Y63</v>
          </cell>
          <cell r="N771">
            <v>11</v>
          </cell>
          <cell r="O771">
            <v>4855</v>
          </cell>
        </row>
        <row r="772">
          <cell r="M772" t="str">
            <v>44103103-HX-Y54</v>
          </cell>
          <cell r="N772">
            <v>11</v>
          </cell>
          <cell r="O772">
            <v>7185</v>
          </cell>
        </row>
        <row r="773">
          <cell r="M773" t="str">
            <v>44103103-HP-M63</v>
          </cell>
          <cell r="N773">
            <v>11</v>
          </cell>
          <cell r="O773">
            <v>4855</v>
          </cell>
        </row>
        <row r="774">
          <cell r="M774" t="str">
            <v>44103103-HX-M54</v>
          </cell>
          <cell r="N774">
            <v>11</v>
          </cell>
          <cell r="O774">
            <v>7185</v>
          </cell>
        </row>
        <row r="775">
          <cell r="M775" t="str">
            <v>44103118-TF-C01</v>
          </cell>
          <cell r="N775">
            <v>11</v>
          </cell>
          <cell r="O775">
            <v>648</v>
          </cell>
        </row>
        <row r="776">
          <cell r="M776" t="str">
            <v>47121701-TB-PO3</v>
          </cell>
          <cell r="N776">
            <v>11</v>
          </cell>
          <cell r="O776">
            <v>107.68</v>
          </cell>
        </row>
        <row r="777">
          <cell r="M777" t="str">
            <v>47121701-TB-P01</v>
          </cell>
          <cell r="N777">
            <v>11</v>
          </cell>
          <cell r="O777">
            <v>0</v>
          </cell>
        </row>
        <row r="778">
          <cell r="M778" t="str">
            <v>47121701-TB-P02</v>
          </cell>
          <cell r="N778">
            <v>11</v>
          </cell>
          <cell r="O778">
            <v>134.5</v>
          </cell>
        </row>
        <row r="779">
          <cell r="M779" t="str">
            <v>31151507-TW-P01</v>
          </cell>
          <cell r="N779">
            <v>11</v>
          </cell>
          <cell r="O779">
            <v>49</v>
          </cell>
        </row>
        <row r="780">
          <cell r="M780" t="str">
            <v>81112501-VPO002</v>
          </cell>
          <cell r="N780">
            <v>11</v>
          </cell>
          <cell r="O780">
            <v>1134</v>
          </cell>
        </row>
        <row r="781">
          <cell r="M781" t="str">
            <v>81112501-VIS015</v>
          </cell>
          <cell r="N781">
            <v>11</v>
          </cell>
          <cell r="O781">
            <v>18234.52</v>
          </cell>
        </row>
        <row r="782">
          <cell r="M782" t="str">
            <v>81112501-VOP001</v>
          </cell>
          <cell r="N782">
            <v>11</v>
          </cell>
          <cell r="O782">
            <v>6747.41</v>
          </cell>
        </row>
        <row r="783">
          <cell r="M783" t="str">
            <v>81112501-VSP006</v>
          </cell>
          <cell r="N783">
            <v>11</v>
          </cell>
          <cell r="O783">
            <v>21748.880000000001</v>
          </cell>
        </row>
        <row r="784">
          <cell r="M784" t="str">
            <v>47121702-WB-P01</v>
          </cell>
          <cell r="N784">
            <v>11</v>
          </cell>
          <cell r="O784">
            <v>22.68</v>
          </cell>
        </row>
        <row r="785">
          <cell r="M785" t="str">
            <v>81112501-WIN075</v>
          </cell>
          <cell r="N785">
            <v>11</v>
          </cell>
          <cell r="O785">
            <v>9488.3700000000008</v>
          </cell>
        </row>
        <row r="786">
          <cell r="M786" t="str">
            <v>81112501-WIN076</v>
          </cell>
          <cell r="N786">
            <v>11</v>
          </cell>
          <cell r="O786">
            <v>1598.09</v>
          </cell>
        </row>
        <row r="787">
          <cell r="M787" t="str">
            <v>81112501-WIN077</v>
          </cell>
          <cell r="N787">
            <v>11</v>
          </cell>
          <cell r="O787">
            <v>2656.16</v>
          </cell>
        </row>
        <row r="788">
          <cell r="M788" t="str">
            <v>43222609-WR-R01</v>
          </cell>
          <cell r="N788">
            <v>11</v>
          </cell>
          <cell r="O788">
            <v>998</v>
          </cell>
        </row>
        <row r="789">
          <cell r="M789" t="str">
            <v>81112501-WCE002</v>
          </cell>
          <cell r="N789">
            <v>11</v>
          </cell>
          <cell r="O789">
            <v>1687335.54</v>
          </cell>
        </row>
        <row r="790">
          <cell r="M790" t="str">
            <v>60121124-WR-P01</v>
          </cell>
          <cell r="N790">
            <v>11</v>
          </cell>
          <cell r="O790">
            <v>124.68</v>
          </cell>
        </row>
      </sheetData>
      <sheetData sheetId="1" refreshError="1">
        <row r="389">
          <cell r="I389">
            <v>2700</v>
          </cell>
          <cell r="N389">
            <v>900</v>
          </cell>
          <cell r="S389">
            <v>0</v>
          </cell>
          <cell r="X389">
            <v>0</v>
          </cell>
        </row>
        <row r="390">
          <cell r="I390">
            <v>1040</v>
          </cell>
          <cell r="N390">
            <v>0</v>
          </cell>
          <cell r="S390">
            <v>0</v>
          </cell>
          <cell r="X390">
            <v>0</v>
          </cell>
        </row>
        <row r="391">
          <cell r="I391">
            <v>1680</v>
          </cell>
          <cell r="N391">
            <v>0</v>
          </cell>
          <cell r="S391">
            <v>0</v>
          </cell>
          <cell r="X391">
            <v>0</v>
          </cell>
        </row>
        <row r="392">
          <cell r="I392">
            <v>2340</v>
          </cell>
          <cell r="N392">
            <v>0</v>
          </cell>
          <cell r="S392">
            <v>0</v>
          </cell>
          <cell r="X392">
            <v>0</v>
          </cell>
        </row>
        <row r="393">
          <cell r="I393">
            <v>0</v>
          </cell>
          <cell r="N393">
            <v>0</v>
          </cell>
          <cell r="S393">
            <v>0</v>
          </cell>
          <cell r="X393">
            <v>0</v>
          </cell>
        </row>
        <row r="394">
          <cell r="I394">
            <v>0</v>
          </cell>
          <cell r="N394">
            <v>0</v>
          </cell>
          <cell r="S394">
            <v>0</v>
          </cell>
          <cell r="X394">
            <v>0</v>
          </cell>
        </row>
        <row r="395">
          <cell r="I395">
            <v>0</v>
          </cell>
          <cell r="N395">
            <v>0</v>
          </cell>
          <cell r="S395">
            <v>0</v>
          </cell>
          <cell r="X395">
            <v>0</v>
          </cell>
        </row>
        <row r="396">
          <cell r="I396">
            <v>0</v>
          </cell>
          <cell r="N396">
            <v>23100</v>
          </cell>
          <cell r="S396">
            <v>0</v>
          </cell>
          <cell r="X396">
            <v>0</v>
          </cell>
        </row>
        <row r="397">
          <cell r="I397">
            <v>900</v>
          </cell>
          <cell r="N397">
            <v>0</v>
          </cell>
          <cell r="S397">
            <v>0</v>
          </cell>
          <cell r="X397">
            <v>0</v>
          </cell>
        </row>
        <row r="398">
          <cell r="I398">
            <v>0</v>
          </cell>
          <cell r="N398">
            <v>0</v>
          </cell>
          <cell r="S398">
            <v>0</v>
          </cell>
          <cell r="X398">
            <v>0</v>
          </cell>
        </row>
        <row r="399">
          <cell r="I399">
            <v>0</v>
          </cell>
          <cell r="N399">
            <v>0</v>
          </cell>
          <cell r="S399">
            <v>0</v>
          </cell>
          <cell r="X399">
            <v>0</v>
          </cell>
        </row>
        <row r="400">
          <cell r="I400">
            <v>0</v>
          </cell>
          <cell r="N400">
            <v>0</v>
          </cell>
          <cell r="S400">
            <v>0</v>
          </cell>
          <cell r="X400">
            <v>0</v>
          </cell>
        </row>
        <row r="401">
          <cell r="I401">
            <v>0</v>
          </cell>
          <cell r="N401">
            <v>0</v>
          </cell>
          <cell r="S401">
            <v>0</v>
          </cell>
          <cell r="X401">
            <v>0</v>
          </cell>
        </row>
        <row r="402">
          <cell r="I402">
            <v>0</v>
          </cell>
          <cell r="N402">
            <v>0</v>
          </cell>
          <cell r="S402">
            <v>0</v>
          </cell>
          <cell r="X402">
            <v>0</v>
          </cell>
        </row>
        <row r="403">
          <cell r="I403">
            <v>3346</v>
          </cell>
          <cell r="N403">
            <v>2856</v>
          </cell>
          <cell r="S403">
            <v>2506</v>
          </cell>
          <cell r="X403">
            <v>588</v>
          </cell>
        </row>
        <row r="404">
          <cell r="I404">
            <v>1250</v>
          </cell>
          <cell r="N404">
            <v>0</v>
          </cell>
          <cell r="S404">
            <v>0</v>
          </cell>
          <cell r="X404">
            <v>0</v>
          </cell>
        </row>
        <row r="405">
          <cell r="I405">
            <v>390</v>
          </cell>
          <cell r="N405">
            <v>0</v>
          </cell>
          <cell r="S405">
            <v>0</v>
          </cell>
          <cell r="X405">
            <v>0</v>
          </cell>
        </row>
        <row r="406">
          <cell r="I406">
            <v>400</v>
          </cell>
          <cell r="N406">
            <v>200</v>
          </cell>
          <cell r="S406">
            <v>0</v>
          </cell>
          <cell r="X406">
            <v>0</v>
          </cell>
        </row>
        <row r="407">
          <cell r="I407">
            <v>370.5</v>
          </cell>
          <cell r="N407">
            <v>2778.75</v>
          </cell>
          <cell r="S407">
            <v>370.5</v>
          </cell>
          <cell r="X407">
            <v>185.25</v>
          </cell>
        </row>
        <row r="408">
          <cell r="I408">
            <v>1260</v>
          </cell>
          <cell r="N408">
            <v>420</v>
          </cell>
          <cell r="S408">
            <v>420</v>
          </cell>
          <cell r="X408">
            <v>420</v>
          </cell>
        </row>
        <row r="409">
          <cell r="I409">
            <v>400</v>
          </cell>
          <cell r="N409">
            <v>200</v>
          </cell>
          <cell r="S409">
            <v>0</v>
          </cell>
          <cell r="X409">
            <v>0</v>
          </cell>
        </row>
        <row r="410">
          <cell r="I410">
            <v>84</v>
          </cell>
          <cell r="N410">
            <v>42</v>
          </cell>
          <cell r="S410">
            <v>84</v>
          </cell>
          <cell r="X410">
            <v>28</v>
          </cell>
        </row>
        <row r="411">
          <cell r="I411">
            <v>60</v>
          </cell>
          <cell r="N411">
            <v>0</v>
          </cell>
          <cell r="S411">
            <v>0</v>
          </cell>
          <cell r="X411">
            <v>0</v>
          </cell>
        </row>
        <row r="412">
          <cell r="I412">
            <v>165</v>
          </cell>
          <cell r="N412">
            <v>0</v>
          </cell>
          <cell r="S412">
            <v>0</v>
          </cell>
          <cell r="X412">
            <v>0</v>
          </cell>
        </row>
        <row r="413">
          <cell r="I413">
            <v>270</v>
          </cell>
          <cell r="N413">
            <v>270</v>
          </cell>
          <cell r="S413">
            <v>270</v>
          </cell>
          <cell r="X413">
            <v>270</v>
          </cell>
        </row>
        <row r="414">
          <cell r="I414">
            <v>63</v>
          </cell>
          <cell r="N414">
            <v>42</v>
          </cell>
          <cell r="S414">
            <v>0</v>
          </cell>
          <cell r="X414">
            <v>0</v>
          </cell>
        </row>
        <row r="415">
          <cell r="I415">
            <v>720</v>
          </cell>
          <cell r="N415">
            <v>0</v>
          </cell>
          <cell r="S415">
            <v>0</v>
          </cell>
          <cell r="X415">
            <v>96</v>
          </cell>
        </row>
        <row r="416">
          <cell r="I416">
            <v>0</v>
          </cell>
          <cell r="N416">
            <v>0</v>
          </cell>
          <cell r="S416">
            <v>400</v>
          </cell>
          <cell r="X416">
            <v>0</v>
          </cell>
        </row>
        <row r="417">
          <cell r="I417">
            <v>2100</v>
          </cell>
          <cell r="N417">
            <v>0</v>
          </cell>
          <cell r="S417">
            <v>0</v>
          </cell>
          <cell r="X417">
            <v>750</v>
          </cell>
        </row>
        <row r="418">
          <cell r="I418">
            <v>78</v>
          </cell>
          <cell r="N418">
            <v>72</v>
          </cell>
          <cell r="S418">
            <v>78</v>
          </cell>
          <cell r="X418">
            <v>72</v>
          </cell>
        </row>
        <row r="419">
          <cell r="I419">
            <v>75</v>
          </cell>
          <cell r="N419">
            <v>175</v>
          </cell>
          <cell r="S419">
            <v>75</v>
          </cell>
          <cell r="X419">
            <v>75</v>
          </cell>
        </row>
        <row r="420">
          <cell r="I420">
            <v>387.2</v>
          </cell>
          <cell r="N420">
            <v>140.80000000000001</v>
          </cell>
          <cell r="S420">
            <v>211.2</v>
          </cell>
          <cell r="X420">
            <v>140.80000000000001</v>
          </cell>
        </row>
        <row r="421">
          <cell r="I421">
            <v>475</v>
          </cell>
          <cell r="N421">
            <v>450</v>
          </cell>
          <cell r="S421">
            <v>350</v>
          </cell>
          <cell r="X421">
            <v>350</v>
          </cell>
        </row>
        <row r="422">
          <cell r="I422">
            <v>300</v>
          </cell>
          <cell r="N422">
            <v>0</v>
          </cell>
          <cell r="S422">
            <v>300</v>
          </cell>
          <cell r="X422">
            <v>0</v>
          </cell>
        </row>
        <row r="423">
          <cell r="I423">
            <v>370</v>
          </cell>
          <cell r="N423">
            <v>0</v>
          </cell>
          <cell r="S423">
            <v>370</v>
          </cell>
          <cell r="X423">
            <v>0</v>
          </cell>
        </row>
        <row r="424">
          <cell r="I424">
            <v>125</v>
          </cell>
          <cell r="N424">
            <v>125</v>
          </cell>
          <cell r="S424">
            <v>125</v>
          </cell>
          <cell r="X424">
            <v>125</v>
          </cell>
        </row>
        <row r="425">
          <cell r="I425">
            <v>288</v>
          </cell>
          <cell r="N425">
            <v>288</v>
          </cell>
          <cell r="S425">
            <v>288</v>
          </cell>
          <cell r="X425">
            <v>0</v>
          </cell>
        </row>
        <row r="426">
          <cell r="I426">
            <v>1000</v>
          </cell>
          <cell r="N426">
            <v>0</v>
          </cell>
          <cell r="S426">
            <v>0</v>
          </cell>
          <cell r="X426">
            <v>0</v>
          </cell>
        </row>
        <row r="427">
          <cell r="I427">
            <v>3800</v>
          </cell>
          <cell r="N427">
            <v>0</v>
          </cell>
          <cell r="S427">
            <v>5800</v>
          </cell>
          <cell r="X427">
            <v>0</v>
          </cell>
        </row>
        <row r="428">
          <cell r="I428">
            <v>9.52</v>
          </cell>
          <cell r="N428">
            <v>9.52</v>
          </cell>
          <cell r="S428">
            <v>9.52</v>
          </cell>
          <cell r="X428">
            <v>9.52</v>
          </cell>
        </row>
        <row r="429">
          <cell r="I429">
            <v>11.11</v>
          </cell>
          <cell r="N429">
            <v>11.11</v>
          </cell>
          <cell r="S429">
            <v>11.11</v>
          </cell>
          <cell r="X429">
            <v>11.11</v>
          </cell>
        </row>
        <row r="430">
          <cell r="I430">
            <v>0</v>
          </cell>
          <cell r="N430">
            <v>1400</v>
          </cell>
          <cell r="S430">
            <v>0</v>
          </cell>
          <cell r="X430">
            <v>0</v>
          </cell>
        </row>
        <row r="431">
          <cell r="I431">
            <v>2280</v>
          </cell>
          <cell r="N431">
            <v>2166</v>
          </cell>
          <cell r="S431">
            <v>2223</v>
          </cell>
          <cell r="X431">
            <v>3021</v>
          </cell>
        </row>
        <row r="432">
          <cell r="I432">
            <v>1125</v>
          </cell>
          <cell r="N432">
            <v>1125</v>
          </cell>
          <cell r="S432">
            <v>0</v>
          </cell>
          <cell r="X432">
            <v>0</v>
          </cell>
        </row>
        <row r="433">
          <cell r="I433">
            <v>369.05</v>
          </cell>
          <cell r="N433">
            <v>0</v>
          </cell>
          <cell r="S433">
            <v>0</v>
          </cell>
          <cell r="X433">
            <v>0</v>
          </cell>
        </row>
        <row r="434">
          <cell r="I434">
            <v>0</v>
          </cell>
          <cell r="N434">
            <v>517.66999999999996</v>
          </cell>
          <cell r="S434">
            <v>0</v>
          </cell>
          <cell r="X434">
            <v>0</v>
          </cell>
        </row>
        <row r="435">
          <cell r="I435">
            <v>19600</v>
          </cell>
          <cell r="N435">
            <v>4000</v>
          </cell>
          <cell r="S435">
            <v>4000</v>
          </cell>
          <cell r="X435">
            <v>0</v>
          </cell>
        </row>
        <row r="436">
          <cell r="I436">
            <v>9780</v>
          </cell>
          <cell r="N436">
            <v>0</v>
          </cell>
          <cell r="S436">
            <v>4890</v>
          </cell>
          <cell r="X436">
            <v>0</v>
          </cell>
        </row>
        <row r="437">
          <cell r="I437">
            <v>815</v>
          </cell>
          <cell r="N437">
            <v>0</v>
          </cell>
          <cell r="S437">
            <v>0</v>
          </cell>
          <cell r="X437">
            <v>0</v>
          </cell>
        </row>
        <row r="438">
          <cell r="I438">
            <v>2400</v>
          </cell>
          <cell r="N438">
            <v>0</v>
          </cell>
          <cell r="S438">
            <v>0</v>
          </cell>
          <cell r="X438">
            <v>0</v>
          </cell>
        </row>
        <row r="439">
          <cell r="I439">
            <v>3900</v>
          </cell>
          <cell r="N439">
            <v>0</v>
          </cell>
          <cell r="S439">
            <v>0</v>
          </cell>
          <cell r="X439">
            <v>0</v>
          </cell>
        </row>
        <row r="440">
          <cell r="I440">
            <v>1965</v>
          </cell>
          <cell r="N440">
            <v>0</v>
          </cell>
          <cell r="S440">
            <v>0</v>
          </cell>
          <cell r="X440">
            <v>0</v>
          </cell>
        </row>
        <row r="441">
          <cell r="I441">
            <v>0</v>
          </cell>
          <cell r="N441">
            <v>1965</v>
          </cell>
          <cell r="S441">
            <v>0</v>
          </cell>
          <cell r="X441">
            <v>0</v>
          </cell>
        </row>
        <row r="442">
          <cell r="I442">
            <v>7200</v>
          </cell>
          <cell r="N442">
            <v>0</v>
          </cell>
          <cell r="S442">
            <v>0</v>
          </cell>
          <cell r="X442">
            <v>0</v>
          </cell>
        </row>
        <row r="443">
          <cell r="I443">
            <v>750</v>
          </cell>
          <cell r="N443">
            <v>750</v>
          </cell>
          <cell r="S443">
            <v>0</v>
          </cell>
          <cell r="X443">
            <v>0</v>
          </cell>
        </row>
        <row r="444">
          <cell r="I444">
            <v>1050</v>
          </cell>
          <cell r="N444">
            <v>750</v>
          </cell>
          <cell r="S444">
            <v>0</v>
          </cell>
          <cell r="X444">
            <v>0</v>
          </cell>
        </row>
        <row r="445">
          <cell r="I445">
            <v>450</v>
          </cell>
          <cell r="N445">
            <v>1050</v>
          </cell>
          <cell r="S445">
            <v>0</v>
          </cell>
          <cell r="X445">
            <v>300</v>
          </cell>
        </row>
        <row r="446">
          <cell r="I446">
            <v>288</v>
          </cell>
          <cell r="N446">
            <v>288</v>
          </cell>
          <cell r="S446">
            <v>288</v>
          </cell>
          <cell r="X446">
            <v>288</v>
          </cell>
        </row>
        <row r="447">
          <cell r="I447">
            <v>750</v>
          </cell>
          <cell r="N447">
            <v>750</v>
          </cell>
          <cell r="S447">
            <v>0</v>
          </cell>
          <cell r="X447">
            <v>0</v>
          </cell>
        </row>
        <row r="448">
          <cell r="I448">
            <v>225</v>
          </cell>
          <cell r="N448">
            <v>150</v>
          </cell>
          <cell r="S448">
            <v>300</v>
          </cell>
          <cell r="X448">
            <v>300</v>
          </cell>
        </row>
        <row r="449">
          <cell r="I449">
            <v>336</v>
          </cell>
          <cell r="N449">
            <v>336</v>
          </cell>
          <cell r="S449">
            <v>336</v>
          </cell>
          <cell r="X449">
            <v>336</v>
          </cell>
        </row>
        <row r="450">
          <cell r="I450">
            <v>400</v>
          </cell>
          <cell r="N450">
            <v>400</v>
          </cell>
          <cell r="S450">
            <v>0</v>
          </cell>
          <cell r="X450">
            <v>0</v>
          </cell>
        </row>
        <row r="451">
          <cell r="I451">
            <v>600</v>
          </cell>
          <cell r="N451">
            <v>560</v>
          </cell>
          <cell r="S451">
            <v>160</v>
          </cell>
          <cell r="X451">
            <v>160</v>
          </cell>
        </row>
        <row r="452">
          <cell r="I452">
            <v>2969.94</v>
          </cell>
          <cell r="N452">
            <v>1979.96</v>
          </cell>
          <cell r="S452">
            <v>1979.96</v>
          </cell>
          <cell r="X452">
            <v>1979.96</v>
          </cell>
        </row>
        <row r="453">
          <cell r="I453">
            <v>600</v>
          </cell>
          <cell r="N453">
            <v>360</v>
          </cell>
          <cell r="S453">
            <v>160</v>
          </cell>
          <cell r="X453">
            <v>0</v>
          </cell>
        </row>
        <row r="454">
          <cell r="I454">
            <v>5000</v>
          </cell>
          <cell r="N454">
            <v>2500</v>
          </cell>
          <cell r="S454">
            <v>6000</v>
          </cell>
          <cell r="X454">
            <v>0</v>
          </cell>
        </row>
        <row r="455">
          <cell r="I455">
            <v>982.3</v>
          </cell>
          <cell r="N455">
            <v>310.2</v>
          </cell>
          <cell r="S455">
            <v>827.19999999999993</v>
          </cell>
          <cell r="X455">
            <v>310.2</v>
          </cell>
        </row>
        <row r="456">
          <cell r="I456">
            <v>328.23529411764707</v>
          </cell>
          <cell r="N456">
            <v>291.76470588235293</v>
          </cell>
          <cell r="S456">
            <v>291.76470588235293</v>
          </cell>
          <cell r="X456">
            <v>328.23529411764707</v>
          </cell>
        </row>
        <row r="457">
          <cell r="I457">
            <v>150</v>
          </cell>
          <cell r="N457">
            <v>0</v>
          </cell>
          <cell r="S457">
            <v>0</v>
          </cell>
          <cell r="X457">
            <v>0</v>
          </cell>
        </row>
        <row r="458">
          <cell r="I458">
            <v>500</v>
          </cell>
          <cell r="N458">
            <v>0</v>
          </cell>
          <cell r="S458">
            <v>0</v>
          </cell>
          <cell r="X458">
            <v>0</v>
          </cell>
        </row>
        <row r="459">
          <cell r="I459">
            <v>390.61</v>
          </cell>
          <cell r="N459">
            <v>0</v>
          </cell>
          <cell r="S459">
            <v>0</v>
          </cell>
          <cell r="X459">
            <v>0</v>
          </cell>
        </row>
        <row r="460">
          <cell r="I460">
            <v>0</v>
          </cell>
          <cell r="N460">
            <v>340</v>
          </cell>
          <cell r="S460">
            <v>0</v>
          </cell>
          <cell r="X460">
            <v>0</v>
          </cell>
        </row>
        <row r="461">
          <cell r="I461">
            <v>780</v>
          </cell>
          <cell r="N461">
            <v>0</v>
          </cell>
          <cell r="S461">
            <v>780</v>
          </cell>
          <cell r="X461">
            <v>0</v>
          </cell>
        </row>
        <row r="462">
          <cell r="I462">
            <v>1340</v>
          </cell>
          <cell r="N462">
            <v>0</v>
          </cell>
          <cell r="S462">
            <v>1340</v>
          </cell>
          <cell r="X462">
            <v>0</v>
          </cell>
        </row>
        <row r="463">
          <cell r="I463">
            <v>3200</v>
          </cell>
          <cell r="N463">
            <v>0</v>
          </cell>
          <cell r="S463">
            <v>3200</v>
          </cell>
          <cell r="X463">
            <v>0</v>
          </cell>
        </row>
        <row r="464">
          <cell r="I464">
            <v>0</v>
          </cell>
          <cell r="N464">
            <v>19800</v>
          </cell>
          <cell r="S464">
            <v>89100</v>
          </cell>
          <cell r="X464">
            <v>0</v>
          </cell>
        </row>
        <row r="465">
          <cell r="I465">
            <v>15000</v>
          </cell>
          <cell r="N465">
            <v>0</v>
          </cell>
          <cell r="S465">
            <v>15000</v>
          </cell>
          <cell r="X465">
            <v>0</v>
          </cell>
        </row>
        <row r="466">
          <cell r="I466">
            <v>3750</v>
          </cell>
          <cell r="N466">
            <v>3750</v>
          </cell>
          <cell r="S466">
            <v>0</v>
          </cell>
          <cell r="X466">
            <v>0</v>
          </cell>
        </row>
        <row r="467">
          <cell r="I467">
            <v>1900</v>
          </cell>
          <cell r="N467">
            <v>0</v>
          </cell>
          <cell r="S467">
            <v>0</v>
          </cell>
          <cell r="X467">
            <v>0</v>
          </cell>
        </row>
        <row r="468">
          <cell r="I468">
            <v>9600</v>
          </cell>
          <cell r="N468">
            <v>0</v>
          </cell>
          <cell r="S468">
            <v>0</v>
          </cell>
          <cell r="X468">
            <v>0</v>
          </cell>
        </row>
        <row r="469">
          <cell r="I469">
            <v>1500</v>
          </cell>
          <cell r="N469">
            <v>1350</v>
          </cell>
          <cell r="S469">
            <v>0</v>
          </cell>
          <cell r="X469">
            <v>0</v>
          </cell>
        </row>
        <row r="470">
          <cell r="I470">
            <v>8700</v>
          </cell>
          <cell r="N470">
            <v>7200</v>
          </cell>
          <cell r="S470">
            <v>8700</v>
          </cell>
          <cell r="X470">
            <v>7200</v>
          </cell>
        </row>
        <row r="471">
          <cell r="I471">
            <v>87.43</v>
          </cell>
          <cell r="N471">
            <v>87.43</v>
          </cell>
          <cell r="S471">
            <v>87.43</v>
          </cell>
          <cell r="X471">
            <v>87.43</v>
          </cell>
        </row>
        <row r="472">
          <cell r="I472">
            <v>180</v>
          </cell>
          <cell r="N472">
            <v>0</v>
          </cell>
          <cell r="S472">
            <v>0</v>
          </cell>
          <cell r="X472">
            <v>0</v>
          </cell>
        </row>
        <row r="473">
          <cell r="I473">
            <v>89.95</v>
          </cell>
          <cell r="N473">
            <v>89.95</v>
          </cell>
          <cell r="S473">
            <v>89.95</v>
          </cell>
          <cell r="X473">
            <v>89.95</v>
          </cell>
        </row>
        <row r="474">
          <cell r="I474">
            <v>2194.08</v>
          </cell>
          <cell r="N474">
            <v>2194.08</v>
          </cell>
          <cell r="S474">
            <v>2194.08</v>
          </cell>
          <cell r="X474">
            <v>2194.08</v>
          </cell>
        </row>
        <row r="475">
          <cell r="I475">
            <v>450</v>
          </cell>
          <cell r="N475">
            <v>450</v>
          </cell>
          <cell r="S475">
            <v>450</v>
          </cell>
          <cell r="X475">
            <v>450</v>
          </cell>
        </row>
        <row r="476">
          <cell r="I476">
            <v>32.15</v>
          </cell>
          <cell r="N476">
            <v>32.15</v>
          </cell>
          <cell r="S476">
            <v>32.15</v>
          </cell>
          <cell r="X476">
            <v>32.15</v>
          </cell>
        </row>
        <row r="477">
          <cell r="I477">
            <v>30</v>
          </cell>
          <cell r="N477">
            <v>60</v>
          </cell>
          <cell r="S477">
            <v>0</v>
          </cell>
          <cell r="X477">
            <v>15</v>
          </cell>
        </row>
        <row r="478">
          <cell r="I478">
            <v>98.22</v>
          </cell>
          <cell r="N478">
            <v>0</v>
          </cell>
          <cell r="S478">
            <v>98.22</v>
          </cell>
          <cell r="X478">
            <v>0</v>
          </cell>
        </row>
        <row r="479">
          <cell r="I479">
            <v>780</v>
          </cell>
          <cell r="N479">
            <v>0</v>
          </cell>
          <cell r="S479">
            <v>0</v>
          </cell>
          <cell r="X479">
            <v>0</v>
          </cell>
        </row>
        <row r="480">
          <cell r="I480">
            <v>1020</v>
          </cell>
          <cell r="N480">
            <v>0</v>
          </cell>
          <cell r="S480">
            <v>0</v>
          </cell>
          <cell r="X480">
            <v>0</v>
          </cell>
        </row>
        <row r="481">
          <cell r="I481">
            <v>2100</v>
          </cell>
          <cell r="N481">
            <v>2100</v>
          </cell>
          <cell r="S481">
            <v>2100</v>
          </cell>
          <cell r="X481">
            <v>2100</v>
          </cell>
        </row>
        <row r="482">
          <cell r="I482">
            <v>912</v>
          </cell>
          <cell r="N482">
            <v>912</v>
          </cell>
          <cell r="S482">
            <v>912</v>
          </cell>
          <cell r="X482">
            <v>912</v>
          </cell>
        </row>
        <row r="483">
          <cell r="I483">
            <v>1050</v>
          </cell>
          <cell r="N483">
            <v>1050</v>
          </cell>
          <cell r="S483">
            <v>1050</v>
          </cell>
          <cell r="X483">
            <v>1050</v>
          </cell>
        </row>
        <row r="484">
          <cell r="I484">
            <v>720</v>
          </cell>
          <cell r="N484">
            <v>720</v>
          </cell>
          <cell r="S484">
            <v>720</v>
          </cell>
          <cell r="X484">
            <v>720</v>
          </cell>
        </row>
        <row r="485">
          <cell r="I485">
            <v>780</v>
          </cell>
          <cell r="N485">
            <v>312</v>
          </cell>
          <cell r="S485">
            <v>312</v>
          </cell>
          <cell r="X485">
            <v>312</v>
          </cell>
        </row>
        <row r="486">
          <cell r="I486">
            <v>2100</v>
          </cell>
          <cell r="N486">
            <v>550</v>
          </cell>
          <cell r="S486">
            <v>600</v>
          </cell>
          <cell r="X486">
            <v>500</v>
          </cell>
        </row>
        <row r="487">
          <cell r="I487">
            <v>624</v>
          </cell>
          <cell r="N487">
            <v>0</v>
          </cell>
          <cell r="S487">
            <v>0</v>
          </cell>
          <cell r="X487">
            <v>0</v>
          </cell>
        </row>
        <row r="488">
          <cell r="I488">
            <v>25</v>
          </cell>
          <cell r="N488">
            <v>25</v>
          </cell>
          <cell r="S488">
            <v>25</v>
          </cell>
          <cell r="X488">
            <v>25</v>
          </cell>
        </row>
        <row r="489">
          <cell r="I489">
            <v>16.66</v>
          </cell>
          <cell r="N489">
            <v>16.66</v>
          </cell>
          <cell r="S489">
            <v>16.66</v>
          </cell>
          <cell r="X489">
            <v>16.66</v>
          </cell>
        </row>
        <row r="490">
          <cell r="I490">
            <v>900</v>
          </cell>
          <cell r="N490">
            <v>300</v>
          </cell>
          <cell r="S490">
            <v>0</v>
          </cell>
          <cell r="X490">
            <v>0</v>
          </cell>
        </row>
        <row r="491">
          <cell r="I491">
            <v>1125</v>
          </cell>
          <cell r="N491">
            <v>375</v>
          </cell>
          <cell r="S491">
            <v>0</v>
          </cell>
          <cell r="X491">
            <v>0</v>
          </cell>
        </row>
        <row r="492">
          <cell r="I492">
            <v>300</v>
          </cell>
          <cell r="N492">
            <v>0</v>
          </cell>
          <cell r="S492">
            <v>0</v>
          </cell>
          <cell r="X492">
            <v>0</v>
          </cell>
        </row>
        <row r="493">
          <cell r="I493">
            <v>0</v>
          </cell>
          <cell r="N493">
            <v>500</v>
          </cell>
          <cell r="S493">
            <v>0</v>
          </cell>
          <cell r="X493">
            <v>0</v>
          </cell>
        </row>
        <row r="494">
          <cell r="I494">
            <v>2820</v>
          </cell>
          <cell r="N494">
            <v>0</v>
          </cell>
          <cell r="S494">
            <v>0</v>
          </cell>
          <cell r="X494">
            <v>0</v>
          </cell>
        </row>
        <row r="495">
          <cell r="I495">
            <v>0</v>
          </cell>
          <cell r="N495">
            <v>0</v>
          </cell>
          <cell r="S495">
            <v>0</v>
          </cell>
          <cell r="X495">
            <v>0</v>
          </cell>
        </row>
        <row r="496">
          <cell r="I496">
            <v>0</v>
          </cell>
          <cell r="N496">
            <v>0</v>
          </cell>
          <cell r="S496">
            <v>0</v>
          </cell>
          <cell r="X496">
            <v>0</v>
          </cell>
        </row>
        <row r="497">
          <cell r="I497">
            <v>0</v>
          </cell>
          <cell r="N497">
            <v>0</v>
          </cell>
          <cell r="S497">
            <v>0</v>
          </cell>
          <cell r="X497">
            <v>0</v>
          </cell>
        </row>
        <row r="498">
          <cell r="I498">
            <v>280</v>
          </cell>
          <cell r="N498">
            <v>280</v>
          </cell>
          <cell r="S498">
            <v>280</v>
          </cell>
          <cell r="X498">
            <v>280</v>
          </cell>
        </row>
        <row r="499">
          <cell r="I499">
            <v>1440</v>
          </cell>
          <cell r="N499">
            <v>1440</v>
          </cell>
          <cell r="S499">
            <v>1440</v>
          </cell>
          <cell r="X499">
            <v>1440</v>
          </cell>
        </row>
        <row r="500">
          <cell r="I500">
            <v>576</v>
          </cell>
          <cell r="N500">
            <v>576</v>
          </cell>
          <cell r="S500">
            <v>576</v>
          </cell>
          <cell r="X500">
            <v>576</v>
          </cell>
        </row>
        <row r="501">
          <cell r="I501">
            <v>1632</v>
          </cell>
          <cell r="N501">
            <v>1632</v>
          </cell>
          <cell r="S501">
            <v>1632</v>
          </cell>
          <cell r="X501">
            <v>1632</v>
          </cell>
        </row>
        <row r="502">
          <cell r="I502">
            <v>150</v>
          </cell>
          <cell r="N502">
            <v>150</v>
          </cell>
          <cell r="S502">
            <v>150</v>
          </cell>
          <cell r="X502">
            <v>150</v>
          </cell>
        </row>
        <row r="503">
          <cell r="I503">
            <v>1020</v>
          </cell>
          <cell r="N503">
            <v>1020</v>
          </cell>
          <cell r="S503">
            <v>1020</v>
          </cell>
          <cell r="X503">
            <v>1020</v>
          </cell>
        </row>
        <row r="504">
          <cell r="I504">
            <v>1020</v>
          </cell>
          <cell r="N504">
            <v>1020</v>
          </cell>
          <cell r="S504">
            <v>1020</v>
          </cell>
          <cell r="X504">
            <v>510</v>
          </cell>
        </row>
        <row r="505">
          <cell r="I505">
            <v>485</v>
          </cell>
          <cell r="N505">
            <v>485</v>
          </cell>
          <cell r="S505">
            <v>485</v>
          </cell>
          <cell r="X505">
            <v>485</v>
          </cell>
        </row>
        <row r="506">
          <cell r="I506">
            <v>2040</v>
          </cell>
          <cell r="N506">
            <v>2040</v>
          </cell>
          <cell r="S506">
            <v>2040</v>
          </cell>
          <cell r="X506">
            <v>2040</v>
          </cell>
        </row>
        <row r="507">
          <cell r="I507">
            <v>2040</v>
          </cell>
          <cell r="N507">
            <v>2040</v>
          </cell>
          <cell r="S507">
            <v>2040</v>
          </cell>
          <cell r="X507">
            <v>2040</v>
          </cell>
        </row>
        <row r="508">
          <cell r="I508">
            <v>2040</v>
          </cell>
          <cell r="N508">
            <v>2040</v>
          </cell>
          <cell r="S508">
            <v>2040</v>
          </cell>
          <cell r="X508">
            <v>2040</v>
          </cell>
        </row>
        <row r="509">
          <cell r="I509">
            <v>2040</v>
          </cell>
          <cell r="N509">
            <v>2040</v>
          </cell>
          <cell r="S509">
            <v>2040</v>
          </cell>
          <cell r="X509">
            <v>2040</v>
          </cell>
        </row>
        <row r="510">
          <cell r="I510">
            <v>0</v>
          </cell>
          <cell r="N510">
            <v>45000</v>
          </cell>
          <cell r="S510">
            <v>0</v>
          </cell>
          <cell r="X510">
            <v>0</v>
          </cell>
        </row>
        <row r="511">
          <cell r="I511">
            <v>8500</v>
          </cell>
          <cell r="N511">
            <v>0</v>
          </cell>
          <cell r="S511">
            <v>0</v>
          </cell>
          <cell r="X511">
            <v>0</v>
          </cell>
        </row>
        <row r="512">
          <cell r="I512">
            <v>8500</v>
          </cell>
          <cell r="N512">
            <v>0</v>
          </cell>
          <cell r="S512">
            <v>0</v>
          </cell>
          <cell r="X512">
            <v>0</v>
          </cell>
        </row>
        <row r="513">
          <cell r="I513">
            <v>8500</v>
          </cell>
          <cell r="N513">
            <v>0</v>
          </cell>
          <cell r="S513">
            <v>0</v>
          </cell>
          <cell r="X513">
            <v>0</v>
          </cell>
        </row>
        <row r="514">
          <cell r="I514">
            <v>2600</v>
          </cell>
          <cell r="N514">
            <v>0</v>
          </cell>
          <cell r="S514">
            <v>0</v>
          </cell>
          <cell r="X514">
            <v>0</v>
          </cell>
        </row>
        <row r="515">
          <cell r="I515">
            <v>0</v>
          </cell>
          <cell r="N515">
            <v>6600</v>
          </cell>
          <cell r="S515">
            <v>0</v>
          </cell>
          <cell r="X515">
            <v>0</v>
          </cell>
        </row>
        <row r="516">
          <cell r="I516">
            <v>0</v>
          </cell>
          <cell r="N516">
            <v>10000</v>
          </cell>
          <cell r="S516">
            <v>0</v>
          </cell>
          <cell r="X516">
            <v>0</v>
          </cell>
        </row>
        <row r="517">
          <cell r="I517">
            <v>1680</v>
          </cell>
          <cell r="N517">
            <v>0</v>
          </cell>
          <cell r="S517">
            <v>840</v>
          </cell>
          <cell r="X517">
            <v>840</v>
          </cell>
        </row>
        <row r="518">
          <cell r="I518">
            <v>4075</v>
          </cell>
          <cell r="N518">
            <v>0</v>
          </cell>
          <cell r="S518">
            <v>0</v>
          </cell>
          <cell r="X518">
            <v>0</v>
          </cell>
        </row>
        <row r="519">
          <cell r="I519">
            <v>0</v>
          </cell>
          <cell r="N519">
            <v>1000</v>
          </cell>
          <cell r="S519">
            <v>0</v>
          </cell>
          <cell r="X519">
            <v>0</v>
          </cell>
        </row>
        <row r="520">
          <cell r="I520">
            <v>0</v>
          </cell>
          <cell r="N520">
            <v>5000</v>
          </cell>
          <cell r="S520">
            <v>0</v>
          </cell>
          <cell r="X520">
            <v>0</v>
          </cell>
        </row>
        <row r="521">
          <cell r="I521">
            <v>300000</v>
          </cell>
          <cell r="N521">
            <v>0</v>
          </cell>
          <cell r="S521">
            <v>0</v>
          </cell>
          <cell r="X521">
            <v>0</v>
          </cell>
        </row>
        <row r="522">
          <cell r="I522">
            <v>1800</v>
          </cell>
          <cell r="N522">
            <v>0</v>
          </cell>
          <cell r="S522">
            <v>0</v>
          </cell>
          <cell r="X522">
            <v>0</v>
          </cell>
        </row>
        <row r="523">
          <cell r="I523">
            <v>2750</v>
          </cell>
          <cell r="N523">
            <v>1000</v>
          </cell>
          <cell r="S523">
            <v>1375</v>
          </cell>
          <cell r="X523">
            <v>625</v>
          </cell>
        </row>
        <row r="524">
          <cell r="I524">
            <v>840</v>
          </cell>
          <cell r="N524">
            <v>0</v>
          </cell>
          <cell r="S524">
            <v>840</v>
          </cell>
          <cell r="X524">
            <v>0</v>
          </cell>
        </row>
        <row r="525">
          <cell r="I525">
            <v>1050</v>
          </cell>
          <cell r="N525">
            <v>0</v>
          </cell>
          <cell r="S525">
            <v>1050</v>
          </cell>
          <cell r="X525">
            <v>0</v>
          </cell>
        </row>
        <row r="526">
          <cell r="I526">
            <v>2000</v>
          </cell>
          <cell r="N526">
            <v>0</v>
          </cell>
          <cell r="S526">
            <v>0</v>
          </cell>
          <cell r="X526">
            <v>0</v>
          </cell>
        </row>
        <row r="527">
          <cell r="I527">
            <v>1140</v>
          </cell>
          <cell r="N527">
            <v>1140</v>
          </cell>
          <cell r="S527">
            <v>1140</v>
          </cell>
          <cell r="X527">
            <v>380</v>
          </cell>
        </row>
        <row r="528">
          <cell r="I528">
            <v>500</v>
          </cell>
          <cell r="N528">
            <v>0</v>
          </cell>
          <cell r="S528">
            <v>0</v>
          </cell>
          <cell r="X528">
            <v>0</v>
          </cell>
        </row>
        <row r="529">
          <cell r="I529">
            <v>2300</v>
          </cell>
          <cell r="N529">
            <v>0</v>
          </cell>
          <cell r="S529">
            <v>0</v>
          </cell>
          <cell r="X529">
            <v>0</v>
          </cell>
        </row>
        <row r="530">
          <cell r="I530">
            <v>0</v>
          </cell>
          <cell r="N530">
            <v>0</v>
          </cell>
          <cell r="S530">
            <v>3400</v>
          </cell>
          <cell r="X530">
            <v>0</v>
          </cell>
        </row>
        <row r="531">
          <cell r="I531">
            <v>2400</v>
          </cell>
          <cell r="N531">
            <v>0</v>
          </cell>
          <cell r="S531">
            <v>0</v>
          </cell>
          <cell r="X531">
            <v>0</v>
          </cell>
        </row>
        <row r="532">
          <cell r="I532">
            <v>5000</v>
          </cell>
          <cell r="N532">
            <v>0</v>
          </cell>
          <cell r="S532">
            <v>5000</v>
          </cell>
          <cell r="X532">
            <v>0</v>
          </cell>
        </row>
        <row r="533">
          <cell r="I533">
            <v>3500</v>
          </cell>
          <cell r="N533">
            <v>0</v>
          </cell>
          <cell r="S533">
            <v>38500</v>
          </cell>
          <cell r="X533">
            <v>0</v>
          </cell>
        </row>
        <row r="534">
          <cell r="I534">
            <v>0</v>
          </cell>
          <cell r="N534">
            <v>0</v>
          </cell>
          <cell r="S534">
            <v>32500</v>
          </cell>
          <cell r="X534">
            <v>0</v>
          </cell>
        </row>
        <row r="535">
          <cell r="I535">
            <v>0</v>
          </cell>
          <cell r="N535">
            <v>4500</v>
          </cell>
          <cell r="S535">
            <v>0</v>
          </cell>
          <cell r="X535">
            <v>0</v>
          </cell>
        </row>
        <row r="536">
          <cell r="I536">
            <v>450</v>
          </cell>
          <cell r="N536">
            <v>225</v>
          </cell>
          <cell r="S536">
            <v>150</v>
          </cell>
          <cell r="X536">
            <v>0</v>
          </cell>
        </row>
        <row r="537">
          <cell r="I537">
            <v>300</v>
          </cell>
          <cell r="N537">
            <v>0</v>
          </cell>
          <cell r="S537">
            <v>0</v>
          </cell>
          <cell r="X537">
            <v>0</v>
          </cell>
        </row>
        <row r="538">
          <cell r="I538">
            <v>336</v>
          </cell>
          <cell r="N538">
            <v>336</v>
          </cell>
          <cell r="S538">
            <v>336</v>
          </cell>
          <cell r="X538">
            <v>336</v>
          </cell>
        </row>
        <row r="539">
          <cell r="I539">
            <v>300</v>
          </cell>
          <cell r="N539">
            <v>225</v>
          </cell>
          <cell r="S539">
            <v>150</v>
          </cell>
          <cell r="X539">
            <v>0</v>
          </cell>
        </row>
        <row r="540">
          <cell r="I540">
            <v>1500</v>
          </cell>
          <cell r="N540">
            <v>0</v>
          </cell>
          <cell r="S540">
            <v>0</v>
          </cell>
          <cell r="X540">
            <v>0</v>
          </cell>
        </row>
        <row r="541">
          <cell r="I541">
            <v>384</v>
          </cell>
          <cell r="N541">
            <v>384</v>
          </cell>
          <cell r="S541">
            <v>384</v>
          </cell>
          <cell r="X541">
            <v>384</v>
          </cell>
        </row>
        <row r="542">
          <cell r="I542">
            <v>1800</v>
          </cell>
          <cell r="N542">
            <v>1215</v>
          </cell>
          <cell r="S542">
            <v>990</v>
          </cell>
          <cell r="X542">
            <v>540</v>
          </cell>
        </row>
        <row r="543">
          <cell r="I543">
            <v>211.33</v>
          </cell>
          <cell r="N543">
            <v>0</v>
          </cell>
          <cell r="S543">
            <v>0</v>
          </cell>
          <cell r="X543">
            <v>0</v>
          </cell>
        </row>
        <row r="544">
          <cell r="I544">
            <v>450</v>
          </cell>
          <cell r="N544">
            <v>675</v>
          </cell>
          <cell r="S544">
            <v>0</v>
          </cell>
          <cell r="X544">
            <v>0</v>
          </cell>
        </row>
        <row r="545">
          <cell r="I545">
            <v>0</v>
          </cell>
          <cell r="N545">
            <v>729</v>
          </cell>
          <cell r="S545">
            <v>0</v>
          </cell>
          <cell r="X545">
            <v>0</v>
          </cell>
        </row>
        <row r="546">
          <cell r="I546">
            <v>197.04000000000002</v>
          </cell>
          <cell r="N546">
            <v>98.52000000000001</v>
          </cell>
          <cell r="S546">
            <v>197.04000000000002</v>
          </cell>
          <cell r="X546">
            <v>98.52000000000001</v>
          </cell>
        </row>
        <row r="547">
          <cell r="I547">
            <v>72</v>
          </cell>
          <cell r="N547">
            <v>0</v>
          </cell>
          <cell r="S547">
            <v>0</v>
          </cell>
          <cell r="X547">
            <v>0</v>
          </cell>
        </row>
        <row r="548">
          <cell r="I548">
            <v>16.420000000000002</v>
          </cell>
          <cell r="N548">
            <v>0</v>
          </cell>
          <cell r="S548">
            <v>0</v>
          </cell>
          <cell r="X548">
            <v>0</v>
          </cell>
        </row>
        <row r="549">
          <cell r="I549">
            <v>60</v>
          </cell>
          <cell r="N549">
            <v>0</v>
          </cell>
          <cell r="S549">
            <v>0</v>
          </cell>
          <cell r="X549">
            <v>0</v>
          </cell>
        </row>
        <row r="550">
          <cell r="I550">
            <v>7293</v>
          </cell>
          <cell r="N550">
            <v>4290</v>
          </cell>
          <cell r="S550">
            <v>1287</v>
          </cell>
          <cell r="X550">
            <v>1716</v>
          </cell>
        </row>
        <row r="551">
          <cell r="I551">
            <v>240</v>
          </cell>
          <cell r="N551">
            <v>0</v>
          </cell>
          <cell r="S551">
            <v>600</v>
          </cell>
          <cell r="X551">
            <v>0</v>
          </cell>
        </row>
        <row r="552">
          <cell r="I552">
            <v>4560</v>
          </cell>
          <cell r="N552">
            <v>0</v>
          </cell>
          <cell r="S552">
            <v>4560</v>
          </cell>
          <cell r="X552">
            <v>0</v>
          </cell>
        </row>
        <row r="553">
          <cell r="I553">
            <v>174</v>
          </cell>
          <cell r="N553">
            <v>0</v>
          </cell>
          <cell r="S553">
            <v>0</v>
          </cell>
          <cell r="X553">
            <v>0</v>
          </cell>
        </row>
        <row r="554">
          <cell r="I554">
            <v>6000</v>
          </cell>
          <cell r="N554">
            <v>0</v>
          </cell>
          <cell r="S554">
            <v>0</v>
          </cell>
          <cell r="X554">
            <v>0</v>
          </cell>
        </row>
        <row r="555">
          <cell r="I555">
            <v>2200</v>
          </cell>
          <cell r="N555">
            <v>0</v>
          </cell>
          <cell r="S555">
            <v>0</v>
          </cell>
          <cell r="X555">
            <v>0</v>
          </cell>
        </row>
        <row r="556">
          <cell r="I556">
            <v>6500</v>
          </cell>
          <cell r="N556">
            <v>0</v>
          </cell>
          <cell r="S556">
            <v>0</v>
          </cell>
          <cell r="X556">
            <v>0</v>
          </cell>
        </row>
        <row r="557">
          <cell r="I557">
            <v>0</v>
          </cell>
          <cell r="N557">
            <v>0</v>
          </cell>
          <cell r="S557">
            <v>0</v>
          </cell>
          <cell r="X557">
            <v>0</v>
          </cell>
        </row>
        <row r="558">
          <cell r="I558">
            <v>0</v>
          </cell>
          <cell r="N558">
            <v>0</v>
          </cell>
          <cell r="S558">
            <v>0</v>
          </cell>
          <cell r="X558">
            <v>0</v>
          </cell>
        </row>
        <row r="559">
          <cell r="I559">
            <v>0</v>
          </cell>
          <cell r="N559">
            <v>0</v>
          </cell>
          <cell r="S559">
            <v>0</v>
          </cell>
          <cell r="X559">
            <v>0</v>
          </cell>
        </row>
        <row r="560">
          <cell r="I560">
            <v>0</v>
          </cell>
          <cell r="N560">
            <v>0</v>
          </cell>
          <cell r="S560">
            <v>0</v>
          </cell>
          <cell r="X560">
            <v>0</v>
          </cell>
        </row>
        <row r="561">
          <cell r="I561">
            <v>0</v>
          </cell>
          <cell r="N561">
            <v>0</v>
          </cell>
          <cell r="S561">
            <v>0</v>
          </cell>
          <cell r="X561">
            <v>0</v>
          </cell>
        </row>
        <row r="562">
          <cell r="I562">
            <v>500</v>
          </cell>
          <cell r="N562">
            <v>0</v>
          </cell>
          <cell r="S562">
            <v>0</v>
          </cell>
          <cell r="X562">
            <v>0</v>
          </cell>
        </row>
        <row r="563">
          <cell r="I563">
            <v>500</v>
          </cell>
          <cell r="N563">
            <v>0</v>
          </cell>
          <cell r="S563">
            <v>0</v>
          </cell>
          <cell r="X563">
            <v>0</v>
          </cell>
        </row>
        <row r="564">
          <cell r="I564">
            <v>1600</v>
          </cell>
          <cell r="N564">
            <v>400</v>
          </cell>
          <cell r="S564">
            <v>0</v>
          </cell>
          <cell r="X564">
            <v>0</v>
          </cell>
        </row>
        <row r="565">
          <cell r="I565">
            <v>1350</v>
          </cell>
          <cell r="N565">
            <v>450</v>
          </cell>
          <cell r="S565">
            <v>450</v>
          </cell>
          <cell r="X565">
            <v>1200</v>
          </cell>
        </row>
        <row r="566">
          <cell r="I566">
            <v>360</v>
          </cell>
          <cell r="N566">
            <v>720</v>
          </cell>
          <cell r="S566">
            <v>540</v>
          </cell>
          <cell r="X566">
            <v>540</v>
          </cell>
        </row>
        <row r="567">
          <cell r="I567">
            <v>2530</v>
          </cell>
          <cell r="N567">
            <v>2645</v>
          </cell>
          <cell r="S567">
            <v>805</v>
          </cell>
          <cell r="X567">
            <v>2070</v>
          </cell>
        </row>
        <row r="568">
          <cell r="I568">
            <v>320</v>
          </cell>
          <cell r="N568">
            <v>640</v>
          </cell>
          <cell r="S568">
            <v>480</v>
          </cell>
          <cell r="X568">
            <v>480</v>
          </cell>
        </row>
        <row r="569">
          <cell r="I569">
            <v>1200</v>
          </cell>
          <cell r="N569">
            <v>400</v>
          </cell>
          <cell r="S569">
            <v>800</v>
          </cell>
          <cell r="X569">
            <v>0</v>
          </cell>
        </row>
        <row r="570">
          <cell r="I570">
            <v>17000</v>
          </cell>
          <cell r="N570">
            <v>0</v>
          </cell>
          <cell r="S570">
            <v>0</v>
          </cell>
          <cell r="X570">
            <v>0</v>
          </cell>
        </row>
        <row r="571">
          <cell r="I571">
            <v>700</v>
          </cell>
          <cell r="N571">
            <v>0</v>
          </cell>
          <cell r="S571">
            <v>0</v>
          </cell>
          <cell r="X571">
            <v>0</v>
          </cell>
        </row>
        <row r="572">
          <cell r="I572">
            <v>7500</v>
          </cell>
          <cell r="N572">
            <v>6000</v>
          </cell>
          <cell r="S572">
            <v>0</v>
          </cell>
          <cell r="X572">
            <v>0</v>
          </cell>
        </row>
        <row r="573">
          <cell r="I573">
            <v>3000</v>
          </cell>
          <cell r="N573">
            <v>0</v>
          </cell>
          <cell r="S573">
            <v>0</v>
          </cell>
          <cell r="X573">
            <v>0</v>
          </cell>
        </row>
        <row r="574">
          <cell r="I574">
            <v>0</v>
          </cell>
          <cell r="N574">
            <v>7500</v>
          </cell>
          <cell r="S574">
            <v>0</v>
          </cell>
          <cell r="X574">
            <v>3000</v>
          </cell>
        </row>
        <row r="575">
          <cell r="I575">
            <v>3000</v>
          </cell>
          <cell r="N575">
            <v>3000</v>
          </cell>
          <cell r="S575">
            <v>3000</v>
          </cell>
          <cell r="X575">
            <v>3000</v>
          </cell>
        </row>
        <row r="576">
          <cell r="I576">
            <v>3000</v>
          </cell>
          <cell r="N576">
            <v>3000</v>
          </cell>
          <cell r="S576">
            <v>3000</v>
          </cell>
          <cell r="X576">
            <v>3000</v>
          </cell>
        </row>
        <row r="577">
          <cell r="I577">
            <v>3000</v>
          </cell>
          <cell r="N577">
            <v>3000</v>
          </cell>
          <cell r="S577">
            <v>3000</v>
          </cell>
          <cell r="X577">
            <v>3000</v>
          </cell>
        </row>
        <row r="578">
          <cell r="I578">
            <v>3000</v>
          </cell>
          <cell r="N578">
            <v>3000</v>
          </cell>
          <cell r="S578">
            <v>3000</v>
          </cell>
          <cell r="X578">
            <v>3000</v>
          </cell>
        </row>
        <row r="579">
          <cell r="I579">
            <v>3000</v>
          </cell>
          <cell r="N579">
            <v>3000</v>
          </cell>
          <cell r="S579">
            <v>3000</v>
          </cell>
          <cell r="X579">
            <v>3000</v>
          </cell>
        </row>
        <row r="580">
          <cell r="I580">
            <v>3000</v>
          </cell>
          <cell r="N580">
            <v>3000</v>
          </cell>
          <cell r="S580">
            <v>3000</v>
          </cell>
          <cell r="X580">
            <v>3000</v>
          </cell>
        </row>
        <row r="581">
          <cell r="I581">
            <v>3000</v>
          </cell>
          <cell r="N581">
            <v>3000</v>
          </cell>
          <cell r="S581">
            <v>3000</v>
          </cell>
          <cell r="X581">
            <v>3000</v>
          </cell>
        </row>
        <row r="582">
          <cell r="I582">
            <v>3000</v>
          </cell>
          <cell r="N582">
            <v>3000</v>
          </cell>
          <cell r="S582">
            <v>3000</v>
          </cell>
          <cell r="X582">
            <v>3000</v>
          </cell>
        </row>
        <row r="583">
          <cell r="I583">
            <v>3000</v>
          </cell>
          <cell r="N583">
            <v>3000</v>
          </cell>
          <cell r="S583">
            <v>3000</v>
          </cell>
          <cell r="X583">
            <v>3000</v>
          </cell>
        </row>
        <row r="584">
          <cell r="I584">
            <v>3000</v>
          </cell>
          <cell r="N584">
            <v>3000</v>
          </cell>
          <cell r="S584">
            <v>3000</v>
          </cell>
          <cell r="X584">
            <v>3000</v>
          </cell>
        </row>
        <row r="585">
          <cell r="I585">
            <v>3000</v>
          </cell>
          <cell r="N585">
            <v>3000</v>
          </cell>
          <cell r="S585">
            <v>3000</v>
          </cell>
          <cell r="X585">
            <v>3000</v>
          </cell>
        </row>
        <row r="586">
          <cell r="I586">
            <v>3000</v>
          </cell>
          <cell r="N586">
            <v>3000</v>
          </cell>
          <cell r="S586">
            <v>3000</v>
          </cell>
          <cell r="X586">
            <v>3000</v>
          </cell>
        </row>
        <row r="587">
          <cell r="I587">
            <v>3000</v>
          </cell>
          <cell r="N587">
            <v>3000</v>
          </cell>
          <cell r="S587">
            <v>3000</v>
          </cell>
          <cell r="X587">
            <v>3000</v>
          </cell>
        </row>
        <row r="588">
          <cell r="I588">
            <v>3000</v>
          </cell>
          <cell r="N588">
            <v>3000</v>
          </cell>
          <cell r="S588">
            <v>3000</v>
          </cell>
          <cell r="X588">
            <v>3000</v>
          </cell>
        </row>
        <row r="589">
          <cell r="I589">
            <v>3000</v>
          </cell>
          <cell r="N589">
            <v>3000</v>
          </cell>
          <cell r="S589">
            <v>3000</v>
          </cell>
          <cell r="X589">
            <v>3000</v>
          </cell>
        </row>
        <row r="590">
          <cell r="I590">
            <v>144.63</v>
          </cell>
          <cell r="N590">
            <v>144.63</v>
          </cell>
          <cell r="S590">
            <v>144.63</v>
          </cell>
          <cell r="X590">
            <v>144.63</v>
          </cell>
        </row>
        <row r="591">
          <cell r="I591">
            <v>100</v>
          </cell>
          <cell r="N591">
            <v>0</v>
          </cell>
          <cell r="S591">
            <v>100</v>
          </cell>
          <cell r="X591">
            <v>0</v>
          </cell>
        </row>
        <row r="592">
          <cell r="I592">
            <v>180</v>
          </cell>
          <cell r="N592">
            <v>15</v>
          </cell>
          <cell r="S592">
            <v>15</v>
          </cell>
          <cell r="X592">
            <v>0</v>
          </cell>
        </row>
        <row r="593">
          <cell r="I593">
            <v>66</v>
          </cell>
          <cell r="N593">
            <v>66</v>
          </cell>
          <cell r="S593">
            <v>66</v>
          </cell>
          <cell r="X593">
            <v>66</v>
          </cell>
        </row>
        <row r="594">
          <cell r="I594">
            <v>66</v>
          </cell>
          <cell r="N594">
            <v>66</v>
          </cell>
          <cell r="S594">
            <v>66</v>
          </cell>
          <cell r="X594">
            <v>66</v>
          </cell>
        </row>
        <row r="595">
          <cell r="I595">
            <v>66</v>
          </cell>
          <cell r="N595">
            <v>66</v>
          </cell>
          <cell r="S595">
            <v>66</v>
          </cell>
          <cell r="X595">
            <v>66</v>
          </cell>
        </row>
        <row r="596">
          <cell r="I596">
            <v>66</v>
          </cell>
          <cell r="N596">
            <v>66</v>
          </cell>
          <cell r="S596">
            <v>66</v>
          </cell>
          <cell r="X596">
            <v>66</v>
          </cell>
        </row>
        <row r="597">
          <cell r="I597">
            <v>360</v>
          </cell>
          <cell r="N597">
            <v>0</v>
          </cell>
          <cell r="S597">
            <v>0</v>
          </cell>
          <cell r="X597">
            <v>0</v>
          </cell>
        </row>
        <row r="598">
          <cell r="I598">
            <v>1000</v>
          </cell>
          <cell r="N598">
            <v>500</v>
          </cell>
          <cell r="S598">
            <v>0</v>
          </cell>
          <cell r="X598">
            <v>0</v>
          </cell>
        </row>
        <row r="599">
          <cell r="I599">
            <v>1200</v>
          </cell>
          <cell r="N599">
            <v>600</v>
          </cell>
          <cell r="S599">
            <v>0</v>
          </cell>
          <cell r="X599">
            <v>0</v>
          </cell>
        </row>
        <row r="600">
          <cell r="I600">
            <v>360</v>
          </cell>
          <cell r="N600">
            <v>360</v>
          </cell>
          <cell r="S600">
            <v>0</v>
          </cell>
          <cell r="X600">
            <v>0</v>
          </cell>
        </row>
        <row r="601">
          <cell r="I601">
            <v>1800</v>
          </cell>
          <cell r="N601">
            <v>0</v>
          </cell>
          <cell r="S601">
            <v>0</v>
          </cell>
          <cell r="X601">
            <v>0</v>
          </cell>
        </row>
        <row r="602">
          <cell r="I602">
            <v>1800</v>
          </cell>
          <cell r="N602">
            <v>0</v>
          </cell>
          <cell r="S602">
            <v>0</v>
          </cell>
          <cell r="X602">
            <v>0</v>
          </cell>
        </row>
        <row r="603">
          <cell r="I603">
            <v>180</v>
          </cell>
          <cell r="N603">
            <v>180</v>
          </cell>
          <cell r="S603">
            <v>0</v>
          </cell>
          <cell r="X603">
            <v>0</v>
          </cell>
        </row>
        <row r="604">
          <cell r="I604">
            <v>360</v>
          </cell>
          <cell r="N604">
            <v>180</v>
          </cell>
          <cell r="S604">
            <v>360</v>
          </cell>
          <cell r="X604">
            <v>180</v>
          </cell>
        </row>
        <row r="605">
          <cell r="I605">
            <v>198</v>
          </cell>
          <cell r="N605">
            <v>198</v>
          </cell>
          <cell r="S605">
            <v>198</v>
          </cell>
          <cell r="X605">
            <v>0</v>
          </cell>
        </row>
        <row r="606">
          <cell r="I606">
            <v>124.8</v>
          </cell>
          <cell r="N606">
            <v>62.4</v>
          </cell>
          <cell r="S606">
            <v>124.8</v>
          </cell>
          <cell r="X606">
            <v>124.8</v>
          </cell>
        </row>
        <row r="607">
          <cell r="I607">
            <v>300</v>
          </cell>
          <cell r="N607">
            <v>300</v>
          </cell>
          <cell r="S607">
            <v>300</v>
          </cell>
          <cell r="X607">
            <v>0</v>
          </cell>
        </row>
        <row r="608">
          <cell r="I608">
            <v>200</v>
          </cell>
          <cell r="N608">
            <v>200</v>
          </cell>
          <cell r="S608">
            <v>0</v>
          </cell>
          <cell r="X608">
            <v>200</v>
          </cell>
        </row>
        <row r="609">
          <cell r="I609">
            <v>8100</v>
          </cell>
          <cell r="N609">
            <v>0</v>
          </cell>
          <cell r="S609">
            <v>0</v>
          </cell>
          <cell r="X609">
            <v>0</v>
          </cell>
        </row>
        <row r="610">
          <cell r="I610">
            <v>22090.32</v>
          </cell>
          <cell r="N610">
            <v>0</v>
          </cell>
          <cell r="S610">
            <v>22090.32</v>
          </cell>
          <cell r="X610">
            <v>0</v>
          </cell>
        </row>
        <row r="611">
          <cell r="I611">
            <v>582</v>
          </cell>
          <cell r="N611">
            <v>0</v>
          </cell>
          <cell r="S611">
            <v>582</v>
          </cell>
          <cell r="X611">
            <v>0</v>
          </cell>
        </row>
        <row r="612">
          <cell r="I612">
            <v>77260</v>
          </cell>
          <cell r="N612">
            <v>0</v>
          </cell>
          <cell r="S612">
            <v>0</v>
          </cell>
          <cell r="X612">
            <v>0</v>
          </cell>
        </row>
        <row r="613">
          <cell r="I613">
            <v>10000</v>
          </cell>
          <cell r="N613">
            <v>5000</v>
          </cell>
          <cell r="S613">
            <v>10000</v>
          </cell>
          <cell r="X613">
            <v>0</v>
          </cell>
        </row>
        <row r="614">
          <cell r="I614">
            <v>15000</v>
          </cell>
          <cell r="N614">
            <v>7500</v>
          </cell>
          <cell r="S614">
            <v>15000</v>
          </cell>
          <cell r="X614">
            <v>7500</v>
          </cell>
        </row>
        <row r="615">
          <cell r="I615">
            <v>3600</v>
          </cell>
          <cell r="N615">
            <v>0</v>
          </cell>
          <cell r="S615">
            <v>0</v>
          </cell>
          <cell r="X615">
            <v>0</v>
          </cell>
        </row>
        <row r="616">
          <cell r="I616">
            <v>4800</v>
          </cell>
          <cell r="N616">
            <v>1600</v>
          </cell>
          <cell r="S616">
            <v>0</v>
          </cell>
          <cell r="X616">
            <v>0</v>
          </cell>
        </row>
        <row r="617">
          <cell r="I617">
            <v>840</v>
          </cell>
          <cell r="N617">
            <v>560</v>
          </cell>
          <cell r="S617">
            <v>840</v>
          </cell>
          <cell r="X617">
            <v>0</v>
          </cell>
        </row>
        <row r="618">
          <cell r="I618">
            <v>780</v>
          </cell>
          <cell r="N618">
            <v>520</v>
          </cell>
          <cell r="S618">
            <v>780</v>
          </cell>
          <cell r="X618">
            <v>0</v>
          </cell>
        </row>
        <row r="619">
          <cell r="I619">
            <v>500</v>
          </cell>
          <cell r="N619">
            <v>0</v>
          </cell>
          <cell r="S619">
            <v>250</v>
          </cell>
          <cell r="X619">
            <v>0</v>
          </cell>
        </row>
        <row r="620">
          <cell r="I620">
            <v>500</v>
          </cell>
          <cell r="N620">
            <v>0</v>
          </cell>
          <cell r="S620">
            <v>250</v>
          </cell>
          <cell r="X620">
            <v>0</v>
          </cell>
        </row>
        <row r="621">
          <cell r="I621">
            <v>700</v>
          </cell>
          <cell r="N621">
            <v>0</v>
          </cell>
          <cell r="S621">
            <v>0</v>
          </cell>
          <cell r="X621">
            <v>0</v>
          </cell>
        </row>
        <row r="622">
          <cell r="I622">
            <v>0</v>
          </cell>
          <cell r="N622">
            <v>0</v>
          </cell>
          <cell r="S622">
            <v>2654.09</v>
          </cell>
          <cell r="X622">
            <v>0</v>
          </cell>
        </row>
        <row r="623">
          <cell r="I623">
            <v>480</v>
          </cell>
          <cell r="N623">
            <v>480</v>
          </cell>
          <cell r="S623">
            <v>0</v>
          </cell>
          <cell r="X623">
            <v>0</v>
          </cell>
        </row>
        <row r="624">
          <cell r="I624">
            <v>6300</v>
          </cell>
          <cell r="N624">
            <v>3150</v>
          </cell>
          <cell r="S624">
            <v>3150</v>
          </cell>
          <cell r="X624">
            <v>0</v>
          </cell>
        </row>
        <row r="625">
          <cell r="I625">
            <v>2000</v>
          </cell>
          <cell r="N625">
            <v>0</v>
          </cell>
          <cell r="S625">
            <v>0</v>
          </cell>
          <cell r="X625">
            <v>0</v>
          </cell>
        </row>
        <row r="626">
          <cell r="I626">
            <v>2500</v>
          </cell>
          <cell r="N626">
            <v>0</v>
          </cell>
          <cell r="S626">
            <v>0</v>
          </cell>
          <cell r="X626">
            <v>0</v>
          </cell>
        </row>
        <row r="627">
          <cell r="I627">
            <v>270</v>
          </cell>
          <cell r="N627">
            <v>0</v>
          </cell>
          <cell r="S627">
            <v>0</v>
          </cell>
          <cell r="X627">
            <v>0</v>
          </cell>
        </row>
        <row r="628">
          <cell r="I628">
            <v>0</v>
          </cell>
          <cell r="N628">
            <v>450</v>
          </cell>
          <cell r="S628">
            <v>0</v>
          </cell>
          <cell r="X628">
            <v>0</v>
          </cell>
        </row>
        <row r="629">
          <cell r="I629">
            <v>2400</v>
          </cell>
          <cell r="N629">
            <v>0</v>
          </cell>
          <cell r="S629">
            <v>0</v>
          </cell>
          <cell r="X629">
            <v>0</v>
          </cell>
        </row>
        <row r="630">
          <cell r="I630">
            <v>3000</v>
          </cell>
          <cell r="N630">
            <v>0</v>
          </cell>
          <cell r="S630">
            <v>0</v>
          </cell>
          <cell r="X630">
            <v>0</v>
          </cell>
        </row>
        <row r="631">
          <cell r="I631">
            <v>7000</v>
          </cell>
          <cell r="N631">
            <v>3500</v>
          </cell>
          <cell r="S631">
            <v>0</v>
          </cell>
          <cell r="X631">
            <v>0</v>
          </cell>
        </row>
        <row r="632">
          <cell r="I632">
            <v>0</v>
          </cell>
          <cell r="N632">
            <v>1625</v>
          </cell>
          <cell r="S632">
            <v>0</v>
          </cell>
          <cell r="X632">
            <v>0</v>
          </cell>
        </row>
        <row r="633">
          <cell r="I633">
            <v>3600</v>
          </cell>
          <cell r="N633">
            <v>3600</v>
          </cell>
          <cell r="S633">
            <v>0</v>
          </cell>
          <cell r="X633">
            <v>0</v>
          </cell>
        </row>
        <row r="634">
          <cell r="I634">
            <v>3000</v>
          </cell>
          <cell r="N634">
            <v>1500</v>
          </cell>
          <cell r="S634">
            <v>0</v>
          </cell>
          <cell r="X634">
            <v>0</v>
          </cell>
        </row>
        <row r="635">
          <cell r="I635">
            <v>510</v>
          </cell>
          <cell r="N635">
            <v>510</v>
          </cell>
          <cell r="S635">
            <v>510</v>
          </cell>
          <cell r="X635">
            <v>510</v>
          </cell>
        </row>
        <row r="636">
          <cell r="I636">
            <v>390</v>
          </cell>
          <cell r="N636">
            <v>390</v>
          </cell>
          <cell r="S636">
            <v>390</v>
          </cell>
          <cell r="X636">
            <v>390</v>
          </cell>
        </row>
        <row r="637">
          <cell r="I637">
            <v>1100</v>
          </cell>
          <cell r="N637">
            <v>0</v>
          </cell>
          <cell r="S637">
            <v>0</v>
          </cell>
          <cell r="X637">
            <v>0</v>
          </cell>
        </row>
        <row r="638">
          <cell r="I638">
            <v>75.5</v>
          </cell>
          <cell r="N638">
            <v>566.25</v>
          </cell>
          <cell r="S638">
            <v>0</v>
          </cell>
          <cell r="X638">
            <v>0</v>
          </cell>
        </row>
        <row r="639">
          <cell r="I639">
            <v>360</v>
          </cell>
          <cell r="N639">
            <v>360</v>
          </cell>
          <cell r="S639">
            <v>3960</v>
          </cell>
          <cell r="X639">
            <v>2400</v>
          </cell>
        </row>
        <row r="640">
          <cell r="I640">
            <v>720</v>
          </cell>
          <cell r="N640">
            <v>720</v>
          </cell>
          <cell r="S640">
            <v>0</v>
          </cell>
          <cell r="X640">
            <v>0</v>
          </cell>
        </row>
        <row r="641">
          <cell r="I641">
            <v>1100</v>
          </cell>
          <cell r="N641">
            <v>0</v>
          </cell>
          <cell r="S641">
            <v>0</v>
          </cell>
          <cell r="X641">
            <v>0</v>
          </cell>
        </row>
        <row r="642">
          <cell r="I642">
            <v>400</v>
          </cell>
          <cell r="N642">
            <v>400</v>
          </cell>
          <cell r="S642">
            <v>400</v>
          </cell>
          <cell r="X642">
            <v>0</v>
          </cell>
        </row>
        <row r="643">
          <cell r="I643">
            <v>500</v>
          </cell>
          <cell r="N643">
            <v>500</v>
          </cell>
          <cell r="S643">
            <v>500</v>
          </cell>
          <cell r="X643">
            <v>0</v>
          </cell>
        </row>
        <row r="644">
          <cell r="I644">
            <v>800</v>
          </cell>
          <cell r="N644">
            <v>0</v>
          </cell>
          <cell r="S644">
            <v>0</v>
          </cell>
          <cell r="X644">
            <v>0</v>
          </cell>
        </row>
        <row r="645">
          <cell r="I645">
            <v>99</v>
          </cell>
          <cell r="N645">
            <v>1980</v>
          </cell>
          <cell r="S645">
            <v>759</v>
          </cell>
          <cell r="X645">
            <v>0</v>
          </cell>
        </row>
        <row r="646">
          <cell r="I646">
            <v>3250</v>
          </cell>
          <cell r="N646">
            <v>0</v>
          </cell>
          <cell r="S646">
            <v>3250</v>
          </cell>
          <cell r="X646">
            <v>0</v>
          </cell>
        </row>
        <row r="647">
          <cell r="I647">
            <v>2400</v>
          </cell>
          <cell r="N647">
            <v>0</v>
          </cell>
          <cell r="S647">
            <v>0</v>
          </cell>
          <cell r="X647">
            <v>0</v>
          </cell>
        </row>
        <row r="648">
          <cell r="I648">
            <v>500</v>
          </cell>
          <cell r="N648">
            <v>0</v>
          </cell>
          <cell r="S648">
            <v>0</v>
          </cell>
          <cell r="X648">
            <v>0</v>
          </cell>
        </row>
        <row r="649">
          <cell r="I649">
            <v>1950</v>
          </cell>
          <cell r="N649">
            <v>0</v>
          </cell>
          <cell r="S649">
            <v>0</v>
          </cell>
          <cell r="X649">
            <v>1560</v>
          </cell>
        </row>
        <row r="650">
          <cell r="I650">
            <v>2940</v>
          </cell>
          <cell r="N650">
            <v>1470</v>
          </cell>
          <cell r="S650">
            <v>2940</v>
          </cell>
          <cell r="X650">
            <v>1470</v>
          </cell>
        </row>
        <row r="651">
          <cell r="I651">
            <v>1590</v>
          </cell>
          <cell r="N651">
            <v>1590</v>
          </cell>
          <cell r="S651">
            <v>1590</v>
          </cell>
          <cell r="X651">
            <v>1590</v>
          </cell>
        </row>
        <row r="652">
          <cell r="I652">
            <v>490</v>
          </cell>
          <cell r="N652">
            <v>175</v>
          </cell>
          <cell r="S652">
            <v>490</v>
          </cell>
          <cell r="X652">
            <v>175</v>
          </cell>
        </row>
        <row r="653">
          <cell r="I653">
            <v>150</v>
          </cell>
          <cell r="N653">
            <v>275</v>
          </cell>
          <cell r="S653">
            <v>0</v>
          </cell>
          <cell r="X653">
            <v>0</v>
          </cell>
        </row>
        <row r="654">
          <cell r="I654">
            <v>140</v>
          </cell>
          <cell r="N654">
            <v>70</v>
          </cell>
          <cell r="S654">
            <v>0</v>
          </cell>
          <cell r="X654">
            <v>0</v>
          </cell>
        </row>
        <row r="655">
          <cell r="I655">
            <v>195</v>
          </cell>
          <cell r="N655">
            <v>195</v>
          </cell>
          <cell r="S655">
            <v>195</v>
          </cell>
          <cell r="X655">
            <v>195</v>
          </cell>
        </row>
        <row r="656">
          <cell r="I656">
            <v>4800</v>
          </cell>
          <cell r="N656">
            <v>4800</v>
          </cell>
          <cell r="S656">
            <v>4800</v>
          </cell>
          <cell r="X656">
            <v>0</v>
          </cell>
        </row>
        <row r="657">
          <cell r="I657">
            <v>4800</v>
          </cell>
          <cell r="N657">
            <v>3600</v>
          </cell>
          <cell r="S657">
            <v>0</v>
          </cell>
          <cell r="X657">
            <v>0</v>
          </cell>
        </row>
        <row r="658">
          <cell r="I658">
            <v>270</v>
          </cell>
          <cell r="N658">
            <v>270</v>
          </cell>
          <cell r="S658">
            <v>270</v>
          </cell>
          <cell r="X658">
            <v>270</v>
          </cell>
        </row>
        <row r="659">
          <cell r="I659">
            <v>12500</v>
          </cell>
          <cell r="N659">
            <v>0</v>
          </cell>
          <cell r="S659">
            <v>0</v>
          </cell>
          <cell r="X659">
            <v>0</v>
          </cell>
        </row>
        <row r="660">
          <cell r="I660">
            <v>780</v>
          </cell>
          <cell r="N660">
            <v>1170</v>
          </cell>
          <cell r="S660">
            <v>0</v>
          </cell>
          <cell r="X660">
            <v>0</v>
          </cell>
        </row>
        <row r="661">
          <cell r="I661">
            <v>660</v>
          </cell>
          <cell r="N661">
            <v>990</v>
          </cell>
          <cell r="S661">
            <v>0</v>
          </cell>
          <cell r="X661">
            <v>0</v>
          </cell>
        </row>
        <row r="662">
          <cell r="I662">
            <v>780</v>
          </cell>
          <cell r="N662">
            <v>780</v>
          </cell>
          <cell r="S662">
            <v>780</v>
          </cell>
          <cell r="X662">
            <v>780</v>
          </cell>
        </row>
        <row r="663">
          <cell r="I663">
            <v>780</v>
          </cell>
          <cell r="N663">
            <v>780</v>
          </cell>
          <cell r="S663">
            <v>780</v>
          </cell>
          <cell r="X663">
            <v>780</v>
          </cell>
        </row>
        <row r="664">
          <cell r="I664">
            <v>780</v>
          </cell>
          <cell r="N664">
            <v>780</v>
          </cell>
          <cell r="S664">
            <v>780</v>
          </cell>
          <cell r="X664">
            <v>780</v>
          </cell>
        </row>
        <row r="665">
          <cell r="I665">
            <v>780</v>
          </cell>
          <cell r="N665">
            <v>780</v>
          </cell>
          <cell r="S665">
            <v>780</v>
          </cell>
          <cell r="X665">
            <v>780</v>
          </cell>
        </row>
        <row r="666">
          <cell r="I666">
            <v>780</v>
          </cell>
          <cell r="N666">
            <v>780</v>
          </cell>
          <cell r="S666">
            <v>780</v>
          </cell>
          <cell r="X666">
            <v>780</v>
          </cell>
        </row>
        <row r="667">
          <cell r="I667">
            <v>0</v>
          </cell>
          <cell r="N667">
            <v>3600</v>
          </cell>
          <cell r="S667">
            <v>0</v>
          </cell>
          <cell r="X667">
            <v>0</v>
          </cell>
        </row>
        <row r="668">
          <cell r="I668">
            <v>0</v>
          </cell>
          <cell r="N668">
            <v>3200</v>
          </cell>
          <cell r="S668">
            <v>0</v>
          </cell>
          <cell r="X668">
            <v>0</v>
          </cell>
        </row>
        <row r="669">
          <cell r="I669">
            <v>400</v>
          </cell>
          <cell r="N669">
            <v>0</v>
          </cell>
          <cell r="S669">
            <v>0</v>
          </cell>
          <cell r="X669">
            <v>0</v>
          </cell>
        </row>
        <row r="670">
          <cell r="I670">
            <v>10080</v>
          </cell>
          <cell r="N670">
            <v>0</v>
          </cell>
          <cell r="S670">
            <v>0</v>
          </cell>
          <cell r="X670">
            <v>0</v>
          </cell>
        </row>
        <row r="671">
          <cell r="I671">
            <v>4200</v>
          </cell>
          <cell r="N671">
            <v>0</v>
          </cell>
          <cell r="S671">
            <v>0</v>
          </cell>
          <cell r="X671">
            <v>0</v>
          </cell>
        </row>
        <row r="672">
          <cell r="I672">
            <v>0</v>
          </cell>
          <cell r="N672">
            <v>0</v>
          </cell>
          <cell r="S672">
            <v>0</v>
          </cell>
          <cell r="X672">
            <v>0</v>
          </cell>
        </row>
        <row r="673">
          <cell r="I673">
            <v>0</v>
          </cell>
          <cell r="N673">
            <v>0</v>
          </cell>
          <cell r="S673">
            <v>0</v>
          </cell>
          <cell r="X673">
            <v>0</v>
          </cell>
        </row>
        <row r="674">
          <cell r="I674">
            <v>0</v>
          </cell>
          <cell r="N674">
            <v>0</v>
          </cell>
          <cell r="S674">
            <v>0</v>
          </cell>
          <cell r="X674">
            <v>0</v>
          </cell>
        </row>
        <row r="675">
          <cell r="I675">
            <v>25000</v>
          </cell>
          <cell r="N675">
            <v>0</v>
          </cell>
          <cell r="S675">
            <v>0</v>
          </cell>
          <cell r="X675">
            <v>0</v>
          </cell>
        </row>
        <row r="676">
          <cell r="I676">
            <v>352</v>
          </cell>
          <cell r="N676">
            <v>352</v>
          </cell>
          <cell r="S676">
            <v>352</v>
          </cell>
          <cell r="X676">
            <v>352</v>
          </cell>
        </row>
        <row r="677">
          <cell r="I677">
            <v>800</v>
          </cell>
          <cell r="N677">
            <v>0</v>
          </cell>
          <cell r="S677">
            <v>0</v>
          </cell>
          <cell r="X677">
            <v>0</v>
          </cell>
        </row>
        <row r="678">
          <cell r="I678">
            <v>0</v>
          </cell>
          <cell r="N678">
            <v>0</v>
          </cell>
          <cell r="S678">
            <v>0</v>
          </cell>
          <cell r="X678">
            <v>0</v>
          </cell>
        </row>
        <row r="679">
          <cell r="I679">
            <v>0</v>
          </cell>
          <cell r="N679">
            <v>0</v>
          </cell>
          <cell r="S679">
            <v>0</v>
          </cell>
          <cell r="X679">
            <v>0</v>
          </cell>
        </row>
        <row r="680">
          <cell r="I680">
            <v>0</v>
          </cell>
          <cell r="N680">
            <v>0</v>
          </cell>
          <cell r="S680">
            <v>0</v>
          </cell>
          <cell r="X680">
            <v>0</v>
          </cell>
        </row>
        <row r="681">
          <cell r="I681">
            <v>0</v>
          </cell>
          <cell r="N681">
            <v>0</v>
          </cell>
          <cell r="S681">
            <v>0</v>
          </cell>
          <cell r="X681">
            <v>0</v>
          </cell>
        </row>
        <row r="682">
          <cell r="I682">
            <v>0</v>
          </cell>
          <cell r="N682">
            <v>1008.65</v>
          </cell>
          <cell r="S682">
            <v>0</v>
          </cell>
          <cell r="X682">
            <v>0</v>
          </cell>
        </row>
        <row r="683">
          <cell r="I683">
            <v>288</v>
          </cell>
          <cell r="N683">
            <v>0</v>
          </cell>
          <cell r="S683">
            <v>0</v>
          </cell>
          <cell r="X683">
            <v>0</v>
          </cell>
        </row>
        <row r="684">
          <cell r="I684">
            <v>3500</v>
          </cell>
          <cell r="N684">
            <v>0</v>
          </cell>
          <cell r="S684">
            <v>0</v>
          </cell>
          <cell r="X684">
            <v>0</v>
          </cell>
        </row>
        <row r="685">
          <cell r="I685">
            <v>3800</v>
          </cell>
          <cell r="N685">
            <v>0</v>
          </cell>
          <cell r="S685">
            <v>0</v>
          </cell>
          <cell r="X685">
            <v>0</v>
          </cell>
        </row>
        <row r="686">
          <cell r="I686">
            <v>4500</v>
          </cell>
          <cell r="N686">
            <v>0</v>
          </cell>
          <cell r="S686">
            <v>0</v>
          </cell>
          <cell r="X686">
            <v>0</v>
          </cell>
        </row>
        <row r="687">
          <cell r="I687">
            <v>5500</v>
          </cell>
          <cell r="N687">
            <v>0</v>
          </cell>
          <cell r="S687">
            <v>0</v>
          </cell>
          <cell r="X687">
            <v>0</v>
          </cell>
        </row>
        <row r="688">
          <cell r="I688">
            <v>80000</v>
          </cell>
          <cell r="N688">
            <v>0</v>
          </cell>
          <cell r="S688">
            <v>0</v>
          </cell>
          <cell r="X688">
            <v>0</v>
          </cell>
        </row>
        <row r="689">
          <cell r="I689">
            <v>125000</v>
          </cell>
          <cell r="N689">
            <v>0</v>
          </cell>
          <cell r="S689">
            <v>0</v>
          </cell>
          <cell r="X689">
            <v>0</v>
          </cell>
        </row>
        <row r="690">
          <cell r="I690">
            <v>100000</v>
          </cell>
          <cell r="N690">
            <v>0</v>
          </cell>
          <cell r="S690">
            <v>0</v>
          </cell>
          <cell r="X690">
            <v>0</v>
          </cell>
        </row>
        <row r="691">
          <cell r="I691">
            <v>130</v>
          </cell>
          <cell r="N691">
            <v>0</v>
          </cell>
          <cell r="S691">
            <v>0</v>
          </cell>
          <cell r="X691">
            <v>0</v>
          </cell>
        </row>
        <row r="692">
          <cell r="I692">
            <v>5760</v>
          </cell>
          <cell r="N692">
            <v>5760</v>
          </cell>
          <cell r="S692">
            <v>0</v>
          </cell>
          <cell r="X692">
            <v>0</v>
          </cell>
        </row>
        <row r="693">
          <cell r="I693">
            <v>12000</v>
          </cell>
          <cell r="N693">
            <v>0</v>
          </cell>
          <cell r="S693">
            <v>0</v>
          </cell>
          <cell r="X693">
            <v>0</v>
          </cell>
        </row>
        <row r="694">
          <cell r="I694">
            <v>12000</v>
          </cell>
          <cell r="N694">
            <v>0</v>
          </cell>
          <cell r="S694">
            <v>0</v>
          </cell>
          <cell r="X694">
            <v>0</v>
          </cell>
        </row>
        <row r="695">
          <cell r="I695">
            <v>43500</v>
          </cell>
          <cell r="N695">
            <v>0</v>
          </cell>
          <cell r="S695">
            <v>0</v>
          </cell>
          <cell r="X695">
            <v>0</v>
          </cell>
        </row>
        <row r="696">
          <cell r="I696">
            <v>45600</v>
          </cell>
          <cell r="N696">
            <v>0</v>
          </cell>
          <cell r="S696">
            <v>0</v>
          </cell>
          <cell r="X696">
            <v>0</v>
          </cell>
        </row>
        <row r="697">
          <cell r="I697">
            <v>2000</v>
          </cell>
          <cell r="N697">
            <v>0</v>
          </cell>
          <cell r="S697">
            <v>0</v>
          </cell>
          <cell r="X697">
            <v>0</v>
          </cell>
        </row>
        <row r="698">
          <cell r="I698">
            <v>700</v>
          </cell>
          <cell r="N698">
            <v>0</v>
          </cell>
          <cell r="S698">
            <v>0</v>
          </cell>
          <cell r="X698">
            <v>0</v>
          </cell>
        </row>
        <row r="699">
          <cell r="I699">
            <v>850</v>
          </cell>
          <cell r="N699">
            <v>0</v>
          </cell>
          <cell r="S699">
            <v>0</v>
          </cell>
          <cell r="X699">
            <v>0</v>
          </cell>
        </row>
        <row r="700">
          <cell r="I700">
            <v>7500</v>
          </cell>
          <cell r="N700">
            <v>0</v>
          </cell>
          <cell r="S700">
            <v>0</v>
          </cell>
          <cell r="X700">
            <v>0</v>
          </cell>
        </row>
        <row r="701">
          <cell r="I701">
            <v>5000</v>
          </cell>
          <cell r="N701">
            <v>0</v>
          </cell>
          <cell r="S701">
            <v>0</v>
          </cell>
          <cell r="X701">
            <v>0</v>
          </cell>
        </row>
        <row r="702">
          <cell r="I702">
            <v>1200</v>
          </cell>
          <cell r="N702">
            <v>0</v>
          </cell>
          <cell r="S702">
            <v>0</v>
          </cell>
          <cell r="X702">
            <v>0</v>
          </cell>
        </row>
        <row r="703">
          <cell r="I703">
            <v>16500</v>
          </cell>
          <cell r="N703">
            <v>0</v>
          </cell>
          <cell r="S703">
            <v>0</v>
          </cell>
          <cell r="X703">
            <v>0</v>
          </cell>
        </row>
        <row r="704">
          <cell r="I704">
            <v>1000</v>
          </cell>
          <cell r="N704">
            <v>0</v>
          </cell>
          <cell r="S704">
            <v>0</v>
          </cell>
          <cell r="X704">
            <v>0</v>
          </cell>
        </row>
        <row r="705">
          <cell r="I705">
            <v>2000</v>
          </cell>
          <cell r="N705">
            <v>0</v>
          </cell>
          <cell r="S705">
            <v>0</v>
          </cell>
          <cell r="X705">
            <v>0</v>
          </cell>
        </row>
        <row r="706">
          <cell r="I706">
            <v>1500</v>
          </cell>
          <cell r="N706">
            <v>0</v>
          </cell>
          <cell r="S706">
            <v>0</v>
          </cell>
          <cell r="X706">
            <v>0</v>
          </cell>
        </row>
        <row r="707">
          <cell r="I707">
            <v>6500</v>
          </cell>
          <cell r="N707">
            <v>0</v>
          </cell>
          <cell r="S707">
            <v>0</v>
          </cell>
          <cell r="X707">
            <v>0</v>
          </cell>
        </row>
        <row r="708">
          <cell r="I708">
            <v>15000</v>
          </cell>
          <cell r="N708">
            <v>0</v>
          </cell>
          <cell r="S708">
            <v>0</v>
          </cell>
          <cell r="X708">
            <v>0</v>
          </cell>
        </row>
        <row r="709">
          <cell r="I709">
            <v>25000</v>
          </cell>
          <cell r="N709">
            <v>0</v>
          </cell>
          <cell r="S709">
            <v>0</v>
          </cell>
          <cell r="X709">
            <v>0</v>
          </cell>
        </row>
        <row r="710">
          <cell r="I710">
            <v>11000</v>
          </cell>
          <cell r="N710">
            <v>3000</v>
          </cell>
          <cell r="S710">
            <v>0</v>
          </cell>
          <cell r="X710">
            <v>0</v>
          </cell>
        </row>
        <row r="711">
          <cell r="I711">
            <v>56000</v>
          </cell>
          <cell r="N711">
            <v>0</v>
          </cell>
          <cell r="S711">
            <v>0</v>
          </cell>
          <cell r="X711">
            <v>0</v>
          </cell>
        </row>
        <row r="712">
          <cell r="I712">
            <v>10500</v>
          </cell>
          <cell r="N712">
            <v>0</v>
          </cell>
          <cell r="S712">
            <v>0</v>
          </cell>
          <cell r="X712">
            <v>0</v>
          </cell>
        </row>
        <row r="713">
          <cell r="I713">
            <v>1200</v>
          </cell>
          <cell r="N713">
            <v>0</v>
          </cell>
          <cell r="S713">
            <v>0</v>
          </cell>
          <cell r="X713">
            <v>0</v>
          </cell>
        </row>
        <row r="714">
          <cell r="I714">
            <v>1500</v>
          </cell>
          <cell r="N714">
            <v>0</v>
          </cell>
          <cell r="S714">
            <v>0</v>
          </cell>
          <cell r="X714">
            <v>0</v>
          </cell>
        </row>
        <row r="715">
          <cell r="I715">
            <v>12700</v>
          </cell>
          <cell r="N715">
            <v>0</v>
          </cell>
          <cell r="S715">
            <v>0</v>
          </cell>
          <cell r="X715">
            <v>0</v>
          </cell>
        </row>
        <row r="716">
          <cell r="I716">
            <v>36000</v>
          </cell>
          <cell r="N716">
            <v>0</v>
          </cell>
          <cell r="S716">
            <v>0</v>
          </cell>
          <cell r="X716">
            <v>0</v>
          </cell>
        </row>
        <row r="717">
          <cell r="I717">
            <v>37500</v>
          </cell>
          <cell r="N717">
            <v>0</v>
          </cell>
          <cell r="S717">
            <v>0</v>
          </cell>
          <cell r="X717">
            <v>0</v>
          </cell>
        </row>
        <row r="718">
          <cell r="I718">
            <v>10000</v>
          </cell>
          <cell r="N718">
            <v>0</v>
          </cell>
          <cell r="S718">
            <v>0</v>
          </cell>
          <cell r="X718">
            <v>0</v>
          </cell>
        </row>
        <row r="719">
          <cell r="I719">
            <v>1000</v>
          </cell>
          <cell r="N719">
            <v>0</v>
          </cell>
          <cell r="S719">
            <v>0</v>
          </cell>
          <cell r="X719">
            <v>0</v>
          </cell>
        </row>
        <row r="720">
          <cell r="I720">
            <v>1000</v>
          </cell>
          <cell r="N720">
            <v>0</v>
          </cell>
          <cell r="S720">
            <v>0</v>
          </cell>
          <cell r="X720">
            <v>0</v>
          </cell>
        </row>
        <row r="721">
          <cell r="I721">
            <v>7500</v>
          </cell>
          <cell r="N721">
            <v>0</v>
          </cell>
          <cell r="S721">
            <v>0</v>
          </cell>
          <cell r="X721">
            <v>0</v>
          </cell>
        </row>
        <row r="722">
          <cell r="I722">
            <v>2500</v>
          </cell>
          <cell r="N722">
            <v>0</v>
          </cell>
          <cell r="S722">
            <v>0</v>
          </cell>
          <cell r="X722">
            <v>0</v>
          </cell>
        </row>
        <row r="723">
          <cell r="I723">
            <v>6000</v>
          </cell>
          <cell r="N723">
            <v>0</v>
          </cell>
          <cell r="S723">
            <v>0</v>
          </cell>
          <cell r="X723">
            <v>0</v>
          </cell>
        </row>
        <row r="724">
          <cell r="I724">
            <v>11000</v>
          </cell>
          <cell r="N724">
            <v>0</v>
          </cell>
          <cell r="S724">
            <v>0</v>
          </cell>
          <cell r="X724">
            <v>0</v>
          </cell>
        </row>
        <row r="725">
          <cell r="I725">
            <v>0</v>
          </cell>
          <cell r="N725">
            <v>0</v>
          </cell>
          <cell r="S725">
            <v>0</v>
          </cell>
          <cell r="X725">
            <v>0</v>
          </cell>
        </row>
        <row r="726">
          <cell r="I726">
            <v>0</v>
          </cell>
          <cell r="N726">
            <v>0</v>
          </cell>
          <cell r="S726">
            <v>0</v>
          </cell>
          <cell r="X726">
            <v>0</v>
          </cell>
        </row>
        <row r="727">
          <cell r="I727">
            <v>0</v>
          </cell>
          <cell r="N727">
            <v>0</v>
          </cell>
          <cell r="S727">
            <v>0</v>
          </cell>
          <cell r="X727">
            <v>0</v>
          </cell>
        </row>
        <row r="728">
          <cell r="I728">
            <v>0</v>
          </cell>
          <cell r="N728">
            <v>0</v>
          </cell>
          <cell r="S728">
            <v>0</v>
          </cell>
          <cell r="X728">
            <v>0</v>
          </cell>
        </row>
        <row r="729">
          <cell r="I729">
            <v>12000</v>
          </cell>
          <cell r="N729">
            <v>0</v>
          </cell>
          <cell r="S729">
            <v>30000</v>
          </cell>
          <cell r="X729">
            <v>0</v>
          </cell>
        </row>
        <row r="730">
          <cell r="I730">
            <v>5000</v>
          </cell>
          <cell r="N730">
            <v>0</v>
          </cell>
          <cell r="S730">
            <v>0</v>
          </cell>
          <cell r="X730">
            <v>0</v>
          </cell>
        </row>
        <row r="731">
          <cell r="I731">
            <v>1000</v>
          </cell>
          <cell r="N731">
            <v>0</v>
          </cell>
          <cell r="S731">
            <v>0</v>
          </cell>
          <cell r="X731">
            <v>0</v>
          </cell>
        </row>
        <row r="732">
          <cell r="I732">
            <v>170000</v>
          </cell>
          <cell r="N732">
            <v>0</v>
          </cell>
          <cell r="S732">
            <v>0</v>
          </cell>
          <cell r="X732">
            <v>0</v>
          </cell>
        </row>
        <row r="733">
          <cell r="I733">
            <v>180000</v>
          </cell>
          <cell r="N733">
            <v>0</v>
          </cell>
          <cell r="S733">
            <v>0</v>
          </cell>
          <cell r="X733">
            <v>0</v>
          </cell>
        </row>
        <row r="734">
          <cell r="I734">
            <v>30000</v>
          </cell>
          <cell r="N734">
            <v>0</v>
          </cell>
          <cell r="S734">
            <v>0</v>
          </cell>
          <cell r="X734">
            <v>0</v>
          </cell>
        </row>
        <row r="735">
          <cell r="I735">
            <v>25000</v>
          </cell>
          <cell r="N735">
            <v>0</v>
          </cell>
          <cell r="S735">
            <v>0</v>
          </cell>
          <cell r="X735">
            <v>0</v>
          </cell>
        </row>
        <row r="736">
          <cell r="I736">
            <v>25000</v>
          </cell>
          <cell r="N736">
            <v>0</v>
          </cell>
          <cell r="S736">
            <v>0</v>
          </cell>
          <cell r="X736">
            <v>0</v>
          </cell>
        </row>
        <row r="737">
          <cell r="I737">
            <v>40000</v>
          </cell>
          <cell r="N737">
            <v>0</v>
          </cell>
          <cell r="S737">
            <v>0</v>
          </cell>
          <cell r="X737">
            <v>0</v>
          </cell>
        </row>
        <row r="738">
          <cell r="I738">
            <v>65000</v>
          </cell>
          <cell r="N738">
            <v>0</v>
          </cell>
          <cell r="S738">
            <v>0</v>
          </cell>
          <cell r="X738">
            <v>0</v>
          </cell>
        </row>
        <row r="739">
          <cell r="I739">
            <v>13000</v>
          </cell>
          <cell r="N739">
            <v>0</v>
          </cell>
          <cell r="S739">
            <v>0</v>
          </cell>
          <cell r="X739">
            <v>0</v>
          </cell>
        </row>
        <row r="740">
          <cell r="I740">
            <v>1000</v>
          </cell>
          <cell r="N740">
            <v>0</v>
          </cell>
          <cell r="S740">
            <v>0</v>
          </cell>
          <cell r="X740">
            <v>0</v>
          </cell>
        </row>
        <row r="741">
          <cell r="I741">
            <v>3000</v>
          </cell>
          <cell r="N741">
            <v>0</v>
          </cell>
          <cell r="S741">
            <v>0</v>
          </cell>
          <cell r="X741">
            <v>0</v>
          </cell>
        </row>
        <row r="742">
          <cell r="I742">
            <v>80000</v>
          </cell>
          <cell r="N742">
            <v>0</v>
          </cell>
          <cell r="S742">
            <v>0</v>
          </cell>
          <cell r="X742">
            <v>0</v>
          </cell>
        </row>
        <row r="743">
          <cell r="I743">
            <v>7200</v>
          </cell>
          <cell r="N743">
            <v>0</v>
          </cell>
          <cell r="S743">
            <v>0</v>
          </cell>
          <cell r="X743">
            <v>0</v>
          </cell>
        </row>
        <row r="744">
          <cell r="I744">
            <v>1400</v>
          </cell>
          <cell r="N744">
            <v>0</v>
          </cell>
          <cell r="S744">
            <v>0</v>
          </cell>
          <cell r="X744">
            <v>0</v>
          </cell>
        </row>
        <row r="745">
          <cell r="I745">
            <v>1500</v>
          </cell>
          <cell r="N745">
            <v>0</v>
          </cell>
          <cell r="S745">
            <v>0</v>
          </cell>
          <cell r="X745">
            <v>0</v>
          </cell>
        </row>
        <row r="746">
          <cell r="I746">
            <v>14000</v>
          </cell>
          <cell r="N746">
            <v>0</v>
          </cell>
          <cell r="S746">
            <v>0</v>
          </cell>
          <cell r="X746">
            <v>0</v>
          </cell>
        </row>
        <row r="747">
          <cell r="I747">
            <v>10000</v>
          </cell>
          <cell r="N747">
            <v>0</v>
          </cell>
          <cell r="S747">
            <v>0</v>
          </cell>
          <cell r="X747">
            <v>0</v>
          </cell>
        </row>
        <row r="748">
          <cell r="I748">
            <v>16800</v>
          </cell>
          <cell r="N748">
            <v>0</v>
          </cell>
          <cell r="S748">
            <v>0</v>
          </cell>
          <cell r="X748">
            <v>0</v>
          </cell>
        </row>
        <row r="749">
          <cell r="I749">
            <v>30000</v>
          </cell>
          <cell r="N749">
            <v>0</v>
          </cell>
          <cell r="S749">
            <v>0</v>
          </cell>
          <cell r="X749">
            <v>0</v>
          </cell>
        </row>
        <row r="750">
          <cell r="I750">
            <v>75000</v>
          </cell>
          <cell r="N750">
            <v>0</v>
          </cell>
          <cell r="S750">
            <v>0</v>
          </cell>
          <cell r="X750">
            <v>0</v>
          </cell>
        </row>
        <row r="751">
          <cell r="I751">
            <v>8571.4285714285706</v>
          </cell>
          <cell r="N751">
            <v>6428.5714285714275</v>
          </cell>
          <cell r="S751">
            <v>0</v>
          </cell>
          <cell r="X751">
            <v>0</v>
          </cell>
        </row>
        <row r="752">
          <cell r="I752">
            <v>5000</v>
          </cell>
          <cell r="N752">
            <v>0</v>
          </cell>
          <cell r="S752">
            <v>0</v>
          </cell>
          <cell r="X752">
            <v>0</v>
          </cell>
        </row>
        <row r="753">
          <cell r="I753">
            <v>60000</v>
          </cell>
          <cell r="N753">
            <v>0</v>
          </cell>
          <cell r="S753">
            <v>0</v>
          </cell>
          <cell r="X753">
            <v>0</v>
          </cell>
        </row>
        <row r="754">
          <cell r="I754">
            <v>0</v>
          </cell>
          <cell r="N754">
            <v>0</v>
          </cell>
          <cell r="S754">
            <v>0</v>
          </cell>
          <cell r="X754">
            <v>0</v>
          </cell>
        </row>
        <row r="755">
          <cell r="I755">
            <v>0</v>
          </cell>
          <cell r="N755">
            <v>0</v>
          </cell>
          <cell r="S755">
            <v>0</v>
          </cell>
          <cell r="X755">
            <v>0</v>
          </cell>
        </row>
        <row r="756">
          <cell r="I756">
            <v>0</v>
          </cell>
          <cell r="N756">
            <v>0</v>
          </cell>
          <cell r="S756">
            <v>0</v>
          </cell>
          <cell r="X756">
            <v>0</v>
          </cell>
        </row>
        <row r="757">
          <cell r="I757">
            <v>0</v>
          </cell>
          <cell r="N757">
            <v>0</v>
          </cell>
          <cell r="S757">
            <v>0</v>
          </cell>
          <cell r="X757">
            <v>0</v>
          </cell>
        </row>
        <row r="758">
          <cell r="I758">
            <v>0</v>
          </cell>
          <cell r="N758">
            <v>0</v>
          </cell>
          <cell r="S758">
            <v>0</v>
          </cell>
          <cell r="X758">
            <v>0</v>
          </cell>
        </row>
        <row r="759">
          <cell r="I759">
            <v>0</v>
          </cell>
          <cell r="N759">
            <v>0</v>
          </cell>
          <cell r="S759">
            <v>0</v>
          </cell>
          <cell r="X759">
            <v>0</v>
          </cell>
        </row>
        <row r="760">
          <cell r="I760">
            <v>0</v>
          </cell>
          <cell r="N760">
            <v>0</v>
          </cell>
          <cell r="S760">
            <v>0</v>
          </cell>
          <cell r="X760">
            <v>0</v>
          </cell>
        </row>
        <row r="761">
          <cell r="I761">
            <v>0</v>
          </cell>
          <cell r="N761">
            <v>0</v>
          </cell>
          <cell r="S761">
            <v>0</v>
          </cell>
          <cell r="X761">
            <v>0</v>
          </cell>
        </row>
        <row r="762">
          <cell r="I762">
            <v>0</v>
          </cell>
          <cell r="N762">
            <v>0</v>
          </cell>
          <cell r="S762">
            <v>0</v>
          </cell>
          <cell r="X762">
            <v>0</v>
          </cell>
        </row>
        <row r="763">
          <cell r="I763">
            <v>0</v>
          </cell>
          <cell r="N763">
            <v>0</v>
          </cell>
          <cell r="S763">
            <v>0</v>
          </cell>
          <cell r="X763">
            <v>0</v>
          </cell>
        </row>
        <row r="764">
          <cell r="I764">
            <v>0</v>
          </cell>
          <cell r="N764">
            <v>0</v>
          </cell>
          <cell r="S764">
            <v>0</v>
          </cell>
          <cell r="X764">
            <v>0</v>
          </cell>
        </row>
        <row r="765">
          <cell r="I765">
            <v>0</v>
          </cell>
          <cell r="N765">
            <v>0</v>
          </cell>
          <cell r="S765">
            <v>0</v>
          </cell>
          <cell r="X765">
            <v>0</v>
          </cell>
        </row>
        <row r="766">
          <cell r="I766">
            <v>0</v>
          </cell>
          <cell r="N766">
            <v>0</v>
          </cell>
          <cell r="S766">
            <v>0</v>
          </cell>
          <cell r="X766">
            <v>0</v>
          </cell>
        </row>
        <row r="767">
          <cell r="I767">
            <v>0</v>
          </cell>
          <cell r="N767">
            <v>0</v>
          </cell>
          <cell r="S767">
            <v>0</v>
          </cell>
          <cell r="X767">
            <v>0</v>
          </cell>
        </row>
        <row r="768">
          <cell r="I768">
            <v>0</v>
          </cell>
          <cell r="N768">
            <v>0</v>
          </cell>
          <cell r="S768">
            <v>0</v>
          </cell>
          <cell r="X768">
            <v>0</v>
          </cell>
        </row>
        <row r="769">
          <cell r="I769">
            <v>0</v>
          </cell>
          <cell r="N769">
            <v>0</v>
          </cell>
          <cell r="S769">
            <v>0</v>
          </cell>
          <cell r="X769">
            <v>0</v>
          </cell>
        </row>
        <row r="770">
          <cell r="I770">
            <v>0</v>
          </cell>
          <cell r="N770">
            <v>0</v>
          </cell>
          <cell r="S770">
            <v>0</v>
          </cell>
          <cell r="X770">
            <v>0</v>
          </cell>
        </row>
        <row r="771">
          <cell r="I771">
            <v>0</v>
          </cell>
          <cell r="N771">
            <v>0</v>
          </cell>
          <cell r="S771">
            <v>0</v>
          </cell>
          <cell r="X771">
            <v>0</v>
          </cell>
        </row>
        <row r="772">
          <cell r="I772">
            <v>0</v>
          </cell>
          <cell r="N772">
            <v>0</v>
          </cell>
          <cell r="S772">
            <v>0</v>
          </cell>
          <cell r="X772">
            <v>0</v>
          </cell>
        </row>
        <row r="773">
          <cell r="I773">
            <v>0</v>
          </cell>
          <cell r="N773">
            <v>0</v>
          </cell>
          <cell r="S773">
            <v>0</v>
          </cell>
          <cell r="X773">
            <v>0</v>
          </cell>
        </row>
        <row r="774">
          <cell r="I774">
            <v>0</v>
          </cell>
          <cell r="N774">
            <v>0</v>
          </cell>
          <cell r="S774">
            <v>0</v>
          </cell>
          <cell r="X774">
            <v>0</v>
          </cell>
        </row>
        <row r="775">
          <cell r="I775">
            <v>0</v>
          </cell>
          <cell r="N775">
            <v>0</v>
          </cell>
          <cell r="S775">
            <v>0</v>
          </cell>
          <cell r="X775">
            <v>0</v>
          </cell>
        </row>
        <row r="776">
          <cell r="I776">
            <v>0</v>
          </cell>
          <cell r="N776">
            <v>0</v>
          </cell>
          <cell r="S776">
            <v>0</v>
          </cell>
          <cell r="X776">
            <v>0</v>
          </cell>
        </row>
        <row r="777">
          <cell r="I777">
            <v>0</v>
          </cell>
          <cell r="N777">
            <v>0</v>
          </cell>
          <cell r="S777">
            <v>0</v>
          </cell>
          <cell r="X777">
            <v>0</v>
          </cell>
        </row>
        <row r="778">
          <cell r="I778">
            <v>0</v>
          </cell>
          <cell r="N778">
            <v>0</v>
          </cell>
          <cell r="S778">
            <v>0</v>
          </cell>
          <cell r="X778">
            <v>0</v>
          </cell>
        </row>
        <row r="779">
          <cell r="I779">
            <v>0</v>
          </cell>
          <cell r="N779">
            <v>0</v>
          </cell>
          <cell r="S779">
            <v>0</v>
          </cell>
          <cell r="X779">
            <v>0</v>
          </cell>
        </row>
        <row r="780">
          <cell r="I780">
            <v>0</v>
          </cell>
          <cell r="N780">
            <v>0</v>
          </cell>
          <cell r="S780">
            <v>0</v>
          </cell>
          <cell r="X780">
            <v>0</v>
          </cell>
        </row>
        <row r="781">
          <cell r="I781">
            <v>0</v>
          </cell>
          <cell r="N781">
            <v>0</v>
          </cell>
          <cell r="S781">
            <v>0</v>
          </cell>
          <cell r="X781">
            <v>0</v>
          </cell>
        </row>
        <row r="782">
          <cell r="I782">
            <v>0</v>
          </cell>
          <cell r="N782">
            <v>0</v>
          </cell>
          <cell r="S782">
            <v>0</v>
          </cell>
          <cell r="X782">
            <v>0</v>
          </cell>
        </row>
        <row r="783">
          <cell r="I783">
            <v>0</v>
          </cell>
          <cell r="N783">
            <v>0</v>
          </cell>
          <cell r="S783">
            <v>0</v>
          </cell>
          <cell r="X783">
            <v>0</v>
          </cell>
        </row>
        <row r="784">
          <cell r="I784">
            <v>0</v>
          </cell>
          <cell r="N784">
            <v>0</v>
          </cell>
          <cell r="S784">
            <v>0</v>
          </cell>
          <cell r="X784">
            <v>0</v>
          </cell>
        </row>
        <row r="785">
          <cell r="I785">
            <v>0</v>
          </cell>
          <cell r="N785">
            <v>0</v>
          </cell>
          <cell r="S785">
            <v>0</v>
          </cell>
          <cell r="X785">
            <v>0</v>
          </cell>
        </row>
        <row r="786">
          <cell r="I786">
            <v>0</v>
          </cell>
          <cell r="N786">
            <v>0</v>
          </cell>
          <cell r="S786">
            <v>0</v>
          </cell>
          <cell r="X786">
            <v>0</v>
          </cell>
        </row>
        <row r="787">
          <cell r="I787">
            <v>0</v>
          </cell>
          <cell r="N787">
            <v>0</v>
          </cell>
          <cell r="S787">
            <v>0</v>
          </cell>
          <cell r="X787">
            <v>0</v>
          </cell>
        </row>
        <row r="788">
          <cell r="I788">
            <v>0</v>
          </cell>
          <cell r="N788">
            <v>0</v>
          </cell>
          <cell r="S788">
            <v>0</v>
          </cell>
          <cell r="X788">
            <v>0</v>
          </cell>
        </row>
        <row r="789">
          <cell r="I789">
            <v>0</v>
          </cell>
          <cell r="N789">
            <v>0</v>
          </cell>
          <cell r="S789">
            <v>0</v>
          </cell>
          <cell r="X789">
            <v>0</v>
          </cell>
        </row>
        <row r="790">
          <cell r="I790">
            <v>0</v>
          </cell>
          <cell r="N790">
            <v>0</v>
          </cell>
          <cell r="S790">
            <v>0</v>
          </cell>
          <cell r="X790">
            <v>0</v>
          </cell>
        </row>
        <row r="791">
          <cell r="I791">
            <v>0</v>
          </cell>
          <cell r="N791">
            <v>0</v>
          </cell>
          <cell r="S791">
            <v>0</v>
          </cell>
          <cell r="X791">
            <v>0</v>
          </cell>
        </row>
        <row r="792">
          <cell r="I792">
            <v>0</v>
          </cell>
          <cell r="N792">
            <v>0</v>
          </cell>
          <cell r="S792">
            <v>0</v>
          </cell>
          <cell r="X792">
            <v>0</v>
          </cell>
        </row>
        <row r="793">
          <cell r="I793">
            <v>0</v>
          </cell>
          <cell r="N793">
            <v>0</v>
          </cell>
          <cell r="S793">
            <v>0</v>
          </cell>
          <cell r="X793">
            <v>0</v>
          </cell>
        </row>
        <row r="794">
          <cell r="I794">
            <v>0</v>
          </cell>
          <cell r="N794">
            <v>0</v>
          </cell>
          <cell r="S794">
            <v>0</v>
          </cell>
          <cell r="X794">
            <v>0</v>
          </cell>
        </row>
        <row r="795">
          <cell r="I795">
            <v>0</v>
          </cell>
          <cell r="N795">
            <v>0</v>
          </cell>
          <cell r="S795">
            <v>0</v>
          </cell>
          <cell r="X795">
            <v>0</v>
          </cell>
        </row>
        <row r="796">
          <cell r="I796">
            <v>0</v>
          </cell>
          <cell r="N796">
            <v>0</v>
          </cell>
          <cell r="S796">
            <v>0</v>
          </cell>
          <cell r="X796">
            <v>0</v>
          </cell>
        </row>
        <row r="797">
          <cell r="I797">
            <v>0</v>
          </cell>
          <cell r="N797">
            <v>0</v>
          </cell>
          <cell r="S797">
            <v>0</v>
          </cell>
          <cell r="X797">
            <v>0</v>
          </cell>
        </row>
        <row r="798">
          <cell r="I798">
            <v>0</v>
          </cell>
          <cell r="N798">
            <v>0</v>
          </cell>
          <cell r="S798">
            <v>0</v>
          </cell>
          <cell r="X798">
            <v>0</v>
          </cell>
        </row>
        <row r="799">
          <cell r="I799">
            <v>0</v>
          </cell>
          <cell r="N799">
            <v>0</v>
          </cell>
          <cell r="S799">
            <v>0</v>
          </cell>
          <cell r="X799">
            <v>0</v>
          </cell>
        </row>
        <row r="800">
          <cell r="I800">
            <v>0</v>
          </cell>
          <cell r="N800">
            <v>0</v>
          </cell>
          <cell r="S800">
            <v>0</v>
          </cell>
          <cell r="X800">
            <v>0</v>
          </cell>
        </row>
        <row r="801">
          <cell r="I801">
            <v>0</v>
          </cell>
          <cell r="N801">
            <v>0</v>
          </cell>
          <cell r="S801">
            <v>0</v>
          </cell>
          <cell r="X801">
            <v>0</v>
          </cell>
        </row>
        <row r="802">
          <cell r="I802">
            <v>200</v>
          </cell>
          <cell r="N802">
            <v>0</v>
          </cell>
          <cell r="S802">
            <v>0</v>
          </cell>
          <cell r="X802">
            <v>0</v>
          </cell>
        </row>
        <row r="803">
          <cell r="I803">
            <v>200</v>
          </cell>
          <cell r="N803">
            <v>0</v>
          </cell>
          <cell r="S803">
            <v>0</v>
          </cell>
          <cell r="X803">
            <v>0</v>
          </cell>
        </row>
        <row r="804">
          <cell r="I804">
            <v>200</v>
          </cell>
          <cell r="N804">
            <v>0</v>
          </cell>
          <cell r="S804">
            <v>0</v>
          </cell>
          <cell r="X804">
            <v>0</v>
          </cell>
        </row>
        <row r="805">
          <cell r="I805">
            <v>200</v>
          </cell>
          <cell r="N805">
            <v>0</v>
          </cell>
          <cell r="S805">
            <v>0</v>
          </cell>
          <cell r="X805">
            <v>0</v>
          </cell>
        </row>
        <row r="806">
          <cell r="I806">
            <v>200</v>
          </cell>
          <cell r="N806">
            <v>0</v>
          </cell>
          <cell r="S806">
            <v>0</v>
          </cell>
          <cell r="X806">
            <v>0</v>
          </cell>
        </row>
        <row r="807">
          <cell r="I807">
            <v>200</v>
          </cell>
          <cell r="N807">
            <v>0</v>
          </cell>
          <cell r="S807">
            <v>0</v>
          </cell>
          <cell r="X807">
            <v>0</v>
          </cell>
        </row>
        <row r="808">
          <cell r="I808">
            <v>2000</v>
          </cell>
          <cell r="N808">
            <v>25000</v>
          </cell>
          <cell r="S808">
            <v>0</v>
          </cell>
          <cell r="X808">
            <v>0</v>
          </cell>
        </row>
        <row r="809">
          <cell r="I809">
            <v>3000</v>
          </cell>
          <cell r="N809">
            <v>25000</v>
          </cell>
          <cell r="S809">
            <v>0</v>
          </cell>
          <cell r="X809">
            <v>0</v>
          </cell>
        </row>
        <row r="810">
          <cell r="I810">
            <v>210</v>
          </cell>
          <cell r="N810">
            <v>0</v>
          </cell>
          <cell r="S810">
            <v>210</v>
          </cell>
          <cell r="X810">
            <v>0</v>
          </cell>
        </row>
        <row r="811">
          <cell r="I811">
            <v>5000</v>
          </cell>
          <cell r="N811">
            <v>0</v>
          </cell>
          <cell r="S811">
            <v>0</v>
          </cell>
          <cell r="X811">
            <v>0</v>
          </cell>
        </row>
        <row r="812">
          <cell r="I812">
            <v>11000</v>
          </cell>
          <cell r="N812">
            <v>0</v>
          </cell>
          <cell r="S812">
            <v>0</v>
          </cell>
          <cell r="X812">
            <v>0</v>
          </cell>
        </row>
        <row r="813">
          <cell r="I813">
            <v>0</v>
          </cell>
          <cell r="N813">
            <v>0</v>
          </cell>
          <cell r="S813">
            <v>2500</v>
          </cell>
          <cell r="X813">
            <v>0</v>
          </cell>
        </row>
        <row r="814">
          <cell r="I814">
            <v>0</v>
          </cell>
          <cell r="N814">
            <v>0</v>
          </cell>
          <cell r="S814">
            <v>2500</v>
          </cell>
          <cell r="X814">
            <v>0</v>
          </cell>
        </row>
        <row r="815">
          <cell r="I815">
            <v>0</v>
          </cell>
          <cell r="N815">
            <v>0</v>
          </cell>
          <cell r="S815">
            <v>1000</v>
          </cell>
          <cell r="X815">
            <v>0</v>
          </cell>
        </row>
        <row r="816">
          <cell r="I816">
            <v>0</v>
          </cell>
          <cell r="N816">
            <v>250</v>
          </cell>
          <cell r="S816">
            <v>250</v>
          </cell>
          <cell r="X816">
            <v>0</v>
          </cell>
        </row>
        <row r="817">
          <cell r="I817">
            <v>10000</v>
          </cell>
          <cell r="N817">
            <v>30000</v>
          </cell>
          <cell r="S817">
            <v>0</v>
          </cell>
          <cell r="X817">
            <v>0</v>
          </cell>
        </row>
        <row r="818">
          <cell r="I818">
            <v>800</v>
          </cell>
          <cell r="N818">
            <v>0</v>
          </cell>
          <cell r="S818">
            <v>0</v>
          </cell>
          <cell r="X818">
            <v>0</v>
          </cell>
        </row>
        <row r="819">
          <cell r="I819">
            <v>0</v>
          </cell>
          <cell r="N819">
            <v>70</v>
          </cell>
          <cell r="S819">
            <v>0</v>
          </cell>
          <cell r="X819">
            <v>0</v>
          </cell>
        </row>
        <row r="820">
          <cell r="I820">
            <v>40</v>
          </cell>
          <cell r="N820">
            <v>0</v>
          </cell>
          <cell r="S820">
            <v>40</v>
          </cell>
          <cell r="X820">
            <v>0</v>
          </cell>
        </row>
        <row r="821">
          <cell r="I821">
            <v>0</v>
          </cell>
          <cell r="N821">
            <v>0</v>
          </cell>
          <cell r="S821">
            <v>5000</v>
          </cell>
          <cell r="X821">
            <v>0</v>
          </cell>
        </row>
        <row r="822">
          <cell r="I822">
            <v>0</v>
          </cell>
          <cell r="N822">
            <v>0</v>
          </cell>
          <cell r="S822">
            <v>3250</v>
          </cell>
          <cell r="X822">
            <v>0</v>
          </cell>
        </row>
        <row r="823">
          <cell r="I823">
            <v>14000</v>
          </cell>
          <cell r="N823">
            <v>0</v>
          </cell>
          <cell r="S823">
            <v>0</v>
          </cell>
          <cell r="X823">
            <v>0</v>
          </cell>
        </row>
        <row r="824">
          <cell r="I824">
            <v>3600</v>
          </cell>
          <cell r="N824">
            <v>3600</v>
          </cell>
          <cell r="S824">
            <v>3600</v>
          </cell>
          <cell r="X824">
            <v>0</v>
          </cell>
        </row>
        <row r="825">
          <cell r="I825">
            <v>320</v>
          </cell>
          <cell r="N825">
            <v>0</v>
          </cell>
          <cell r="S825">
            <v>0</v>
          </cell>
          <cell r="X825">
            <v>0</v>
          </cell>
        </row>
        <row r="826">
          <cell r="I826">
            <v>320</v>
          </cell>
          <cell r="N826">
            <v>0</v>
          </cell>
          <cell r="S826">
            <v>0</v>
          </cell>
          <cell r="X826">
            <v>0</v>
          </cell>
        </row>
        <row r="827">
          <cell r="I827">
            <v>320</v>
          </cell>
          <cell r="N827">
            <v>0</v>
          </cell>
          <cell r="S827">
            <v>0</v>
          </cell>
          <cell r="X827">
            <v>0</v>
          </cell>
        </row>
        <row r="828">
          <cell r="I828">
            <v>320</v>
          </cell>
          <cell r="N828">
            <v>0</v>
          </cell>
          <cell r="S828">
            <v>0</v>
          </cell>
          <cell r="X828">
            <v>0</v>
          </cell>
        </row>
        <row r="829">
          <cell r="I829">
            <v>1280</v>
          </cell>
          <cell r="N829">
            <v>0</v>
          </cell>
          <cell r="S829">
            <v>0</v>
          </cell>
          <cell r="X829">
            <v>0</v>
          </cell>
        </row>
        <row r="830">
          <cell r="I830">
            <v>1280</v>
          </cell>
          <cell r="N830">
            <v>0</v>
          </cell>
          <cell r="S830">
            <v>0</v>
          </cell>
          <cell r="X830">
            <v>0</v>
          </cell>
        </row>
        <row r="831">
          <cell r="I831">
            <v>1280</v>
          </cell>
          <cell r="N831">
            <v>0</v>
          </cell>
          <cell r="S831">
            <v>0</v>
          </cell>
          <cell r="X831">
            <v>0</v>
          </cell>
        </row>
        <row r="832">
          <cell r="I832">
            <v>1280</v>
          </cell>
          <cell r="N832">
            <v>0</v>
          </cell>
          <cell r="S832">
            <v>0</v>
          </cell>
          <cell r="X832">
            <v>0</v>
          </cell>
        </row>
        <row r="833">
          <cell r="I833">
            <v>590</v>
          </cell>
          <cell r="N833">
            <v>295</v>
          </cell>
          <cell r="S833">
            <v>590</v>
          </cell>
          <cell r="X833">
            <v>295</v>
          </cell>
        </row>
        <row r="834">
          <cell r="I834">
            <v>295</v>
          </cell>
          <cell r="N834">
            <v>295</v>
          </cell>
          <cell r="S834">
            <v>590</v>
          </cell>
          <cell r="X834">
            <v>295</v>
          </cell>
        </row>
        <row r="835">
          <cell r="I835">
            <v>295</v>
          </cell>
          <cell r="N835">
            <v>295</v>
          </cell>
          <cell r="S835">
            <v>590</v>
          </cell>
          <cell r="X835">
            <v>295</v>
          </cell>
        </row>
        <row r="836">
          <cell r="I836">
            <v>295</v>
          </cell>
          <cell r="N836">
            <v>295</v>
          </cell>
          <cell r="S836">
            <v>590</v>
          </cell>
          <cell r="X836">
            <v>295</v>
          </cell>
        </row>
        <row r="837">
          <cell r="I837">
            <v>3000</v>
          </cell>
          <cell r="N837">
            <v>3000</v>
          </cell>
          <cell r="S837">
            <v>3000</v>
          </cell>
          <cell r="X837">
            <v>4500</v>
          </cell>
        </row>
        <row r="838">
          <cell r="I838">
            <v>1500</v>
          </cell>
          <cell r="N838">
            <v>1500</v>
          </cell>
          <cell r="S838">
            <v>1500</v>
          </cell>
          <cell r="X838">
            <v>1500</v>
          </cell>
        </row>
        <row r="839">
          <cell r="I839">
            <v>590</v>
          </cell>
          <cell r="N839">
            <v>885</v>
          </cell>
          <cell r="S839">
            <v>590</v>
          </cell>
          <cell r="X839">
            <v>295</v>
          </cell>
        </row>
        <row r="840">
          <cell r="I840">
            <v>590</v>
          </cell>
          <cell r="N840">
            <v>885</v>
          </cell>
          <cell r="S840">
            <v>590</v>
          </cell>
          <cell r="X840">
            <v>295</v>
          </cell>
        </row>
        <row r="841">
          <cell r="I841">
            <v>590</v>
          </cell>
          <cell r="N841">
            <v>885</v>
          </cell>
          <cell r="S841">
            <v>590</v>
          </cell>
          <cell r="X841">
            <v>295</v>
          </cell>
        </row>
        <row r="842">
          <cell r="I842">
            <v>590</v>
          </cell>
          <cell r="N842">
            <v>885</v>
          </cell>
          <cell r="S842">
            <v>590</v>
          </cell>
          <cell r="X842">
            <v>295</v>
          </cell>
        </row>
        <row r="843">
          <cell r="I843">
            <v>1180</v>
          </cell>
          <cell r="N843">
            <v>590</v>
          </cell>
          <cell r="S843">
            <v>590</v>
          </cell>
          <cell r="X843">
            <v>590</v>
          </cell>
        </row>
        <row r="844">
          <cell r="I844">
            <v>590</v>
          </cell>
          <cell r="N844">
            <v>590</v>
          </cell>
          <cell r="S844">
            <v>590</v>
          </cell>
          <cell r="X844">
            <v>590</v>
          </cell>
        </row>
        <row r="845">
          <cell r="I845">
            <v>590</v>
          </cell>
          <cell r="N845">
            <v>590</v>
          </cell>
          <cell r="S845">
            <v>590</v>
          </cell>
          <cell r="X845">
            <v>590</v>
          </cell>
        </row>
        <row r="846">
          <cell r="I846">
            <v>590</v>
          </cell>
          <cell r="N846">
            <v>590</v>
          </cell>
          <cell r="S846">
            <v>590</v>
          </cell>
          <cell r="X846">
            <v>590</v>
          </cell>
        </row>
        <row r="847">
          <cell r="I847">
            <v>2670</v>
          </cell>
          <cell r="N847">
            <v>2670</v>
          </cell>
          <cell r="S847">
            <v>5340</v>
          </cell>
          <cell r="X847">
            <v>4005</v>
          </cell>
        </row>
        <row r="848">
          <cell r="I848">
            <v>295</v>
          </cell>
          <cell r="N848">
            <v>590</v>
          </cell>
          <cell r="S848">
            <v>295</v>
          </cell>
          <cell r="X848">
            <v>295</v>
          </cell>
        </row>
        <row r="849">
          <cell r="I849">
            <v>295</v>
          </cell>
          <cell r="N849">
            <v>590</v>
          </cell>
          <cell r="S849">
            <v>295</v>
          </cell>
          <cell r="X849">
            <v>295</v>
          </cell>
        </row>
        <row r="850">
          <cell r="I850">
            <v>295</v>
          </cell>
          <cell r="N850">
            <v>590</v>
          </cell>
          <cell r="S850">
            <v>295</v>
          </cell>
          <cell r="X850">
            <v>295</v>
          </cell>
        </row>
        <row r="851">
          <cell r="I851">
            <v>295</v>
          </cell>
          <cell r="N851">
            <v>590</v>
          </cell>
          <cell r="S851">
            <v>295</v>
          </cell>
          <cell r="X851">
            <v>295</v>
          </cell>
        </row>
        <row r="852">
          <cell r="I852">
            <v>5340</v>
          </cell>
          <cell r="N852">
            <v>0</v>
          </cell>
          <cell r="S852">
            <v>5340</v>
          </cell>
          <cell r="X852">
            <v>0</v>
          </cell>
        </row>
        <row r="853">
          <cell r="I853">
            <v>960</v>
          </cell>
          <cell r="N853">
            <v>960</v>
          </cell>
          <cell r="S853">
            <v>960</v>
          </cell>
          <cell r="X853">
            <v>480</v>
          </cell>
        </row>
        <row r="854">
          <cell r="I854">
            <v>960</v>
          </cell>
          <cell r="N854">
            <v>960</v>
          </cell>
          <cell r="S854">
            <v>960</v>
          </cell>
          <cell r="X854">
            <v>480</v>
          </cell>
        </row>
        <row r="855">
          <cell r="I855">
            <v>960</v>
          </cell>
          <cell r="N855">
            <v>960</v>
          </cell>
          <cell r="S855">
            <v>960</v>
          </cell>
          <cell r="X855">
            <v>480</v>
          </cell>
        </row>
        <row r="856">
          <cell r="I856">
            <v>960</v>
          </cell>
          <cell r="N856">
            <v>960</v>
          </cell>
          <cell r="S856">
            <v>960</v>
          </cell>
          <cell r="X856">
            <v>480</v>
          </cell>
        </row>
        <row r="857">
          <cell r="I857">
            <v>800</v>
          </cell>
          <cell r="N857">
            <v>400</v>
          </cell>
          <cell r="S857">
            <v>800</v>
          </cell>
          <cell r="X857">
            <v>400</v>
          </cell>
        </row>
        <row r="858">
          <cell r="I858">
            <v>800</v>
          </cell>
          <cell r="N858">
            <v>400</v>
          </cell>
          <cell r="S858">
            <v>800</v>
          </cell>
          <cell r="X858">
            <v>400</v>
          </cell>
        </row>
        <row r="859">
          <cell r="I859">
            <v>800</v>
          </cell>
          <cell r="N859">
            <v>400</v>
          </cell>
          <cell r="S859">
            <v>800</v>
          </cell>
          <cell r="X859">
            <v>400</v>
          </cell>
        </row>
        <row r="860">
          <cell r="I860">
            <v>800</v>
          </cell>
          <cell r="N860">
            <v>400</v>
          </cell>
          <cell r="S860">
            <v>800</v>
          </cell>
          <cell r="X860">
            <v>400</v>
          </cell>
        </row>
        <row r="861">
          <cell r="I861">
            <v>11200</v>
          </cell>
          <cell r="N861">
            <v>0</v>
          </cell>
          <cell r="S861">
            <v>11200</v>
          </cell>
          <cell r="X861">
            <v>0</v>
          </cell>
        </row>
        <row r="862">
          <cell r="I862">
            <v>16000</v>
          </cell>
          <cell r="N862">
            <v>16000</v>
          </cell>
          <cell r="S862">
            <v>16000</v>
          </cell>
          <cell r="X862">
            <v>0</v>
          </cell>
        </row>
        <row r="863">
          <cell r="I863">
            <v>16000</v>
          </cell>
          <cell r="N863">
            <v>16000</v>
          </cell>
          <cell r="S863">
            <v>8000</v>
          </cell>
          <cell r="X863">
            <v>0</v>
          </cell>
        </row>
        <row r="864">
          <cell r="I864">
            <v>16000</v>
          </cell>
          <cell r="N864">
            <v>16000</v>
          </cell>
          <cell r="S864">
            <v>8000</v>
          </cell>
          <cell r="X864">
            <v>0</v>
          </cell>
        </row>
        <row r="865">
          <cell r="I865">
            <v>16000</v>
          </cell>
          <cell r="N865">
            <v>16000</v>
          </cell>
          <cell r="S865">
            <v>8000</v>
          </cell>
          <cell r="X865">
            <v>0</v>
          </cell>
        </row>
        <row r="866">
          <cell r="I866">
            <v>13000</v>
          </cell>
          <cell r="N866">
            <v>0</v>
          </cell>
          <cell r="S866">
            <v>0</v>
          </cell>
          <cell r="X866">
            <v>0</v>
          </cell>
        </row>
        <row r="867">
          <cell r="I867">
            <v>4581.46</v>
          </cell>
          <cell r="N867">
            <v>0</v>
          </cell>
          <cell r="S867">
            <v>4581.46</v>
          </cell>
          <cell r="X867">
            <v>0</v>
          </cell>
        </row>
        <row r="868">
          <cell r="I868">
            <v>5200</v>
          </cell>
          <cell r="N868">
            <v>0</v>
          </cell>
          <cell r="S868">
            <v>0</v>
          </cell>
          <cell r="X868">
            <v>0</v>
          </cell>
        </row>
        <row r="869">
          <cell r="I869">
            <v>5200</v>
          </cell>
          <cell r="N869">
            <v>0</v>
          </cell>
          <cell r="S869">
            <v>0</v>
          </cell>
          <cell r="X869">
            <v>0</v>
          </cell>
        </row>
        <row r="870">
          <cell r="I870">
            <v>5200</v>
          </cell>
          <cell r="N870">
            <v>0</v>
          </cell>
          <cell r="S870">
            <v>0</v>
          </cell>
          <cell r="X870">
            <v>0</v>
          </cell>
        </row>
        <row r="871">
          <cell r="I871">
            <v>5200</v>
          </cell>
          <cell r="N871">
            <v>0</v>
          </cell>
          <cell r="S871">
            <v>0</v>
          </cell>
          <cell r="X871">
            <v>0</v>
          </cell>
        </row>
        <row r="872">
          <cell r="I872">
            <v>7200</v>
          </cell>
          <cell r="N872">
            <v>0</v>
          </cell>
          <cell r="S872">
            <v>0</v>
          </cell>
          <cell r="X872">
            <v>0</v>
          </cell>
        </row>
        <row r="873">
          <cell r="I873">
            <v>0</v>
          </cell>
          <cell r="N873">
            <v>0</v>
          </cell>
          <cell r="S873">
            <v>0</v>
          </cell>
          <cell r="X873">
            <v>0</v>
          </cell>
        </row>
        <row r="874">
          <cell r="I874">
            <v>0</v>
          </cell>
          <cell r="N874">
            <v>0</v>
          </cell>
          <cell r="S874">
            <v>0</v>
          </cell>
          <cell r="X874">
            <v>0</v>
          </cell>
        </row>
        <row r="875">
          <cell r="I875">
            <v>0</v>
          </cell>
          <cell r="N875">
            <v>0</v>
          </cell>
          <cell r="S875">
            <v>0</v>
          </cell>
          <cell r="X875">
            <v>0</v>
          </cell>
        </row>
        <row r="876">
          <cell r="I876">
            <v>0</v>
          </cell>
          <cell r="N876">
            <v>0</v>
          </cell>
          <cell r="S876">
            <v>0</v>
          </cell>
          <cell r="X876">
            <v>0</v>
          </cell>
        </row>
        <row r="877">
          <cell r="I877">
            <v>0</v>
          </cell>
          <cell r="N877">
            <v>0</v>
          </cell>
          <cell r="S877">
            <v>0</v>
          </cell>
          <cell r="X877">
            <v>0</v>
          </cell>
        </row>
        <row r="878">
          <cell r="I878">
            <v>0</v>
          </cell>
          <cell r="N878">
            <v>0</v>
          </cell>
          <cell r="S878">
            <v>0</v>
          </cell>
          <cell r="X878">
            <v>0</v>
          </cell>
        </row>
        <row r="879">
          <cell r="I879">
            <v>480</v>
          </cell>
          <cell r="N879">
            <v>0</v>
          </cell>
          <cell r="S879">
            <v>0</v>
          </cell>
          <cell r="X879">
            <v>0</v>
          </cell>
        </row>
        <row r="880">
          <cell r="I880">
            <v>1575</v>
          </cell>
          <cell r="N880">
            <v>0</v>
          </cell>
          <cell r="S880">
            <v>1575</v>
          </cell>
          <cell r="X880">
            <v>0</v>
          </cell>
        </row>
        <row r="881">
          <cell r="I881">
            <v>0</v>
          </cell>
          <cell r="N881">
            <v>7500</v>
          </cell>
          <cell r="S881">
            <v>0</v>
          </cell>
          <cell r="X881">
            <v>0</v>
          </cell>
        </row>
        <row r="882">
          <cell r="I882">
            <v>2500</v>
          </cell>
          <cell r="N882">
            <v>0</v>
          </cell>
          <cell r="S882">
            <v>0</v>
          </cell>
          <cell r="X882">
            <v>0</v>
          </cell>
        </row>
        <row r="883">
          <cell r="I883">
            <v>2344</v>
          </cell>
          <cell r="N883">
            <v>0</v>
          </cell>
          <cell r="S883">
            <v>0</v>
          </cell>
          <cell r="X883">
            <v>0</v>
          </cell>
        </row>
        <row r="884">
          <cell r="I884">
            <v>2000</v>
          </cell>
          <cell r="N884">
            <v>2000</v>
          </cell>
          <cell r="S884">
            <v>2000</v>
          </cell>
          <cell r="X884">
            <v>0</v>
          </cell>
        </row>
        <row r="885">
          <cell r="I885">
            <v>270</v>
          </cell>
          <cell r="N885">
            <v>135</v>
          </cell>
          <cell r="S885">
            <v>270</v>
          </cell>
          <cell r="X885">
            <v>135</v>
          </cell>
        </row>
        <row r="886">
          <cell r="I886">
            <v>6000</v>
          </cell>
          <cell r="N886">
            <v>0</v>
          </cell>
          <cell r="S886">
            <v>0</v>
          </cell>
          <cell r="X886">
            <v>0</v>
          </cell>
        </row>
        <row r="887">
          <cell r="I887">
            <v>2000</v>
          </cell>
          <cell r="N887">
            <v>0</v>
          </cell>
          <cell r="S887">
            <v>0</v>
          </cell>
          <cell r="X887">
            <v>0</v>
          </cell>
        </row>
        <row r="888">
          <cell r="I888">
            <v>1000</v>
          </cell>
          <cell r="N888">
            <v>1500</v>
          </cell>
          <cell r="S888">
            <v>0</v>
          </cell>
          <cell r="X888">
            <v>0</v>
          </cell>
        </row>
        <row r="889">
          <cell r="I889">
            <v>0</v>
          </cell>
          <cell r="N889">
            <v>5000</v>
          </cell>
          <cell r="S889">
            <v>0</v>
          </cell>
          <cell r="X889">
            <v>0</v>
          </cell>
        </row>
        <row r="890">
          <cell r="I890">
            <v>24500</v>
          </cell>
          <cell r="N890">
            <v>0</v>
          </cell>
          <cell r="S890">
            <v>0</v>
          </cell>
          <cell r="X890">
            <v>0</v>
          </cell>
        </row>
        <row r="891">
          <cell r="I891">
            <v>4500</v>
          </cell>
          <cell r="N891">
            <v>0</v>
          </cell>
          <cell r="S891">
            <v>0</v>
          </cell>
          <cell r="X891">
            <v>0</v>
          </cell>
        </row>
        <row r="892">
          <cell r="I892">
            <v>2500</v>
          </cell>
          <cell r="N892">
            <v>0</v>
          </cell>
          <cell r="S892">
            <v>0</v>
          </cell>
          <cell r="X892">
            <v>0</v>
          </cell>
        </row>
        <row r="893">
          <cell r="I893">
            <v>60000</v>
          </cell>
          <cell r="N893">
            <v>0</v>
          </cell>
          <cell r="S893">
            <v>0</v>
          </cell>
          <cell r="X893">
            <v>0</v>
          </cell>
        </row>
        <row r="894">
          <cell r="I894">
            <v>855</v>
          </cell>
          <cell r="N894">
            <v>0</v>
          </cell>
          <cell r="S894">
            <v>855</v>
          </cell>
          <cell r="X894">
            <v>0</v>
          </cell>
        </row>
        <row r="895">
          <cell r="I895">
            <v>855</v>
          </cell>
          <cell r="N895">
            <v>0</v>
          </cell>
          <cell r="S895">
            <v>855</v>
          </cell>
          <cell r="X895">
            <v>0</v>
          </cell>
        </row>
        <row r="896">
          <cell r="I896">
            <v>4000</v>
          </cell>
          <cell r="N896">
            <v>0</v>
          </cell>
          <cell r="S896">
            <v>0</v>
          </cell>
          <cell r="X896">
            <v>0</v>
          </cell>
        </row>
        <row r="897">
          <cell r="I897">
            <v>312</v>
          </cell>
          <cell r="N897">
            <v>624</v>
          </cell>
          <cell r="S897">
            <v>312</v>
          </cell>
          <cell r="X897">
            <v>624</v>
          </cell>
        </row>
        <row r="898">
          <cell r="I898">
            <v>480</v>
          </cell>
          <cell r="N898">
            <v>0</v>
          </cell>
          <cell r="S898">
            <v>0</v>
          </cell>
          <cell r="X898">
            <v>0</v>
          </cell>
        </row>
        <row r="899">
          <cell r="I899">
            <v>280</v>
          </cell>
          <cell r="N899">
            <v>0</v>
          </cell>
          <cell r="S899">
            <v>0</v>
          </cell>
          <cell r="X899">
            <v>0</v>
          </cell>
        </row>
        <row r="900">
          <cell r="I900">
            <v>4550</v>
          </cell>
          <cell r="N900">
            <v>4550</v>
          </cell>
          <cell r="S900">
            <v>0</v>
          </cell>
          <cell r="X900">
            <v>0</v>
          </cell>
        </row>
        <row r="901">
          <cell r="I901">
            <v>9600</v>
          </cell>
          <cell r="N901">
            <v>9600</v>
          </cell>
          <cell r="S901">
            <v>0</v>
          </cell>
          <cell r="X901">
            <v>0</v>
          </cell>
        </row>
        <row r="902">
          <cell r="I902">
            <v>1554</v>
          </cell>
          <cell r="N902">
            <v>0</v>
          </cell>
          <cell r="S902">
            <v>1554</v>
          </cell>
          <cell r="X902">
            <v>0</v>
          </cell>
        </row>
        <row r="903">
          <cell r="I903">
            <v>1554</v>
          </cell>
          <cell r="N903">
            <v>0</v>
          </cell>
          <cell r="S903">
            <v>1554</v>
          </cell>
          <cell r="X903">
            <v>0</v>
          </cell>
        </row>
        <row r="904">
          <cell r="I904">
            <v>0</v>
          </cell>
          <cell r="N904">
            <v>6000</v>
          </cell>
          <cell r="S904">
            <v>0</v>
          </cell>
          <cell r="X904">
            <v>0</v>
          </cell>
        </row>
        <row r="905">
          <cell r="I905">
            <v>6000</v>
          </cell>
          <cell r="N905">
            <v>0</v>
          </cell>
          <cell r="S905">
            <v>0</v>
          </cell>
          <cell r="X905">
            <v>0</v>
          </cell>
        </row>
        <row r="906">
          <cell r="I906">
            <v>270</v>
          </cell>
          <cell r="N906">
            <v>270</v>
          </cell>
          <cell r="S906">
            <v>270</v>
          </cell>
          <cell r="X906">
            <v>270</v>
          </cell>
        </row>
        <row r="907">
          <cell r="I907">
            <v>12000</v>
          </cell>
          <cell r="N907">
            <v>0</v>
          </cell>
          <cell r="S907">
            <v>0</v>
          </cell>
          <cell r="X907">
            <v>0</v>
          </cell>
        </row>
        <row r="908">
          <cell r="I908">
            <v>57600</v>
          </cell>
          <cell r="N908">
            <v>0</v>
          </cell>
          <cell r="S908">
            <v>0</v>
          </cell>
          <cell r="X908">
            <v>0</v>
          </cell>
        </row>
        <row r="909">
          <cell r="I909">
            <v>25000</v>
          </cell>
          <cell r="N909">
            <v>0</v>
          </cell>
          <cell r="S909">
            <v>0</v>
          </cell>
          <cell r="X909">
            <v>0</v>
          </cell>
        </row>
        <row r="910">
          <cell r="I910">
            <v>60000</v>
          </cell>
          <cell r="N910">
            <v>0</v>
          </cell>
          <cell r="S910">
            <v>0</v>
          </cell>
          <cell r="X910">
            <v>0</v>
          </cell>
        </row>
        <row r="911">
          <cell r="I911">
            <v>0</v>
          </cell>
          <cell r="N911">
            <v>10000</v>
          </cell>
          <cell r="S911">
            <v>0</v>
          </cell>
          <cell r="X911">
            <v>0</v>
          </cell>
        </row>
        <row r="912">
          <cell r="I912">
            <v>15000</v>
          </cell>
          <cell r="N912">
            <v>0</v>
          </cell>
          <cell r="S912">
            <v>0</v>
          </cell>
          <cell r="X912">
            <v>0</v>
          </cell>
        </row>
        <row r="913">
          <cell r="I913">
            <v>6000</v>
          </cell>
          <cell r="N913">
            <v>0</v>
          </cell>
          <cell r="S913">
            <v>0</v>
          </cell>
          <cell r="X913">
            <v>0</v>
          </cell>
        </row>
        <row r="914">
          <cell r="I914">
            <v>0</v>
          </cell>
          <cell r="N914">
            <v>1600</v>
          </cell>
          <cell r="S914">
            <v>0</v>
          </cell>
          <cell r="X914">
            <v>0</v>
          </cell>
        </row>
        <row r="915">
          <cell r="I915">
            <v>0</v>
          </cell>
          <cell r="N915">
            <v>4800</v>
          </cell>
          <cell r="S915">
            <v>0</v>
          </cell>
          <cell r="X915">
            <v>0</v>
          </cell>
        </row>
        <row r="916">
          <cell r="I916">
            <v>0</v>
          </cell>
          <cell r="N916">
            <v>1500</v>
          </cell>
          <cell r="S916">
            <v>0</v>
          </cell>
          <cell r="X916">
            <v>0</v>
          </cell>
        </row>
        <row r="917">
          <cell r="I917">
            <v>0</v>
          </cell>
          <cell r="N917">
            <v>0</v>
          </cell>
          <cell r="S917">
            <v>0</v>
          </cell>
          <cell r="X917">
            <v>0</v>
          </cell>
        </row>
        <row r="918">
          <cell r="I918">
            <v>0</v>
          </cell>
          <cell r="N918">
            <v>0</v>
          </cell>
          <cell r="S918">
            <v>0</v>
          </cell>
          <cell r="X918">
            <v>0</v>
          </cell>
        </row>
        <row r="919">
          <cell r="I919">
            <v>0</v>
          </cell>
          <cell r="N919">
            <v>0</v>
          </cell>
          <cell r="S919">
            <v>0</v>
          </cell>
          <cell r="X919">
            <v>0</v>
          </cell>
        </row>
        <row r="920">
          <cell r="I920">
            <v>0</v>
          </cell>
          <cell r="N920">
            <v>0</v>
          </cell>
          <cell r="S920">
            <v>0</v>
          </cell>
          <cell r="X920">
            <v>0</v>
          </cell>
        </row>
        <row r="921">
          <cell r="I921">
            <v>0</v>
          </cell>
          <cell r="N921">
            <v>0</v>
          </cell>
          <cell r="S921">
            <v>0</v>
          </cell>
          <cell r="X921">
            <v>0</v>
          </cell>
        </row>
        <row r="922">
          <cell r="I922">
            <v>0</v>
          </cell>
          <cell r="N922">
            <v>0</v>
          </cell>
          <cell r="S922">
            <v>0</v>
          </cell>
          <cell r="X922">
            <v>0</v>
          </cell>
        </row>
        <row r="923">
          <cell r="I923">
            <v>0</v>
          </cell>
          <cell r="N923">
            <v>0</v>
          </cell>
          <cell r="S923">
            <v>0</v>
          </cell>
          <cell r="X923">
            <v>0</v>
          </cell>
        </row>
        <row r="924">
          <cell r="I924">
            <v>0</v>
          </cell>
          <cell r="N924">
            <v>0</v>
          </cell>
          <cell r="S924">
            <v>0</v>
          </cell>
          <cell r="X924">
            <v>0</v>
          </cell>
        </row>
        <row r="925">
          <cell r="I925">
            <v>0</v>
          </cell>
          <cell r="N925">
            <v>0</v>
          </cell>
          <cell r="S925">
            <v>0</v>
          </cell>
          <cell r="X925">
            <v>0</v>
          </cell>
        </row>
        <row r="926">
          <cell r="I926">
            <v>0</v>
          </cell>
          <cell r="N926">
            <v>0</v>
          </cell>
          <cell r="S926">
            <v>0</v>
          </cell>
          <cell r="X926">
            <v>0</v>
          </cell>
        </row>
        <row r="927">
          <cell r="I927">
            <v>0</v>
          </cell>
          <cell r="N927">
            <v>0</v>
          </cell>
          <cell r="S927">
            <v>0</v>
          </cell>
          <cell r="X927">
            <v>0</v>
          </cell>
        </row>
        <row r="928">
          <cell r="I928">
            <v>0</v>
          </cell>
          <cell r="N928">
            <v>0</v>
          </cell>
          <cell r="S928">
            <v>0</v>
          </cell>
          <cell r="X928">
            <v>0</v>
          </cell>
        </row>
        <row r="929">
          <cell r="I929">
            <v>0</v>
          </cell>
          <cell r="N929">
            <v>0</v>
          </cell>
          <cell r="S929">
            <v>0</v>
          </cell>
          <cell r="X929">
            <v>0</v>
          </cell>
        </row>
        <row r="930">
          <cell r="I930">
            <v>0</v>
          </cell>
          <cell r="N930">
            <v>0</v>
          </cell>
          <cell r="S930">
            <v>0</v>
          </cell>
          <cell r="X930">
            <v>0</v>
          </cell>
        </row>
        <row r="931">
          <cell r="I931">
            <v>0</v>
          </cell>
          <cell r="N931">
            <v>0</v>
          </cell>
          <cell r="S931">
            <v>0</v>
          </cell>
          <cell r="X931">
            <v>0</v>
          </cell>
        </row>
        <row r="932">
          <cell r="I932">
            <v>0</v>
          </cell>
          <cell r="N932">
            <v>0</v>
          </cell>
          <cell r="S932">
            <v>0</v>
          </cell>
          <cell r="X932">
            <v>0</v>
          </cell>
        </row>
        <row r="933">
          <cell r="I933">
            <v>0</v>
          </cell>
          <cell r="N933">
            <v>0</v>
          </cell>
          <cell r="S933">
            <v>0</v>
          </cell>
          <cell r="X933">
            <v>0</v>
          </cell>
        </row>
        <row r="934">
          <cell r="I934">
            <v>0</v>
          </cell>
          <cell r="N934">
            <v>0</v>
          </cell>
          <cell r="S934">
            <v>0</v>
          </cell>
          <cell r="X934">
            <v>0</v>
          </cell>
        </row>
        <row r="935">
          <cell r="I935">
            <v>0</v>
          </cell>
          <cell r="N935">
            <v>0</v>
          </cell>
          <cell r="S935">
            <v>0</v>
          </cell>
          <cell r="X935">
            <v>0</v>
          </cell>
        </row>
        <row r="936">
          <cell r="I936">
            <v>0</v>
          </cell>
          <cell r="N936">
            <v>0</v>
          </cell>
          <cell r="S936">
            <v>0</v>
          </cell>
          <cell r="X936">
            <v>0</v>
          </cell>
        </row>
      </sheetData>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lank"/>
      <sheetName val="OED_CSE"/>
      <sheetName val="OED PPMP "/>
      <sheetName val="WCM+EZ(R)"/>
      <sheetName val="ACE(R)"/>
      <sheetName val="Group"/>
      <sheetName val="DMO-North_Non-PS"/>
      <sheetName val="Done Ate Shao (Batch2)"/>
      <sheetName val="Done oed non-ps"/>
    </sheetNames>
    <sheetDataSet>
      <sheetData sheetId="0" refreshError="1"/>
      <sheetData sheetId="1" refreshError="1"/>
      <sheetData sheetId="2" refreshError="1"/>
      <sheetData sheetId="3" refreshError="1"/>
      <sheetData sheetId="4" refreshError="1">
        <row r="84">
          <cell r="E84">
            <v>0</v>
          </cell>
          <cell r="J84">
            <v>0</v>
          </cell>
          <cell r="K84">
            <v>0</v>
          </cell>
          <cell r="L84">
            <v>3</v>
          </cell>
          <cell r="O84">
            <v>0</v>
          </cell>
          <cell r="P84">
            <v>0</v>
          </cell>
          <cell r="Q84">
            <v>0</v>
          </cell>
          <cell r="T84">
            <v>0</v>
          </cell>
          <cell r="U84">
            <v>0</v>
          </cell>
          <cell r="V84">
            <v>0</v>
          </cell>
        </row>
      </sheetData>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validation"/>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ive WFP"/>
      <sheetName val="Detailed WFP"/>
      <sheetName val="DMARC"/>
      <sheetName val="PPMP_Summary"/>
      <sheetName val="PPMP_Detailed"/>
      <sheetName val="Travel Plan"/>
      <sheetName val="Dropdow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hyperlink" Target="http://www.dbm.gov.ph/wp-content/uploads/Issuances/2015/Circular%20Letter/CL2015_7-MYOA.pdf" TargetMode="External"/><Relationship Id="rId1" Type="http://schemas.openxmlformats.org/officeDocument/2006/relationships/hyperlink" Target="http://www.dbm.gov.ph/wp-content/uploads/UACS/UACS%20Primer.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1"/>
  <sheetViews>
    <sheetView tabSelected="1" view="pageBreakPreview" topLeftCell="A71" zoomScale="90" zoomScaleNormal="52" zoomScaleSheetLayoutView="90" workbookViewId="0">
      <selection activeCell="C130" sqref="C130:D130"/>
    </sheetView>
  </sheetViews>
  <sheetFormatPr defaultColWidth="7.375" defaultRowHeight="15"/>
  <cols>
    <col min="1" max="1" width="9" style="62" customWidth="1"/>
    <col min="2" max="2" width="32.875" style="61" customWidth="1"/>
    <col min="3" max="3" width="12.125" style="62" customWidth="1"/>
    <col min="4" max="4" width="10.875" style="63" customWidth="1"/>
    <col min="5" max="5" width="12.125" style="64" customWidth="1"/>
    <col min="6" max="6" width="7.625" style="62" customWidth="1"/>
    <col min="7" max="7" width="7.125" style="62" customWidth="1"/>
    <col min="8" max="8" width="7.375" style="62" customWidth="1"/>
    <col min="9" max="11" width="7.625" style="62" customWidth="1"/>
    <col min="12" max="12" width="7.125" style="62" customWidth="1"/>
    <col min="13" max="13" width="6.625" style="62" customWidth="1"/>
    <col min="14" max="14" width="7.625" style="62" customWidth="1"/>
    <col min="15" max="15" width="7.375" style="62" customWidth="1"/>
    <col min="16" max="16" width="7.625" style="62" customWidth="1"/>
    <col min="17" max="17" width="8.125" style="62" customWidth="1"/>
    <col min="18" max="18" width="12.125" style="62" hidden="1" customWidth="1"/>
    <col min="19" max="16384" width="7.375" style="62"/>
  </cols>
  <sheetData>
    <row r="1" spans="1:18" ht="6" customHeight="1">
      <c r="A1" s="60"/>
    </row>
    <row r="2" spans="1:18" ht="15.75" customHeight="1">
      <c r="A2" s="663" t="s">
        <v>214</v>
      </c>
      <c r="B2" s="663"/>
      <c r="C2" s="663"/>
      <c r="D2" s="663"/>
      <c r="E2" s="663"/>
      <c r="F2" s="663"/>
      <c r="G2" s="663"/>
      <c r="H2" s="663"/>
      <c r="I2" s="663"/>
      <c r="J2" s="663"/>
      <c r="K2" s="663"/>
      <c r="L2" s="663"/>
      <c r="M2" s="663"/>
      <c r="N2" s="663"/>
      <c r="O2" s="663"/>
      <c r="P2" s="663"/>
      <c r="Q2" s="663"/>
    </row>
    <row r="3" spans="1:18" ht="7.5" customHeight="1">
      <c r="A3" s="65"/>
    </row>
    <row r="4" spans="1:18" ht="24" customHeight="1">
      <c r="A4" s="65" t="s">
        <v>215</v>
      </c>
    </row>
    <row r="5" spans="1:18" ht="1.5" hidden="1" customHeight="1">
      <c r="A5" s="65"/>
    </row>
    <row r="6" spans="1:18" ht="17.25" customHeight="1">
      <c r="A6" s="66" t="s">
        <v>216</v>
      </c>
    </row>
    <row r="7" spans="1:18" ht="22.5" customHeight="1" thickBot="1">
      <c r="A7" s="65" t="s">
        <v>217</v>
      </c>
    </row>
    <row r="8" spans="1:18" s="68" customFormat="1" ht="19.5" customHeight="1">
      <c r="A8" s="664" t="s">
        <v>218</v>
      </c>
      <c r="B8" s="666" t="s">
        <v>219</v>
      </c>
      <c r="C8" s="67" t="s">
        <v>220</v>
      </c>
      <c r="D8" s="668" t="s">
        <v>221</v>
      </c>
      <c r="E8" s="666" t="s">
        <v>4</v>
      </c>
      <c r="F8" s="666" t="s">
        <v>222</v>
      </c>
      <c r="G8" s="666"/>
      <c r="H8" s="666"/>
      <c r="I8" s="666"/>
      <c r="J8" s="666"/>
      <c r="K8" s="666"/>
      <c r="L8" s="666"/>
      <c r="M8" s="666"/>
      <c r="N8" s="666"/>
      <c r="O8" s="666"/>
      <c r="P8" s="666"/>
      <c r="Q8" s="670"/>
    </row>
    <row r="9" spans="1:18" s="68" customFormat="1" ht="18" customHeight="1" thickBot="1">
      <c r="A9" s="665"/>
      <c r="B9" s="667"/>
      <c r="C9" s="69" t="s">
        <v>223</v>
      </c>
      <c r="D9" s="669"/>
      <c r="E9" s="667"/>
      <c r="F9" s="69" t="s">
        <v>224</v>
      </c>
      <c r="G9" s="69" t="s">
        <v>225</v>
      </c>
      <c r="H9" s="69" t="s">
        <v>226</v>
      </c>
      <c r="I9" s="69" t="s">
        <v>227</v>
      </c>
      <c r="J9" s="69" t="s">
        <v>228</v>
      </c>
      <c r="K9" s="69" t="s">
        <v>229</v>
      </c>
      <c r="L9" s="69" t="s">
        <v>230</v>
      </c>
      <c r="M9" s="69" t="s">
        <v>231</v>
      </c>
      <c r="N9" s="69" t="s">
        <v>232</v>
      </c>
      <c r="O9" s="69" t="s">
        <v>233</v>
      </c>
      <c r="P9" s="69" t="s">
        <v>234</v>
      </c>
      <c r="Q9" s="70" t="s">
        <v>235</v>
      </c>
    </row>
    <row r="10" spans="1:18" ht="35.25" customHeight="1">
      <c r="A10" s="71"/>
      <c r="B10" s="671"/>
      <c r="C10" s="672"/>
      <c r="D10" s="672"/>
      <c r="E10" s="672"/>
      <c r="F10" s="672"/>
      <c r="G10" s="672"/>
      <c r="H10" s="672"/>
      <c r="I10" s="672"/>
      <c r="J10" s="672"/>
      <c r="K10" s="672"/>
      <c r="L10" s="672"/>
      <c r="M10" s="672"/>
      <c r="N10" s="672"/>
      <c r="O10" s="672"/>
      <c r="P10" s="672"/>
      <c r="Q10" s="673"/>
    </row>
    <row r="11" spans="1:18" ht="68.25" hidden="1" customHeight="1">
      <c r="A11" s="71"/>
      <c r="B11" s="72"/>
      <c r="C11" s="72"/>
      <c r="D11" s="73"/>
      <c r="E11" s="72"/>
      <c r="F11" s="72"/>
      <c r="G11" s="72"/>
      <c r="H11" s="72"/>
      <c r="I11" s="72"/>
      <c r="J11" s="72"/>
      <c r="K11" s="72"/>
      <c r="L11" s="72"/>
      <c r="M11" s="72"/>
      <c r="N11" s="72"/>
      <c r="O11" s="72"/>
      <c r="P11" s="72"/>
      <c r="Q11" s="74"/>
    </row>
    <row r="12" spans="1:18" ht="49.5" hidden="1" customHeight="1">
      <c r="A12" s="71"/>
      <c r="B12" s="72"/>
      <c r="C12" s="72"/>
      <c r="D12" s="73"/>
      <c r="E12" s="72"/>
      <c r="F12" s="72"/>
      <c r="G12" s="72"/>
      <c r="H12" s="72"/>
      <c r="I12" s="72"/>
      <c r="J12" s="72"/>
      <c r="K12" s="72"/>
      <c r="L12" s="72"/>
      <c r="M12" s="72"/>
      <c r="N12" s="72"/>
      <c r="O12" s="72"/>
      <c r="P12" s="72"/>
      <c r="Q12" s="74"/>
    </row>
    <row r="13" spans="1:18" ht="49.5" hidden="1" customHeight="1">
      <c r="A13" s="71"/>
      <c r="B13" s="72"/>
      <c r="C13" s="72"/>
      <c r="D13" s="73"/>
      <c r="E13" s="72"/>
      <c r="F13" s="72"/>
      <c r="G13" s="72"/>
      <c r="H13" s="72"/>
      <c r="I13" s="72"/>
      <c r="J13" s="72"/>
      <c r="K13" s="72"/>
      <c r="L13" s="72"/>
      <c r="M13" s="72"/>
      <c r="N13" s="72"/>
      <c r="O13" s="72"/>
      <c r="P13" s="72"/>
      <c r="Q13" s="74"/>
    </row>
    <row r="14" spans="1:18" ht="49.5" hidden="1" customHeight="1">
      <c r="A14" s="71"/>
      <c r="B14" s="72"/>
      <c r="C14" s="72"/>
      <c r="D14" s="73"/>
      <c r="E14" s="72"/>
      <c r="F14" s="72"/>
      <c r="G14" s="72"/>
      <c r="H14" s="72"/>
      <c r="I14" s="72"/>
      <c r="J14" s="72"/>
      <c r="K14" s="72"/>
      <c r="L14" s="72"/>
      <c r="M14" s="72"/>
      <c r="N14" s="72"/>
      <c r="O14" s="72"/>
      <c r="P14" s="72"/>
      <c r="Q14" s="74"/>
    </row>
    <row r="15" spans="1:18" ht="49.5" hidden="1" customHeight="1">
      <c r="A15" s="75"/>
      <c r="B15" s="76"/>
      <c r="C15" s="77"/>
      <c r="D15" s="78"/>
      <c r="E15" s="76"/>
      <c r="F15" s="77"/>
      <c r="G15" s="77"/>
      <c r="H15" s="77"/>
      <c r="I15" s="77"/>
      <c r="J15" s="77"/>
      <c r="K15" s="77"/>
      <c r="L15" s="72"/>
      <c r="M15" s="72"/>
      <c r="N15" s="72"/>
      <c r="O15" s="72"/>
      <c r="P15" s="72"/>
      <c r="Q15" s="74"/>
    </row>
    <row r="16" spans="1:18" ht="48" hidden="1" customHeight="1">
      <c r="A16" s="79"/>
      <c r="B16" s="76"/>
      <c r="C16" s="80"/>
      <c r="D16" s="78"/>
      <c r="E16" s="81"/>
      <c r="F16" s="81"/>
      <c r="G16" s="81"/>
      <c r="H16" s="81"/>
      <c r="I16" s="81"/>
      <c r="J16" s="72"/>
      <c r="K16" s="72"/>
      <c r="L16" s="77"/>
      <c r="M16" s="77"/>
      <c r="N16" s="77"/>
      <c r="O16" s="82"/>
      <c r="P16" s="82"/>
      <c r="Q16" s="83"/>
      <c r="R16" s="84" t="s">
        <v>236</v>
      </c>
    </row>
    <row r="17" spans="1:18" ht="36.75" hidden="1" customHeight="1">
      <c r="A17" s="71"/>
      <c r="B17" s="674"/>
      <c r="C17" s="675"/>
      <c r="D17" s="675"/>
      <c r="E17" s="675"/>
      <c r="F17" s="675"/>
      <c r="G17" s="675"/>
      <c r="H17" s="675"/>
      <c r="I17" s="675"/>
      <c r="J17" s="675"/>
      <c r="K17" s="675"/>
      <c r="L17" s="676"/>
      <c r="M17" s="676"/>
      <c r="N17" s="676"/>
      <c r="O17" s="676"/>
      <c r="P17" s="676"/>
      <c r="Q17" s="677"/>
      <c r="R17" s="85"/>
    </row>
    <row r="18" spans="1:18" ht="49.5" hidden="1" customHeight="1">
      <c r="A18" s="71"/>
      <c r="B18" s="76"/>
      <c r="C18" s="76"/>
      <c r="D18" s="78"/>
      <c r="E18" s="86"/>
      <c r="F18" s="76"/>
      <c r="G18" s="87"/>
      <c r="H18" s="76"/>
      <c r="I18" s="76"/>
      <c r="J18" s="72"/>
      <c r="K18" s="72"/>
      <c r="L18" s="76"/>
      <c r="M18" s="76"/>
      <c r="N18" s="76"/>
      <c r="O18" s="76"/>
      <c r="P18" s="81"/>
      <c r="Q18" s="88"/>
      <c r="R18" s="89" t="s">
        <v>237</v>
      </c>
    </row>
    <row r="19" spans="1:18" ht="42" hidden="1" customHeight="1">
      <c r="A19" s="71"/>
      <c r="B19" s="76"/>
      <c r="C19" s="77"/>
      <c r="D19" s="78"/>
      <c r="E19" s="76"/>
      <c r="F19" s="77"/>
      <c r="G19" s="77"/>
      <c r="H19" s="77"/>
      <c r="I19" s="77"/>
      <c r="J19" s="77"/>
      <c r="K19" s="77"/>
      <c r="L19" s="77"/>
      <c r="M19" s="77"/>
      <c r="N19" s="77"/>
      <c r="O19" s="76"/>
      <c r="P19" s="76"/>
      <c r="Q19" s="83"/>
      <c r="R19" s="84" t="s">
        <v>238</v>
      </c>
    </row>
    <row r="20" spans="1:18" ht="36.75" hidden="1" customHeight="1">
      <c r="A20" s="71"/>
      <c r="B20" s="678"/>
      <c r="C20" s="676"/>
      <c r="D20" s="676"/>
      <c r="E20" s="676"/>
      <c r="F20" s="676"/>
      <c r="G20" s="676"/>
      <c r="H20" s="676"/>
      <c r="I20" s="676"/>
      <c r="J20" s="676"/>
      <c r="K20" s="676"/>
      <c r="L20" s="676"/>
      <c r="M20" s="676"/>
      <c r="N20" s="676"/>
      <c r="O20" s="676"/>
      <c r="P20" s="676"/>
      <c r="Q20" s="677"/>
      <c r="R20" s="85"/>
    </row>
    <row r="21" spans="1:18" ht="49.5" hidden="1" customHeight="1">
      <c r="A21" s="71"/>
      <c r="B21" s="76"/>
      <c r="C21" s="76"/>
      <c r="D21" s="78"/>
      <c r="E21" s="90"/>
      <c r="F21" s="76"/>
      <c r="G21" s="87"/>
      <c r="H21" s="91"/>
      <c r="I21" s="76"/>
      <c r="J21" s="72"/>
      <c r="K21" s="72"/>
      <c r="L21" s="76"/>
      <c r="M21" s="76"/>
      <c r="N21" s="91"/>
      <c r="O21" s="76"/>
      <c r="P21" s="92"/>
      <c r="Q21" s="93"/>
      <c r="R21" s="89" t="s">
        <v>237</v>
      </c>
    </row>
    <row r="22" spans="1:18" ht="49.5" hidden="1" customHeight="1">
      <c r="A22" s="71"/>
      <c r="B22" s="76"/>
      <c r="C22" s="76"/>
      <c r="D22" s="78"/>
      <c r="E22" s="90"/>
      <c r="F22" s="76"/>
      <c r="G22" s="87"/>
      <c r="H22" s="91"/>
      <c r="I22" s="76"/>
      <c r="J22" s="76"/>
      <c r="K22" s="76"/>
      <c r="L22" s="76"/>
      <c r="M22" s="76"/>
      <c r="N22" s="91"/>
      <c r="O22" s="76"/>
      <c r="P22" s="92"/>
      <c r="Q22" s="93"/>
      <c r="R22" s="89"/>
    </row>
    <row r="23" spans="1:18" ht="30.75" customHeight="1">
      <c r="A23" s="71"/>
      <c r="B23" s="679"/>
      <c r="C23" s="680"/>
      <c r="D23" s="680"/>
      <c r="E23" s="680"/>
      <c r="F23" s="680"/>
      <c r="G23" s="680"/>
      <c r="H23" s="680"/>
      <c r="I23" s="680"/>
      <c r="J23" s="680"/>
      <c r="K23" s="680"/>
      <c r="L23" s="680"/>
      <c r="M23" s="680"/>
      <c r="N23" s="680"/>
      <c r="O23" s="680"/>
      <c r="P23" s="680"/>
      <c r="Q23" s="681"/>
      <c r="R23" s="94" t="s">
        <v>239</v>
      </c>
    </row>
    <row r="24" spans="1:18" ht="25.5">
      <c r="A24" s="95"/>
      <c r="B24" s="130" t="s">
        <v>259</v>
      </c>
      <c r="C24" s="76"/>
      <c r="D24" s="78"/>
      <c r="E24" s="90"/>
      <c r="F24" s="77"/>
      <c r="G24" s="77"/>
      <c r="H24" s="77"/>
      <c r="I24" s="77"/>
      <c r="J24" s="77"/>
      <c r="K24" s="77"/>
      <c r="L24" s="77"/>
      <c r="M24" s="77"/>
      <c r="N24" s="77"/>
      <c r="O24" s="77"/>
      <c r="P24" s="77"/>
      <c r="Q24" s="96"/>
      <c r="R24" s="85"/>
    </row>
    <row r="25" spans="1:18">
      <c r="A25" s="95"/>
      <c r="B25" s="129" t="s">
        <v>258</v>
      </c>
      <c r="C25" s="76"/>
      <c r="D25" s="78"/>
      <c r="E25" s="90"/>
      <c r="F25" s="77"/>
      <c r="G25" s="77"/>
      <c r="H25" s="77"/>
      <c r="I25" s="77"/>
      <c r="J25" s="77"/>
      <c r="K25" s="77"/>
      <c r="L25" s="77"/>
      <c r="M25" s="77"/>
      <c r="N25" s="77"/>
      <c r="O25" s="77"/>
      <c r="P25" s="77"/>
      <c r="Q25" s="96"/>
      <c r="R25" s="85"/>
    </row>
    <row r="26" spans="1:18">
      <c r="A26" s="95"/>
      <c r="B26" s="129" t="s">
        <v>258</v>
      </c>
      <c r="C26" s="76"/>
      <c r="D26" s="78"/>
      <c r="E26" s="90"/>
      <c r="F26" s="77"/>
      <c r="G26" s="77"/>
      <c r="H26" s="77"/>
      <c r="I26" s="77"/>
      <c r="J26" s="77"/>
      <c r="K26" s="77"/>
      <c r="L26" s="77"/>
      <c r="M26" s="77"/>
      <c r="N26" s="77"/>
      <c r="O26" s="77"/>
      <c r="P26" s="77"/>
      <c r="Q26" s="96"/>
      <c r="R26" s="85"/>
    </row>
    <row r="27" spans="1:18">
      <c r="A27" s="95"/>
      <c r="B27" s="129" t="s">
        <v>258</v>
      </c>
      <c r="C27" s="76"/>
      <c r="D27" s="78"/>
      <c r="E27" s="90"/>
      <c r="F27" s="77"/>
      <c r="G27" s="77"/>
      <c r="H27" s="77"/>
      <c r="I27" s="77"/>
      <c r="J27" s="77"/>
      <c r="K27" s="77"/>
      <c r="L27" s="77"/>
      <c r="M27" s="77"/>
      <c r="N27" s="77"/>
      <c r="O27" s="77"/>
      <c r="P27" s="77"/>
      <c r="Q27" s="96"/>
      <c r="R27" s="85"/>
    </row>
    <row r="28" spans="1:18" ht="17.45" customHeight="1">
      <c r="A28" s="95"/>
      <c r="B28" s="131" t="s">
        <v>95</v>
      </c>
      <c r="C28" s="76"/>
      <c r="D28" s="78"/>
      <c r="E28" s="90"/>
      <c r="F28" s="97"/>
      <c r="G28" s="91"/>
      <c r="H28" s="91"/>
      <c r="I28" s="76"/>
      <c r="J28" s="91"/>
      <c r="K28" s="76"/>
      <c r="L28" s="76"/>
      <c r="M28" s="76"/>
      <c r="N28" s="76"/>
      <c r="O28" s="76"/>
      <c r="P28" s="98"/>
      <c r="Q28" s="99"/>
      <c r="R28" s="89" t="s">
        <v>237</v>
      </c>
    </row>
    <row r="29" spans="1:18">
      <c r="A29" s="95"/>
      <c r="B29" s="129" t="s">
        <v>253</v>
      </c>
      <c r="C29" s="76"/>
      <c r="D29" s="78"/>
      <c r="E29" s="90"/>
      <c r="F29" s="77"/>
      <c r="G29" s="77"/>
      <c r="H29" s="77"/>
      <c r="I29" s="77"/>
      <c r="J29" s="77"/>
      <c r="K29" s="77"/>
      <c r="L29" s="77"/>
      <c r="M29" s="77"/>
      <c r="N29" s="77"/>
      <c r="O29" s="77"/>
      <c r="P29" s="77"/>
      <c r="Q29" s="96"/>
      <c r="R29" s="85"/>
    </row>
    <row r="30" spans="1:18">
      <c r="A30" s="95"/>
      <c r="B30" s="129" t="s">
        <v>254</v>
      </c>
      <c r="C30" s="76"/>
      <c r="D30" s="78"/>
      <c r="E30" s="90"/>
      <c r="F30" s="77"/>
      <c r="G30" s="77"/>
      <c r="H30" s="77"/>
      <c r="I30" s="77"/>
      <c r="J30" s="77"/>
      <c r="K30" s="77"/>
      <c r="L30" s="77"/>
      <c r="M30" s="77"/>
      <c r="N30" s="77"/>
      <c r="O30" s="77"/>
      <c r="P30" s="77"/>
      <c r="Q30" s="96"/>
      <c r="R30" s="85"/>
    </row>
    <row r="31" spans="1:18">
      <c r="A31" s="95"/>
      <c r="B31" s="129" t="s">
        <v>255</v>
      </c>
      <c r="C31" s="76"/>
      <c r="D31" s="78"/>
      <c r="E31" s="90"/>
      <c r="F31" s="77"/>
      <c r="G31" s="77"/>
      <c r="H31" s="77"/>
      <c r="I31" s="77"/>
      <c r="J31" s="77"/>
      <c r="K31" s="77"/>
      <c r="L31" s="77"/>
      <c r="M31" s="77"/>
      <c r="N31" s="77"/>
      <c r="O31" s="77"/>
      <c r="P31" s="77"/>
      <c r="Q31" s="96"/>
      <c r="R31" s="85"/>
    </row>
    <row r="32" spans="1:18">
      <c r="A32" s="95"/>
      <c r="B32" s="131" t="s">
        <v>151</v>
      </c>
      <c r="C32" s="76"/>
      <c r="D32" s="78"/>
      <c r="E32" s="90"/>
      <c r="F32" s="97"/>
      <c r="G32" s="91"/>
      <c r="H32" s="91"/>
      <c r="I32" s="76"/>
      <c r="J32" s="91"/>
      <c r="K32" s="76"/>
      <c r="L32" s="76"/>
      <c r="M32" s="76"/>
      <c r="N32" s="76"/>
      <c r="O32" s="100"/>
      <c r="P32" s="101"/>
      <c r="Q32" s="99"/>
      <c r="R32" s="89"/>
    </row>
    <row r="33" spans="1:18">
      <c r="A33" s="95"/>
      <c r="B33" s="129" t="s">
        <v>256</v>
      </c>
      <c r="C33" s="76"/>
      <c r="D33" s="78"/>
      <c r="E33" s="90"/>
      <c r="F33" s="77"/>
      <c r="G33" s="77"/>
      <c r="H33" s="77"/>
      <c r="I33" s="77"/>
      <c r="J33" s="77"/>
      <c r="K33" s="77"/>
      <c r="L33" s="77"/>
      <c r="M33" s="77"/>
      <c r="N33" s="77"/>
      <c r="O33" s="77"/>
      <c r="P33" s="77"/>
      <c r="Q33" s="96"/>
      <c r="R33" s="85"/>
    </row>
    <row r="34" spans="1:18">
      <c r="A34" s="95"/>
      <c r="B34" s="129" t="s">
        <v>257</v>
      </c>
      <c r="C34" s="76"/>
      <c r="D34" s="78"/>
      <c r="E34" s="90"/>
      <c r="F34" s="77"/>
      <c r="G34" s="77"/>
      <c r="H34" s="77"/>
      <c r="I34" s="77"/>
      <c r="J34" s="77"/>
      <c r="K34" s="77"/>
      <c r="L34" s="77"/>
      <c r="M34" s="77"/>
      <c r="N34" s="77"/>
      <c r="O34" s="77"/>
      <c r="P34" s="77"/>
      <c r="Q34" s="96"/>
      <c r="R34" s="85"/>
    </row>
    <row r="35" spans="1:18">
      <c r="A35" s="95"/>
      <c r="B35" s="129" t="s">
        <v>255</v>
      </c>
      <c r="C35" s="76"/>
      <c r="D35" s="78"/>
      <c r="E35" s="90"/>
      <c r="F35" s="77"/>
      <c r="G35" s="77"/>
      <c r="H35" s="77"/>
      <c r="I35" s="77"/>
      <c r="J35" s="77"/>
      <c r="K35" s="77"/>
      <c r="L35" s="77"/>
      <c r="M35" s="77"/>
      <c r="N35" s="77"/>
      <c r="O35" s="77"/>
      <c r="P35" s="77"/>
      <c r="Q35" s="96"/>
      <c r="R35" s="85"/>
    </row>
    <row r="36" spans="1:18">
      <c r="A36" s="95"/>
      <c r="B36" s="132" t="s">
        <v>102</v>
      </c>
      <c r="C36" s="76"/>
      <c r="D36" s="78"/>
      <c r="E36" s="90"/>
      <c r="F36" s="97"/>
      <c r="G36" s="91"/>
      <c r="H36" s="91"/>
      <c r="I36" s="76"/>
      <c r="J36" s="91"/>
      <c r="K36" s="76"/>
      <c r="L36" s="76"/>
      <c r="M36" s="76"/>
      <c r="N36" s="76"/>
      <c r="O36" s="100"/>
      <c r="P36" s="101"/>
      <c r="Q36" s="99"/>
      <c r="R36" s="89"/>
    </row>
    <row r="37" spans="1:18">
      <c r="A37" s="95"/>
      <c r="B37" s="129" t="s">
        <v>1638</v>
      </c>
      <c r="C37" s="76"/>
      <c r="D37" s="78"/>
      <c r="E37" s="90"/>
      <c r="F37" s="77"/>
      <c r="G37" s="77"/>
      <c r="H37" s="77"/>
      <c r="I37" s="77"/>
      <c r="J37" s="77"/>
      <c r="K37" s="77"/>
      <c r="L37" s="77"/>
      <c r="M37" s="77"/>
      <c r="N37" s="77"/>
      <c r="O37" s="77"/>
      <c r="P37" s="77"/>
      <c r="Q37" s="96"/>
      <c r="R37" s="85"/>
    </row>
    <row r="38" spans="1:18">
      <c r="A38" s="95"/>
      <c r="B38" s="129" t="s">
        <v>258</v>
      </c>
      <c r="C38" s="76"/>
      <c r="D38" s="78"/>
      <c r="E38" s="90"/>
      <c r="F38" s="77"/>
      <c r="G38" s="77"/>
      <c r="H38" s="77"/>
      <c r="I38" s="77"/>
      <c r="J38" s="77"/>
      <c r="K38" s="77"/>
      <c r="L38" s="77"/>
      <c r="M38" s="77"/>
      <c r="N38" s="77"/>
      <c r="O38" s="77"/>
      <c r="P38" s="77"/>
      <c r="Q38" s="96"/>
      <c r="R38" s="85"/>
    </row>
    <row r="39" spans="1:18">
      <c r="A39" s="95"/>
      <c r="B39" s="129" t="s">
        <v>258</v>
      </c>
      <c r="C39" s="76"/>
      <c r="D39" s="78"/>
      <c r="E39" s="90"/>
      <c r="F39" s="77"/>
      <c r="G39" s="77"/>
      <c r="H39" s="77"/>
      <c r="I39" s="77"/>
      <c r="J39" s="77"/>
      <c r="K39" s="77"/>
      <c r="L39" s="77"/>
      <c r="M39" s="77"/>
      <c r="N39" s="77"/>
      <c r="O39" s="77"/>
      <c r="P39" s="77"/>
      <c r="Q39" s="96"/>
      <c r="R39" s="85"/>
    </row>
    <row r="40" spans="1:18">
      <c r="A40" s="95"/>
      <c r="B40" s="132" t="s">
        <v>106</v>
      </c>
      <c r="C40" s="76"/>
      <c r="D40" s="78"/>
      <c r="E40" s="90"/>
      <c r="F40" s="97"/>
      <c r="G40" s="91"/>
      <c r="H40" s="91"/>
      <c r="I40" s="76"/>
      <c r="J40" s="91"/>
      <c r="K40" s="76"/>
      <c r="L40" s="76"/>
      <c r="M40" s="76"/>
      <c r="N40" s="76"/>
      <c r="O40" s="100"/>
      <c r="P40" s="101"/>
      <c r="Q40" s="99"/>
      <c r="R40" s="89"/>
    </row>
    <row r="41" spans="1:18">
      <c r="A41" s="95"/>
      <c r="B41" s="129" t="s">
        <v>258</v>
      </c>
      <c r="C41" s="76"/>
      <c r="D41" s="78"/>
      <c r="E41" s="90"/>
      <c r="F41" s="77"/>
      <c r="G41" s="77"/>
      <c r="H41" s="77"/>
      <c r="I41" s="77"/>
      <c r="J41" s="77"/>
      <c r="K41" s="77"/>
      <c r="L41" s="77"/>
      <c r="M41" s="77"/>
      <c r="N41" s="77"/>
      <c r="O41" s="77"/>
      <c r="P41" s="77"/>
      <c r="Q41" s="96"/>
      <c r="R41" s="85"/>
    </row>
    <row r="42" spans="1:18">
      <c r="A42" s="95"/>
      <c r="B42" s="129" t="s">
        <v>258</v>
      </c>
      <c r="C42" s="76"/>
      <c r="D42" s="78"/>
      <c r="E42" s="90"/>
      <c r="F42" s="77"/>
      <c r="G42" s="77"/>
      <c r="H42" s="77"/>
      <c r="I42" s="77"/>
      <c r="J42" s="77"/>
      <c r="K42" s="77"/>
      <c r="L42" s="77"/>
      <c r="M42" s="77"/>
      <c r="N42" s="77"/>
      <c r="O42" s="77"/>
      <c r="P42" s="77"/>
      <c r="Q42" s="96"/>
      <c r="R42" s="85"/>
    </row>
    <row r="43" spans="1:18">
      <c r="A43" s="95"/>
      <c r="B43" s="129" t="s">
        <v>258</v>
      </c>
      <c r="C43" s="76"/>
      <c r="D43" s="78"/>
      <c r="E43" s="90"/>
      <c r="F43" s="77"/>
      <c r="G43" s="77"/>
      <c r="H43" s="77"/>
      <c r="I43" s="77"/>
      <c r="J43" s="77"/>
      <c r="K43" s="77"/>
      <c r="L43" s="77"/>
      <c r="M43" s="77"/>
      <c r="N43" s="77"/>
      <c r="O43" s="77"/>
      <c r="P43" s="77"/>
      <c r="Q43" s="96"/>
      <c r="R43" s="85"/>
    </row>
    <row r="44" spans="1:18">
      <c r="A44" s="95"/>
      <c r="B44" s="132" t="s">
        <v>107</v>
      </c>
      <c r="C44" s="76"/>
      <c r="D44" s="78"/>
      <c r="E44" s="90"/>
      <c r="F44" s="97"/>
      <c r="G44" s="91"/>
      <c r="H44" s="91"/>
      <c r="I44" s="76"/>
      <c r="J44" s="91"/>
      <c r="K44" s="76"/>
      <c r="L44" s="76"/>
      <c r="M44" s="76"/>
      <c r="N44" s="76"/>
      <c r="O44" s="100"/>
      <c r="P44" s="101"/>
      <c r="Q44" s="99"/>
      <c r="R44" s="89"/>
    </row>
    <row r="45" spans="1:18">
      <c r="A45" s="95"/>
      <c r="B45" s="129" t="s">
        <v>258</v>
      </c>
      <c r="C45" s="76"/>
      <c r="D45" s="78"/>
      <c r="E45" s="90"/>
      <c r="F45" s="77"/>
      <c r="G45" s="77"/>
      <c r="H45" s="77"/>
      <c r="I45" s="77"/>
      <c r="J45" s="77"/>
      <c r="K45" s="77"/>
      <c r="L45" s="77"/>
      <c r="M45" s="77"/>
      <c r="N45" s="77"/>
      <c r="O45" s="77"/>
      <c r="P45" s="77"/>
      <c r="Q45" s="96"/>
      <c r="R45" s="85"/>
    </row>
    <row r="46" spans="1:18">
      <c r="A46" s="95"/>
      <c r="B46" s="129" t="s">
        <v>258</v>
      </c>
      <c r="C46" s="76"/>
      <c r="D46" s="78"/>
      <c r="E46" s="90"/>
      <c r="F46" s="77"/>
      <c r="G46" s="77"/>
      <c r="H46" s="77"/>
      <c r="I46" s="77"/>
      <c r="J46" s="77"/>
      <c r="K46" s="77"/>
      <c r="L46" s="77"/>
      <c r="M46" s="77"/>
      <c r="N46" s="77"/>
      <c r="O46" s="77"/>
      <c r="P46" s="77"/>
      <c r="Q46" s="96"/>
      <c r="R46" s="85"/>
    </row>
    <row r="47" spans="1:18">
      <c r="A47" s="95"/>
      <c r="B47" s="129" t="s">
        <v>258</v>
      </c>
      <c r="C47" s="76"/>
      <c r="D47" s="78"/>
      <c r="E47" s="90"/>
      <c r="F47" s="77"/>
      <c r="G47" s="77"/>
      <c r="H47" s="77"/>
      <c r="I47" s="77"/>
      <c r="J47" s="77"/>
      <c r="K47" s="77"/>
      <c r="L47" s="77"/>
      <c r="M47" s="77"/>
      <c r="N47" s="77"/>
      <c r="O47" s="77"/>
      <c r="P47" s="77"/>
      <c r="Q47" s="96"/>
      <c r="R47" s="85"/>
    </row>
    <row r="48" spans="1:18">
      <c r="A48" s="95"/>
      <c r="B48" s="132" t="s">
        <v>108</v>
      </c>
      <c r="C48" s="76"/>
      <c r="D48" s="78"/>
      <c r="E48" s="90"/>
      <c r="F48" s="97"/>
      <c r="G48" s="91"/>
      <c r="H48" s="91"/>
      <c r="I48" s="76"/>
      <c r="J48" s="91"/>
      <c r="K48" s="76"/>
      <c r="L48" s="76"/>
      <c r="M48" s="76"/>
      <c r="N48" s="76"/>
      <c r="O48" s="100"/>
      <c r="P48" s="101"/>
      <c r="Q48" s="99"/>
      <c r="R48" s="89"/>
    </row>
    <row r="49" spans="1:18">
      <c r="A49" s="95"/>
      <c r="B49" s="129" t="s">
        <v>258</v>
      </c>
      <c r="C49" s="76"/>
      <c r="D49" s="78"/>
      <c r="E49" s="90"/>
      <c r="F49" s="77"/>
      <c r="G49" s="77"/>
      <c r="H49" s="77"/>
      <c r="I49" s="77"/>
      <c r="J49" s="77"/>
      <c r="K49" s="77"/>
      <c r="L49" s="77"/>
      <c r="M49" s="77"/>
      <c r="N49" s="77"/>
      <c r="O49" s="77"/>
      <c r="P49" s="77"/>
      <c r="Q49" s="96"/>
      <c r="R49" s="85"/>
    </row>
    <row r="50" spans="1:18">
      <c r="A50" s="95"/>
      <c r="B50" s="129" t="s">
        <v>258</v>
      </c>
      <c r="C50" s="76"/>
      <c r="D50" s="78"/>
      <c r="E50" s="90"/>
      <c r="F50" s="77"/>
      <c r="G50" s="77"/>
      <c r="H50" s="77"/>
      <c r="I50" s="77"/>
      <c r="J50" s="77"/>
      <c r="K50" s="77"/>
      <c r="L50" s="77"/>
      <c r="M50" s="77"/>
      <c r="N50" s="77"/>
      <c r="O50" s="77"/>
      <c r="P50" s="77"/>
      <c r="Q50" s="96"/>
      <c r="R50" s="85"/>
    </row>
    <row r="51" spans="1:18">
      <c r="A51" s="95"/>
      <c r="B51" s="129" t="s">
        <v>258</v>
      </c>
      <c r="C51" s="76"/>
      <c r="D51" s="78"/>
      <c r="E51" s="90"/>
      <c r="F51" s="77"/>
      <c r="G51" s="77"/>
      <c r="H51" s="77"/>
      <c r="I51" s="77"/>
      <c r="J51" s="77"/>
      <c r="K51" s="77"/>
      <c r="L51" s="77"/>
      <c r="M51" s="77"/>
      <c r="N51" s="77"/>
      <c r="O51" s="77"/>
      <c r="P51" s="77"/>
      <c r="Q51" s="96"/>
      <c r="R51" s="85"/>
    </row>
    <row r="52" spans="1:18">
      <c r="A52" s="95"/>
      <c r="B52" s="133" t="s">
        <v>153</v>
      </c>
      <c r="C52" s="76"/>
      <c r="D52" s="78"/>
      <c r="E52" s="90"/>
      <c r="F52" s="97"/>
      <c r="G52" s="91"/>
      <c r="H52" s="91"/>
      <c r="I52" s="76"/>
      <c r="J52" s="91"/>
      <c r="K52" s="76"/>
      <c r="L52" s="76"/>
      <c r="M52" s="76"/>
      <c r="N52" s="76"/>
      <c r="O52" s="100"/>
      <c r="P52" s="101"/>
      <c r="Q52" s="99"/>
      <c r="R52" s="89"/>
    </row>
    <row r="53" spans="1:18">
      <c r="A53" s="95"/>
      <c r="B53" s="129" t="s">
        <v>258</v>
      </c>
      <c r="C53" s="76"/>
      <c r="D53" s="78"/>
      <c r="E53" s="90"/>
      <c r="F53" s="77"/>
      <c r="G53" s="77"/>
      <c r="H53" s="77"/>
      <c r="I53" s="77"/>
      <c r="J53" s="77"/>
      <c r="K53" s="77"/>
      <c r="L53" s="77"/>
      <c r="M53" s="77"/>
      <c r="N53" s="77"/>
      <c r="O53" s="77"/>
      <c r="P53" s="77"/>
      <c r="Q53" s="96"/>
      <c r="R53" s="85"/>
    </row>
    <row r="54" spans="1:18">
      <c r="A54" s="95"/>
      <c r="B54" s="129" t="s">
        <v>258</v>
      </c>
      <c r="C54" s="76"/>
      <c r="D54" s="78"/>
      <c r="E54" s="90"/>
      <c r="F54" s="77"/>
      <c r="G54" s="77"/>
      <c r="H54" s="77"/>
      <c r="I54" s="77"/>
      <c r="J54" s="77"/>
      <c r="K54" s="77"/>
      <c r="L54" s="77"/>
      <c r="M54" s="77"/>
      <c r="N54" s="77"/>
      <c r="O54" s="77"/>
      <c r="P54" s="77"/>
      <c r="Q54" s="96"/>
      <c r="R54" s="85"/>
    </row>
    <row r="55" spans="1:18">
      <c r="A55" s="95"/>
      <c r="B55" s="129" t="s">
        <v>258</v>
      </c>
      <c r="C55" s="76"/>
      <c r="D55" s="78"/>
      <c r="E55" s="90"/>
      <c r="F55" s="77"/>
      <c r="G55" s="77"/>
      <c r="H55" s="77"/>
      <c r="I55" s="77"/>
      <c r="J55" s="77"/>
      <c r="K55" s="77"/>
      <c r="L55" s="77"/>
      <c r="M55" s="77"/>
      <c r="N55" s="77"/>
      <c r="O55" s="77"/>
      <c r="P55" s="77"/>
      <c r="Q55" s="96"/>
      <c r="R55" s="85"/>
    </row>
    <row r="56" spans="1:18">
      <c r="A56" s="95"/>
      <c r="B56" s="132" t="s">
        <v>112</v>
      </c>
      <c r="C56" s="76"/>
      <c r="D56" s="78"/>
      <c r="E56" s="90"/>
      <c r="F56" s="97"/>
      <c r="G56" s="91"/>
      <c r="H56" s="91"/>
      <c r="I56" s="76"/>
      <c r="J56" s="91"/>
      <c r="K56" s="76"/>
      <c r="L56" s="76"/>
      <c r="M56" s="76"/>
      <c r="N56" s="76"/>
      <c r="O56" s="100"/>
      <c r="P56" s="101"/>
      <c r="Q56" s="99"/>
      <c r="R56" s="89"/>
    </row>
    <row r="57" spans="1:18">
      <c r="A57" s="95"/>
      <c r="B57" s="129" t="s">
        <v>258</v>
      </c>
      <c r="C57" s="76"/>
      <c r="D57" s="78"/>
      <c r="E57" s="90"/>
      <c r="F57" s="77"/>
      <c r="G57" s="77"/>
      <c r="H57" s="77"/>
      <c r="I57" s="77"/>
      <c r="J57" s="77"/>
      <c r="K57" s="77"/>
      <c r="L57" s="77"/>
      <c r="M57" s="77"/>
      <c r="N57" s="77"/>
      <c r="O57" s="77"/>
      <c r="P57" s="77"/>
      <c r="Q57" s="96"/>
      <c r="R57" s="85"/>
    </row>
    <row r="58" spans="1:18">
      <c r="A58" s="95"/>
      <c r="B58" s="129" t="s">
        <v>258</v>
      </c>
      <c r="C58" s="76"/>
      <c r="D58" s="78"/>
      <c r="E58" s="90"/>
      <c r="F58" s="77"/>
      <c r="G58" s="77"/>
      <c r="H58" s="77"/>
      <c r="I58" s="77"/>
      <c r="J58" s="77"/>
      <c r="K58" s="77"/>
      <c r="L58" s="77"/>
      <c r="M58" s="77"/>
      <c r="N58" s="77"/>
      <c r="O58" s="77"/>
      <c r="P58" s="77"/>
      <c r="Q58" s="96"/>
      <c r="R58" s="85"/>
    </row>
    <row r="59" spans="1:18">
      <c r="A59" s="95"/>
      <c r="B59" s="129" t="s">
        <v>258</v>
      </c>
      <c r="C59" s="76"/>
      <c r="D59" s="78"/>
      <c r="E59" s="90"/>
      <c r="F59" s="77"/>
      <c r="G59" s="77"/>
      <c r="H59" s="77"/>
      <c r="I59" s="77"/>
      <c r="J59" s="77"/>
      <c r="K59" s="77"/>
      <c r="L59" s="77"/>
      <c r="M59" s="77"/>
      <c r="N59" s="77"/>
      <c r="O59" s="77"/>
      <c r="P59" s="77"/>
      <c r="Q59" s="96"/>
      <c r="R59" s="85"/>
    </row>
    <row r="60" spans="1:18">
      <c r="A60" s="95"/>
      <c r="B60" s="131" t="s">
        <v>115</v>
      </c>
      <c r="C60" s="76"/>
      <c r="D60" s="78"/>
      <c r="E60" s="90"/>
      <c r="F60" s="97"/>
      <c r="G60" s="91"/>
      <c r="H60" s="91"/>
      <c r="I60" s="76"/>
      <c r="J60" s="91"/>
      <c r="K60" s="76"/>
      <c r="L60" s="76"/>
      <c r="M60" s="76"/>
      <c r="N60" s="76"/>
      <c r="O60" s="100"/>
      <c r="P60" s="101"/>
      <c r="Q60" s="99"/>
      <c r="R60" s="89"/>
    </row>
    <row r="61" spans="1:18">
      <c r="A61" s="95"/>
      <c r="B61" s="129" t="s">
        <v>258</v>
      </c>
      <c r="C61" s="76"/>
      <c r="D61" s="78"/>
      <c r="E61" s="90"/>
      <c r="F61" s="77"/>
      <c r="G61" s="77"/>
      <c r="H61" s="77"/>
      <c r="I61" s="77"/>
      <c r="J61" s="77"/>
      <c r="K61" s="77"/>
      <c r="L61" s="77"/>
      <c r="M61" s="77"/>
      <c r="N61" s="77"/>
      <c r="O61" s="77"/>
      <c r="P61" s="77"/>
      <c r="Q61" s="96"/>
      <c r="R61" s="85"/>
    </row>
    <row r="62" spans="1:18">
      <c r="A62" s="95"/>
      <c r="B62" s="129" t="s">
        <v>258</v>
      </c>
      <c r="C62" s="76"/>
      <c r="D62" s="78"/>
      <c r="E62" s="90"/>
      <c r="F62" s="77"/>
      <c r="G62" s="77"/>
      <c r="H62" s="77"/>
      <c r="I62" s="77"/>
      <c r="J62" s="77"/>
      <c r="K62" s="77"/>
      <c r="L62" s="77"/>
      <c r="M62" s="77"/>
      <c r="N62" s="77"/>
      <c r="O62" s="77"/>
      <c r="P62" s="77"/>
      <c r="Q62" s="96"/>
      <c r="R62" s="85"/>
    </row>
    <row r="63" spans="1:18">
      <c r="A63" s="95"/>
      <c r="B63" s="129" t="s">
        <v>258</v>
      </c>
      <c r="C63" s="76"/>
      <c r="D63" s="78"/>
      <c r="E63" s="90"/>
      <c r="F63" s="77"/>
      <c r="G63" s="77"/>
      <c r="H63" s="77"/>
      <c r="I63" s="77"/>
      <c r="J63" s="77"/>
      <c r="K63" s="77"/>
      <c r="L63" s="77"/>
      <c r="M63" s="77"/>
      <c r="N63" s="77"/>
      <c r="O63" s="77"/>
      <c r="P63" s="77"/>
      <c r="Q63" s="96"/>
      <c r="R63" s="85"/>
    </row>
    <row r="64" spans="1:18" ht="25.5">
      <c r="A64" s="95"/>
      <c r="B64" s="133" t="s">
        <v>157</v>
      </c>
      <c r="C64" s="76"/>
      <c r="D64" s="78"/>
      <c r="E64" s="90"/>
      <c r="F64" s="97"/>
      <c r="G64" s="91"/>
      <c r="H64" s="91"/>
      <c r="I64" s="76"/>
      <c r="J64" s="91"/>
      <c r="K64" s="76"/>
      <c r="L64" s="76"/>
      <c r="M64" s="76"/>
      <c r="N64" s="76"/>
      <c r="O64" s="100"/>
      <c r="P64" s="101"/>
      <c r="Q64" s="99"/>
      <c r="R64" s="89"/>
    </row>
    <row r="65" spans="1:18">
      <c r="A65" s="95"/>
      <c r="B65" s="129" t="s">
        <v>258</v>
      </c>
      <c r="C65" s="76"/>
      <c r="D65" s="78"/>
      <c r="E65" s="90"/>
      <c r="F65" s="77"/>
      <c r="G65" s="77"/>
      <c r="H65" s="77"/>
      <c r="I65" s="77"/>
      <c r="J65" s="77"/>
      <c r="K65" s="77"/>
      <c r="L65" s="77"/>
      <c r="M65" s="77"/>
      <c r="N65" s="77"/>
      <c r="O65" s="77"/>
      <c r="P65" s="77"/>
      <c r="Q65" s="96"/>
      <c r="R65" s="85"/>
    </row>
    <row r="66" spans="1:18">
      <c r="A66" s="95"/>
      <c r="B66" s="129" t="s">
        <v>258</v>
      </c>
      <c r="C66" s="76"/>
      <c r="D66" s="78"/>
      <c r="E66" s="90"/>
      <c r="F66" s="77"/>
      <c r="G66" s="77"/>
      <c r="H66" s="77"/>
      <c r="I66" s="77"/>
      <c r="J66" s="77"/>
      <c r="K66" s="77"/>
      <c r="L66" s="77"/>
      <c r="M66" s="77"/>
      <c r="N66" s="77"/>
      <c r="O66" s="77"/>
      <c r="P66" s="77"/>
      <c r="Q66" s="96"/>
      <c r="R66" s="85"/>
    </row>
    <row r="67" spans="1:18">
      <c r="A67" s="95"/>
      <c r="B67" s="129" t="s">
        <v>258</v>
      </c>
      <c r="C67" s="76"/>
      <c r="D67" s="78"/>
      <c r="E67" s="90"/>
      <c r="F67" s="77"/>
      <c r="G67" s="77"/>
      <c r="H67" s="77"/>
      <c r="I67" s="77"/>
      <c r="J67" s="77"/>
      <c r="K67" s="77"/>
      <c r="L67" s="77"/>
      <c r="M67" s="77"/>
      <c r="N67" s="77"/>
      <c r="O67" s="77"/>
      <c r="P67" s="77"/>
      <c r="Q67" s="96"/>
      <c r="R67" s="85"/>
    </row>
    <row r="68" spans="1:18" ht="25.5">
      <c r="A68" s="95"/>
      <c r="B68" s="133" t="s">
        <v>116</v>
      </c>
      <c r="C68" s="76"/>
      <c r="D68" s="78"/>
      <c r="E68" s="90"/>
      <c r="F68" s="97"/>
      <c r="G68" s="91"/>
      <c r="H68" s="91"/>
      <c r="I68" s="76"/>
      <c r="J68" s="91"/>
      <c r="K68" s="76"/>
      <c r="L68" s="76"/>
      <c r="M68" s="76"/>
      <c r="N68" s="76"/>
      <c r="O68" s="100"/>
      <c r="P68" s="101"/>
      <c r="Q68" s="99"/>
      <c r="R68" s="89"/>
    </row>
    <row r="69" spans="1:18">
      <c r="A69" s="95"/>
      <c r="B69" s="129" t="s">
        <v>258</v>
      </c>
      <c r="C69" s="76"/>
      <c r="D69" s="78"/>
      <c r="E69" s="90"/>
      <c r="F69" s="77"/>
      <c r="G69" s="77"/>
      <c r="H69" s="77"/>
      <c r="I69" s="77"/>
      <c r="J69" s="77"/>
      <c r="K69" s="77"/>
      <c r="L69" s="77"/>
      <c r="M69" s="77"/>
      <c r="N69" s="77"/>
      <c r="O69" s="77"/>
      <c r="P69" s="77"/>
      <c r="Q69" s="96"/>
      <c r="R69" s="85"/>
    </row>
    <row r="70" spans="1:18">
      <c r="A70" s="95"/>
      <c r="B70" s="129" t="s">
        <v>258</v>
      </c>
      <c r="C70" s="76"/>
      <c r="D70" s="78"/>
      <c r="E70" s="90"/>
      <c r="F70" s="77"/>
      <c r="G70" s="77"/>
      <c r="H70" s="77"/>
      <c r="I70" s="77"/>
      <c r="J70" s="77"/>
      <c r="K70" s="77"/>
      <c r="L70" s="77"/>
      <c r="M70" s="77"/>
      <c r="N70" s="77"/>
      <c r="O70" s="77"/>
      <c r="P70" s="77"/>
      <c r="Q70" s="96"/>
      <c r="R70" s="85"/>
    </row>
    <row r="71" spans="1:18">
      <c r="A71" s="95"/>
      <c r="B71" s="129" t="s">
        <v>258</v>
      </c>
      <c r="C71" s="76"/>
      <c r="D71" s="78"/>
      <c r="E71" s="90"/>
      <c r="F71" s="77"/>
      <c r="G71" s="77"/>
      <c r="H71" s="77"/>
      <c r="I71" s="77"/>
      <c r="J71" s="77"/>
      <c r="K71" s="77"/>
      <c r="L71" s="77"/>
      <c r="M71" s="77"/>
      <c r="N71" s="77"/>
      <c r="O71" s="77"/>
      <c r="P71" s="77"/>
      <c r="Q71" s="96"/>
      <c r="R71" s="85"/>
    </row>
    <row r="72" spans="1:18">
      <c r="A72" s="95"/>
      <c r="B72" s="132" t="s">
        <v>119</v>
      </c>
      <c r="C72" s="76"/>
      <c r="D72" s="78"/>
      <c r="E72" s="90"/>
      <c r="F72" s="97"/>
      <c r="G72" s="91"/>
      <c r="H72" s="91"/>
      <c r="I72" s="76"/>
      <c r="J72" s="91"/>
      <c r="K72" s="76"/>
      <c r="L72" s="76"/>
      <c r="M72" s="76"/>
      <c r="N72" s="76"/>
      <c r="O72" s="100"/>
      <c r="P72" s="101"/>
      <c r="Q72" s="99"/>
      <c r="R72" s="89"/>
    </row>
    <row r="73" spans="1:18">
      <c r="A73" s="95"/>
      <c r="B73" s="129" t="s">
        <v>1548</v>
      </c>
      <c r="C73" s="621">
        <v>1</v>
      </c>
      <c r="D73" s="78">
        <v>240000</v>
      </c>
      <c r="E73" s="90"/>
      <c r="F73" s="620"/>
      <c r="G73" s="620"/>
      <c r="H73" s="620"/>
      <c r="I73" s="620"/>
      <c r="J73" s="620"/>
      <c r="K73" s="620"/>
      <c r="L73" s="620"/>
      <c r="M73" s="620"/>
      <c r="N73" s="620"/>
      <c r="O73" s="620"/>
      <c r="P73" s="620"/>
      <c r="Q73" s="96"/>
      <c r="R73" s="85"/>
    </row>
    <row r="74" spans="1:18">
      <c r="A74" s="95"/>
      <c r="B74" s="129" t="s">
        <v>1639</v>
      </c>
      <c r="C74" s="621">
        <v>3</v>
      </c>
      <c r="D74" s="78">
        <v>468000</v>
      </c>
      <c r="E74" s="90"/>
      <c r="F74" s="620"/>
      <c r="G74" s="620"/>
      <c r="H74" s="620"/>
      <c r="I74" s="620"/>
      <c r="J74" s="620"/>
      <c r="K74" s="620"/>
      <c r="L74" s="620"/>
      <c r="M74" s="620"/>
      <c r="N74" s="620"/>
      <c r="O74" s="620"/>
      <c r="P74" s="620"/>
      <c r="Q74" s="96"/>
      <c r="R74" s="85"/>
    </row>
    <row r="75" spans="1:18">
      <c r="A75" s="95"/>
      <c r="B75" s="129" t="s">
        <v>1641</v>
      </c>
      <c r="C75" s="621">
        <v>1</v>
      </c>
      <c r="D75" s="78">
        <v>300000</v>
      </c>
      <c r="E75" s="90"/>
      <c r="F75" s="620"/>
      <c r="G75" s="620"/>
      <c r="H75" s="620"/>
      <c r="I75" s="620"/>
      <c r="J75" s="620"/>
      <c r="K75" s="620"/>
      <c r="L75" s="620"/>
      <c r="M75" s="620"/>
      <c r="N75" s="620"/>
      <c r="O75" s="620"/>
      <c r="P75" s="620"/>
      <c r="Q75" s="96"/>
      <c r="R75" s="85"/>
    </row>
    <row r="76" spans="1:18">
      <c r="A76" s="95"/>
      <c r="B76" s="129" t="s">
        <v>1640</v>
      </c>
      <c r="C76" s="76">
        <v>1</v>
      </c>
      <c r="D76" s="78">
        <v>120000</v>
      </c>
      <c r="E76" s="90"/>
      <c r="F76" s="77"/>
      <c r="G76" s="77"/>
      <c r="H76" s="77"/>
      <c r="I76" s="77"/>
      <c r="J76" s="77"/>
      <c r="K76" s="77"/>
      <c r="L76" s="77"/>
      <c r="M76" s="77"/>
      <c r="N76" s="77"/>
      <c r="O76" s="77"/>
      <c r="P76" s="77"/>
      <c r="Q76" s="96"/>
      <c r="R76" s="85"/>
    </row>
    <row r="77" spans="1:18" ht="21">
      <c r="A77" s="95"/>
      <c r="B77" s="129" t="s">
        <v>1538</v>
      </c>
      <c r="C77" s="76">
        <v>1</v>
      </c>
      <c r="D77" s="78">
        <v>25000</v>
      </c>
      <c r="E77" s="90"/>
      <c r="F77" s="77"/>
      <c r="G77" s="77"/>
      <c r="H77" s="77"/>
      <c r="I77" s="77"/>
      <c r="J77" s="77"/>
      <c r="K77" s="77"/>
      <c r="L77" s="77"/>
      <c r="M77" s="77"/>
      <c r="N77" s="77"/>
      <c r="O77" s="77"/>
      <c r="P77" s="77"/>
      <c r="Q77" s="96"/>
      <c r="R77" s="85"/>
    </row>
    <row r="78" spans="1:18">
      <c r="A78" s="95"/>
      <c r="B78" s="129" t="s">
        <v>1541</v>
      </c>
      <c r="C78" s="623">
        <v>2</v>
      </c>
      <c r="D78" s="78">
        <v>25000</v>
      </c>
      <c r="E78" s="90"/>
      <c r="F78" s="622"/>
      <c r="G78" s="622"/>
      <c r="H78" s="622"/>
      <c r="I78" s="622"/>
      <c r="J78" s="622"/>
      <c r="K78" s="622"/>
      <c r="L78" s="622"/>
      <c r="M78" s="622"/>
      <c r="N78" s="622"/>
      <c r="O78" s="622"/>
      <c r="P78" s="622"/>
      <c r="Q78" s="96"/>
      <c r="R78" s="85"/>
    </row>
    <row r="79" spans="1:18">
      <c r="A79" s="95"/>
      <c r="B79" s="62"/>
      <c r="C79" s="76"/>
      <c r="D79" s="78"/>
      <c r="E79" s="90"/>
      <c r="F79" s="77"/>
      <c r="G79" s="77"/>
      <c r="H79" s="77"/>
      <c r="I79" s="77"/>
      <c r="J79" s="77"/>
      <c r="K79" s="77"/>
      <c r="L79" s="77"/>
      <c r="M79" s="77"/>
      <c r="N79" s="77"/>
      <c r="O79" s="77"/>
      <c r="P79" s="77"/>
      <c r="Q79" s="96"/>
      <c r="R79" s="85"/>
    </row>
    <row r="80" spans="1:18">
      <c r="A80" s="95"/>
      <c r="B80" s="133" t="s">
        <v>123</v>
      </c>
      <c r="C80" s="76"/>
      <c r="D80" s="78"/>
      <c r="E80" s="90"/>
      <c r="F80" s="97"/>
      <c r="G80" s="91"/>
      <c r="H80" s="91"/>
      <c r="I80" s="76"/>
      <c r="J80" s="91"/>
      <c r="K80" s="76"/>
      <c r="L80" s="76"/>
      <c r="M80" s="76"/>
      <c r="N80" s="76"/>
      <c r="O80" s="100"/>
      <c r="P80" s="101"/>
      <c r="Q80" s="99"/>
      <c r="R80" s="89"/>
    </row>
    <row r="81" spans="1:18">
      <c r="A81" s="95"/>
      <c r="B81" s="129" t="s">
        <v>1528</v>
      </c>
      <c r="C81" s="76">
        <v>1</v>
      </c>
      <c r="D81" s="78">
        <v>300000</v>
      </c>
      <c r="E81" s="90"/>
      <c r="F81" s="77"/>
      <c r="G81" s="77"/>
      <c r="H81" s="77"/>
      <c r="I81" s="77"/>
      <c r="J81" s="77"/>
      <c r="K81" s="77"/>
      <c r="L81" s="77"/>
      <c r="M81" s="77"/>
      <c r="N81" s="77"/>
      <c r="O81" s="77"/>
      <c r="P81" s="77"/>
      <c r="Q81" s="96"/>
      <c r="R81" s="85"/>
    </row>
    <row r="82" spans="1:18">
      <c r="A82" s="95"/>
      <c r="B82" s="129" t="s">
        <v>1528</v>
      </c>
      <c r="C82" s="76">
        <v>1</v>
      </c>
      <c r="D82" s="78">
        <v>216000</v>
      </c>
      <c r="E82" s="90"/>
      <c r="F82" s="77"/>
      <c r="G82" s="77"/>
      <c r="H82" s="77"/>
      <c r="I82" s="77"/>
      <c r="J82" s="77"/>
      <c r="K82" s="77"/>
      <c r="L82" s="77"/>
      <c r="M82" s="77"/>
      <c r="N82" s="77"/>
      <c r="O82" s="77"/>
      <c r="P82" s="77"/>
      <c r="Q82" s="96"/>
      <c r="R82" s="85"/>
    </row>
    <row r="83" spans="1:18">
      <c r="A83" s="95"/>
      <c r="B83" s="505" t="s">
        <v>1532</v>
      </c>
      <c r="C83" s="76">
        <v>1</v>
      </c>
      <c r="D83" s="78">
        <v>55000</v>
      </c>
      <c r="E83" s="90"/>
      <c r="F83" s="77"/>
      <c r="G83" s="77"/>
      <c r="H83" s="77"/>
      <c r="I83" s="77"/>
      <c r="J83" s="77"/>
      <c r="K83" s="77"/>
      <c r="L83" s="77"/>
      <c r="M83" s="77"/>
      <c r="N83" s="77"/>
      <c r="O83" s="77"/>
      <c r="P83" s="77"/>
      <c r="Q83" s="96"/>
      <c r="R83" s="85"/>
    </row>
    <row r="84" spans="1:18" ht="25.5">
      <c r="A84" s="95"/>
      <c r="B84" s="133" t="s">
        <v>124</v>
      </c>
      <c r="C84" s="76"/>
      <c r="D84" s="78"/>
      <c r="E84" s="90"/>
      <c r="F84" s="97"/>
      <c r="G84" s="91"/>
      <c r="H84" s="91"/>
      <c r="I84" s="76"/>
      <c r="J84" s="91"/>
      <c r="K84" s="76"/>
      <c r="L84" s="76"/>
      <c r="M84" s="76"/>
      <c r="N84" s="76"/>
      <c r="O84" s="100"/>
      <c r="P84" s="101"/>
      <c r="Q84" s="99"/>
      <c r="R84" s="89"/>
    </row>
    <row r="85" spans="1:18">
      <c r="A85" s="95"/>
      <c r="B85" s="129" t="s">
        <v>258</v>
      </c>
      <c r="C85" s="76"/>
      <c r="D85" s="78"/>
      <c r="E85" s="90"/>
      <c r="F85" s="77"/>
      <c r="G85" s="77"/>
      <c r="H85" s="77"/>
      <c r="I85" s="77"/>
      <c r="J85" s="77"/>
      <c r="K85" s="77"/>
      <c r="L85" s="77"/>
      <c r="M85" s="77"/>
      <c r="N85" s="77"/>
      <c r="O85" s="77"/>
      <c r="P85" s="77"/>
      <c r="Q85" s="96"/>
      <c r="R85" s="85"/>
    </row>
    <row r="86" spans="1:18">
      <c r="A86" s="95"/>
      <c r="B86" s="129" t="s">
        <v>258</v>
      </c>
      <c r="C86" s="76"/>
      <c r="D86" s="78"/>
      <c r="E86" s="90"/>
      <c r="F86" s="77"/>
      <c r="G86" s="77"/>
      <c r="H86" s="77"/>
      <c r="I86" s="77"/>
      <c r="J86" s="77"/>
      <c r="K86" s="77"/>
      <c r="L86" s="77"/>
      <c r="M86" s="77"/>
      <c r="N86" s="77"/>
      <c r="O86" s="77"/>
      <c r="P86" s="77"/>
      <c r="Q86" s="96"/>
      <c r="R86" s="85"/>
    </row>
    <row r="87" spans="1:18">
      <c r="A87" s="95"/>
      <c r="B87" s="129" t="s">
        <v>258</v>
      </c>
      <c r="C87" s="76"/>
      <c r="D87" s="78"/>
      <c r="E87" s="90"/>
      <c r="F87" s="77"/>
      <c r="G87" s="77"/>
      <c r="H87" s="77"/>
      <c r="I87" s="77"/>
      <c r="J87" s="77"/>
      <c r="K87" s="77"/>
      <c r="L87" s="77"/>
      <c r="M87" s="77"/>
      <c r="N87" s="77"/>
      <c r="O87" s="77"/>
      <c r="P87" s="77"/>
      <c r="Q87" s="96"/>
      <c r="R87" s="85"/>
    </row>
    <row r="88" spans="1:18" ht="25.5">
      <c r="A88" s="95"/>
      <c r="B88" s="133" t="s">
        <v>125</v>
      </c>
      <c r="C88" s="76"/>
      <c r="D88" s="78"/>
      <c r="E88" s="90"/>
      <c r="F88" s="97"/>
      <c r="G88" s="91"/>
      <c r="H88" s="91"/>
      <c r="I88" s="76"/>
      <c r="J88" s="91"/>
      <c r="K88" s="76"/>
      <c r="L88" s="76"/>
      <c r="M88" s="76"/>
      <c r="N88" s="76"/>
      <c r="O88" s="100"/>
      <c r="P88" s="101"/>
      <c r="Q88" s="99"/>
      <c r="R88" s="89"/>
    </row>
    <row r="89" spans="1:18">
      <c r="A89" s="95"/>
      <c r="B89" s="129" t="s">
        <v>258</v>
      </c>
      <c r="C89" s="76"/>
      <c r="D89" s="78"/>
      <c r="E89" s="90"/>
      <c r="F89" s="77"/>
      <c r="G89" s="77"/>
      <c r="H89" s="77"/>
      <c r="I89" s="77"/>
      <c r="J89" s="77"/>
      <c r="K89" s="77"/>
      <c r="L89" s="77"/>
      <c r="M89" s="77"/>
      <c r="N89" s="77"/>
      <c r="O89" s="77"/>
      <c r="P89" s="77"/>
      <c r="Q89" s="96"/>
      <c r="R89" s="85"/>
    </row>
    <row r="90" spans="1:18">
      <c r="A90" s="95"/>
      <c r="B90" s="129" t="s">
        <v>258</v>
      </c>
      <c r="C90" s="76"/>
      <c r="D90" s="78"/>
      <c r="E90" s="90"/>
      <c r="F90" s="77"/>
      <c r="G90" s="77"/>
      <c r="H90" s="77"/>
      <c r="I90" s="77"/>
      <c r="J90" s="77"/>
      <c r="K90" s="77"/>
      <c r="L90" s="77"/>
      <c r="M90" s="77"/>
      <c r="N90" s="77"/>
      <c r="O90" s="77"/>
      <c r="P90" s="77"/>
      <c r="Q90" s="96"/>
      <c r="R90" s="85"/>
    </row>
    <row r="91" spans="1:18">
      <c r="A91" s="95"/>
      <c r="B91" s="129" t="s">
        <v>258</v>
      </c>
      <c r="C91" s="76"/>
      <c r="D91" s="78"/>
      <c r="E91" s="90"/>
      <c r="F91" s="77"/>
      <c r="G91" s="77"/>
      <c r="H91" s="77"/>
      <c r="I91" s="77"/>
      <c r="J91" s="77"/>
      <c r="K91" s="77"/>
      <c r="L91" s="77"/>
      <c r="M91" s="77"/>
      <c r="N91" s="77"/>
      <c r="O91" s="77"/>
      <c r="P91" s="77"/>
      <c r="Q91" s="96"/>
      <c r="R91" s="85"/>
    </row>
    <row r="92" spans="1:18" ht="25.5">
      <c r="A92" s="95"/>
      <c r="B92" s="133" t="s">
        <v>126</v>
      </c>
      <c r="C92" s="76"/>
      <c r="D92" s="78"/>
      <c r="E92" s="90"/>
      <c r="F92" s="97"/>
      <c r="G92" s="91"/>
      <c r="H92" s="91"/>
      <c r="I92" s="76"/>
      <c r="J92" s="91"/>
      <c r="K92" s="76"/>
      <c r="L92" s="76"/>
      <c r="M92" s="76"/>
      <c r="N92" s="76"/>
      <c r="O92" s="100"/>
      <c r="P92" s="101"/>
      <c r="Q92" s="99"/>
      <c r="R92" s="89"/>
    </row>
    <row r="93" spans="1:18">
      <c r="A93" s="95"/>
      <c r="B93" s="129" t="s">
        <v>258</v>
      </c>
      <c r="C93" s="76"/>
      <c r="D93" s="78"/>
      <c r="E93" s="90"/>
      <c r="F93" s="77"/>
      <c r="G93" s="77"/>
      <c r="H93" s="77"/>
      <c r="I93" s="77"/>
      <c r="J93" s="77"/>
      <c r="K93" s="77"/>
      <c r="L93" s="77"/>
      <c r="M93" s="77"/>
      <c r="N93" s="77"/>
      <c r="O93" s="77"/>
      <c r="P93" s="77"/>
      <c r="Q93" s="96"/>
      <c r="R93" s="85"/>
    </row>
    <row r="94" spans="1:18">
      <c r="A94" s="95"/>
      <c r="B94" s="129" t="s">
        <v>258</v>
      </c>
      <c r="C94" s="76"/>
      <c r="D94" s="78"/>
      <c r="E94" s="90"/>
      <c r="F94" s="77"/>
      <c r="G94" s="77"/>
      <c r="H94" s="77"/>
      <c r="I94" s="77"/>
      <c r="J94" s="77"/>
      <c r="K94" s="77"/>
      <c r="L94" s="77"/>
      <c r="M94" s="77"/>
      <c r="N94" s="77"/>
      <c r="O94" s="77"/>
      <c r="P94" s="77"/>
      <c r="Q94" s="96"/>
      <c r="R94" s="85"/>
    </row>
    <row r="95" spans="1:18">
      <c r="A95" s="95"/>
      <c r="B95" s="129" t="s">
        <v>258</v>
      </c>
      <c r="C95" s="76"/>
      <c r="D95" s="78"/>
      <c r="E95" s="90"/>
      <c r="F95" s="77"/>
      <c r="G95" s="77"/>
      <c r="H95" s="77"/>
      <c r="I95" s="77"/>
      <c r="J95" s="77"/>
      <c r="K95" s="77"/>
      <c r="L95" s="77"/>
      <c r="M95" s="77"/>
      <c r="N95" s="77"/>
      <c r="O95" s="77"/>
      <c r="P95" s="77"/>
      <c r="Q95" s="96"/>
      <c r="R95" s="85"/>
    </row>
    <row r="96" spans="1:18" ht="25.5">
      <c r="A96" s="95"/>
      <c r="B96" s="133" t="s">
        <v>127</v>
      </c>
      <c r="C96" s="76"/>
      <c r="D96" s="78"/>
      <c r="E96" s="90"/>
      <c r="F96" s="97"/>
      <c r="G96" s="91"/>
      <c r="H96" s="91"/>
      <c r="I96" s="76"/>
      <c r="J96" s="91"/>
      <c r="K96" s="76"/>
      <c r="L96" s="76"/>
      <c r="M96" s="76"/>
      <c r="N96" s="76"/>
      <c r="O96" s="100"/>
      <c r="P96" s="101"/>
      <c r="Q96" s="99"/>
      <c r="R96" s="89"/>
    </row>
    <row r="97" spans="1:18">
      <c r="A97" s="95"/>
      <c r="B97" s="129" t="s">
        <v>258</v>
      </c>
      <c r="C97" s="76"/>
      <c r="D97" s="78"/>
      <c r="E97" s="90"/>
      <c r="F97" s="77"/>
      <c r="G97" s="77"/>
      <c r="H97" s="77"/>
      <c r="I97" s="77"/>
      <c r="J97" s="77"/>
      <c r="K97" s="77"/>
      <c r="L97" s="77"/>
      <c r="M97" s="77"/>
      <c r="N97" s="77"/>
      <c r="O97" s="77"/>
      <c r="P97" s="77"/>
      <c r="Q97" s="96"/>
      <c r="R97" s="85"/>
    </row>
    <row r="98" spans="1:18">
      <c r="A98" s="95"/>
      <c r="B98" s="129" t="s">
        <v>258</v>
      </c>
      <c r="C98" s="76"/>
      <c r="D98" s="78"/>
      <c r="E98" s="90"/>
      <c r="F98" s="77"/>
      <c r="G98" s="77"/>
      <c r="H98" s="77"/>
      <c r="I98" s="77"/>
      <c r="J98" s="77"/>
      <c r="K98" s="77"/>
      <c r="L98" s="77"/>
      <c r="M98" s="77"/>
      <c r="N98" s="77"/>
      <c r="O98" s="77"/>
      <c r="P98" s="77"/>
      <c r="Q98" s="96"/>
      <c r="R98" s="85"/>
    </row>
    <row r="99" spans="1:18">
      <c r="A99" s="95"/>
      <c r="B99" s="129" t="s">
        <v>258</v>
      </c>
      <c r="C99" s="76"/>
      <c r="D99" s="78"/>
      <c r="E99" s="90"/>
      <c r="F99" s="77"/>
      <c r="G99" s="77"/>
      <c r="H99" s="77"/>
      <c r="I99" s="77"/>
      <c r="J99" s="77"/>
      <c r="K99" s="77"/>
      <c r="L99" s="77"/>
      <c r="M99" s="77"/>
      <c r="N99" s="77"/>
      <c r="O99" s="77"/>
      <c r="P99" s="77"/>
      <c r="Q99" s="96"/>
      <c r="R99" s="85"/>
    </row>
    <row r="100" spans="1:18">
      <c r="A100" s="95"/>
      <c r="B100" s="132" t="s">
        <v>128</v>
      </c>
      <c r="C100" s="76"/>
      <c r="D100" s="78"/>
      <c r="E100" s="90"/>
      <c r="F100" s="97"/>
      <c r="G100" s="91"/>
      <c r="H100" s="91"/>
      <c r="I100" s="76"/>
      <c r="J100" s="91"/>
      <c r="K100" s="76"/>
      <c r="L100" s="76"/>
      <c r="M100" s="76"/>
      <c r="N100" s="76"/>
      <c r="O100" s="100"/>
      <c r="P100" s="101"/>
      <c r="Q100" s="99"/>
      <c r="R100" s="89"/>
    </row>
    <row r="101" spans="1:18">
      <c r="A101" s="95"/>
      <c r="B101" s="129" t="s">
        <v>258</v>
      </c>
      <c r="C101" s="76"/>
      <c r="D101" s="78"/>
      <c r="E101" s="90"/>
      <c r="F101" s="77"/>
      <c r="G101" s="77"/>
      <c r="H101" s="77"/>
      <c r="I101" s="77"/>
      <c r="J101" s="77"/>
      <c r="K101" s="77"/>
      <c r="L101" s="77"/>
      <c r="M101" s="77"/>
      <c r="N101" s="77"/>
      <c r="O101" s="77"/>
      <c r="P101" s="77"/>
      <c r="Q101" s="96"/>
      <c r="R101" s="85"/>
    </row>
    <row r="102" spans="1:18">
      <c r="A102" s="95"/>
      <c r="B102" s="129" t="s">
        <v>258</v>
      </c>
      <c r="C102" s="76"/>
      <c r="D102" s="78"/>
      <c r="E102" s="90"/>
      <c r="F102" s="77"/>
      <c r="G102" s="77"/>
      <c r="H102" s="77"/>
      <c r="I102" s="77"/>
      <c r="J102" s="77"/>
      <c r="K102" s="77"/>
      <c r="L102" s="77"/>
      <c r="M102" s="77"/>
      <c r="N102" s="77"/>
      <c r="O102" s="77"/>
      <c r="P102" s="77"/>
      <c r="Q102" s="96"/>
      <c r="R102" s="85"/>
    </row>
    <row r="103" spans="1:18">
      <c r="A103" s="95"/>
      <c r="B103" s="129" t="s">
        <v>258</v>
      </c>
      <c r="C103" s="76"/>
      <c r="D103" s="78"/>
      <c r="E103" s="90"/>
      <c r="F103" s="77"/>
      <c r="G103" s="77"/>
      <c r="H103" s="77"/>
      <c r="I103" s="77"/>
      <c r="J103" s="77"/>
      <c r="K103" s="77"/>
      <c r="L103" s="77"/>
      <c r="M103" s="77"/>
      <c r="N103" s="77"/>
      <c r="O103" s="77"/>
      <c r="P103" s="77"/>
      <c r="Q103" s="96"/>
      <c r="R103" s="85"/>
    </row>
    <row r="104" spans="1:18">
      <c r="A104" s="95"/>
      <c r="B104" s="132" t="s">
        <v>130</v>
      </c>
      <c r="C104" s="76"/>
      <c r="D104" s="78"/>
      <c r="E104" s="90"/>
      <c r="F104" s="97"/>
      <c r="G104" s="91"/>
      <c r="H104" s="91"/>
      <c r="I104" s="76"/>
      <c r="J104" s="91"/>
      <c r="K104" s="76"/>
      <c r="L104" s="76"/>
      <c r="M104" s="76"/>
      <c r="N104" s="76"/>
      <c r="O104" s="100"/>
      <c r="P104" s="101"/>
      <c r="Q104" s="99"/>
      <c r="R104" s="89"/>
    </row>
    <row r="105" spans="1:18">
      <c r="A105" s="95"/>
      <c r="B105" s="129" t="s">
        <v>258</v>
      </c>
      <c r="C105" s="76"/>
      <c r="D105" s="78"/>
      <c r="E105" s="90"/>
      <c r="F105" s="77"/>
      <c r="G105" s="77"/>
      <c r="H105" s="77"/>
      <c r="I105" s="77"/>
      <c r="J105" s="77"/>
      <c r="K105" s="77"/>
      <c r="L105" s="77"/>
      <c r="M105" s="77"/>
      <c r="N105" s="77"/>
      <c r="O105" s="77"/>
      <c r="P105" s="77"/>
      <c r="Q105" s="96"/>
      <c r="R105" s="85"/>
    </row>
    <row r="106" spans="1:18">
      <c r="A106" s="95"/>
      <c r="B106" s="129" t="s">
        <v>258</v>
      </c>
      <c r="C106" s="76"/>
      <c r="D106" s="78"/>
      <c r="E106" s="90"/>
      <c r="F106" s="77"/>
      <c r="G106" s="77"/>
      <c r="H106" s="77"/>
      <c r="I106" s="77"/>
      <c r="J106" s="77"/>
      <c r="K106" s="77"/>
      <c r="L106" s="77"/>
      <c r="M106" s="77"/>
      <c r="N106" s="77"/>
      <c r="O106" s="77"/>
      <c r="P106" s="77"/>
      <c r="Q106" s="96"/>
      <c r="R106" s="85"/>
    </row>
    <row r="107" spans="1:18">
      <c r="A107" s="95"/>
      <c r="B107" s="129" t="s">
        <v>258</v>
      </c>
      <c r="C107" s="76"/>
      <c r="D107" s="78"/>
      <c r="E107" s="90"/>
      <c r="F107" s="77"/>
      <c r="G107" s="77"/>
      <c r="H107" s="77"/>
      <c r="I107" s="77"/>
      <c r="J107" s="77"/>
      <c r="K107" s="77"/>
      <c r="L107" s="77"/>
      <c r="M107" s="77"/>
      <c r="N107" s="77"/>
      <c r="O107" s="77"/>
      <c r="P107" s="77"/>
      <c r="Q107" s="96"/>
      <c r="R107" s="85"/>
    </row>
    <row r="108" spans="1:18">
      <c r="A108" s="95"/>
      <c r="B108" s="132" t="s">
        <v>131</v>
      </c>
      <c r="C108" s="76"/>
      <c r="D108" s="78"/>
      <c r="E108" s="90"/>
      <c r="F108" s="97"/>
      <c r="G108" s="91"/>
      <c r="H108" s="91"/>
      <c r="I108" s="76"/>
      <c r="J108" s="91"/>
      <c r="K108" s="76"/>
      <c r="L108" s="76"/>
      <c r="M108" s="76"/>
      <c r="N108" s="76"/>
      <c r="O108" s="100"/>
      <c r="P108" s="101"/>
      <c r="Q108" s="99"/>
      <c r="R108" s="89"/>
    </row>
    <row r="109" spans="1:18">
      <c r="A109" s="95"/>
      <c r="B109" s="129" t="s">
        <v>258</v>
      </c>
      <c r="C109" s="76"/>
      <c r="D109" s="78"/>
      <c r="E109" s="90"/>
      <c r="F109" s="77"/>
      <c r="G109" s="77"/>
      <c r="H109" s="77"/>
      <c r="I109" s="77"/>
      <c r="J109" s="77"/>
      <c r="K109" s="77"/>
      <c r="L109" s="77"/>
      <c r="M109" s="77"/>
      <c r="N109" s="77"/>
      <c r="O109" s="77"/>
      <c r="P109" s="77"/>
      <c r="Q109" s="96"/>
      <c r="R109" s="85"/>
    </row>
    <row r="110" spans="1:18">
      <c r="A110" s="95"/>
      <c r="B110" s="129" t="s">
        <v>258</v>
      </c>
      <c r="C110" s="76"/>
      <c r="D110" s="78"/>
      <c r="E110" s="90"/>
      <c r="F110" s="77"/>
      <c r="G110" s="77"/>
      <c r="H110" s="77"/>
      <c r="I110" s="77"/>
      <c r="J110" s="77"/>
      <c r="K110" s="77"/>
      <c r="L110" s="77"/>
      <c r="M110" s="77"/>
      <c r="N110" s="77"/>
      <c r="O110" s="77"/>
      <c r="P110" s="77"/>
      <c r="Q110" s="96"/>
      <c r="R110" s="85"/>
    </row>
    <row r="111" spans="1:18">
      <c r="A111" s="95"/>
      <c r="B111" s="129" t="s">
        <v>258</v>
      </c>
      <c r="C111" s="76"/>
      <c r="D111" s="78"/>
      <c r="E111" s="90"/>
      <c r="F111" s="77"/>
      <c r="G111" s="77"/>
      <c r="H111" s="77"/>
      <c r="I111" s="77"/>
      <c r="J111" s="77"/>
      <c r="K111" s="77"/>
      <c r="L111" s="77"/>
      <c r="M111" s="77"/>
      <c r="N111" s="77"/>
      <c r="O111" s="77"/>
      <c r="P111" s="77"/>
      <c r="Q111" s="96"/>
      <c r="R111" s="85"/>
    </row>
    <row r="112" spans="1:18">
      <c r="A112" s="95"/>
      <c r="B112" s="134" t="s">
        <v>133</v>
      </c>
      <c r="C112" s="76"/>
      <c r="D112" s="78"/>
      <c r="E112" s="90"/>
      <c r="F112" s="97"/>
      <c r="G112" s="91"/>
      <c r="H112" s="91"/>
      <c r="I112" s="76"/>
      <c r="J112" s="91"/>
      <c r="K112" s="76"/>
      <c r="L112" s="76"/>
      <c r="M112" s="76"/>
      <c r="N112" s="76"/>
      <c r="O112" s="100"/>
      <c r="P112" s="101"/>
      <c r="Q112" s="99"/>
      <c r="R112" s="89"/>
    </row>
    <row r="113" spans="1:18">
      <c r="A113" s="95"/>
      <c r="B113" s="129" t="s">
        <v>258</v>
      </c>
      <c r="C113" s="76"/>
      <c r="D113" s="78"/>
      <c r="E113" s="90"/>
      <c r="F113" s="77"/>
      <c r="G113" s="77"/>
      <c r="H113" s="77"/>
      <c r="I113" s="77"/>
      <c r="J113" s="77"/>
      <c r="K113" s="77"/>
      <c r="L113" s="77"/>
      <c r="M113" s="77"/>
      <c r="N113" s="77"/>
      <c r="O113" s="77"/>
      <c r="P113" s="77"/>
      <c r="Q113" s="96"/>
      <c r="R113" s="85"/>
    </row>
    <row r="114" spans="1:18">
      <c r="A114" s="95"/>
      <c r="B114" s="129" t="s">
        <v>258</v>
      </c>
      <c r="C114" s="76"/>
      <c r="D114" s="78"/>
      <c r="E114" s="90"/>
      <c r="F114" s="77"/>
      <c r="G114" s="77"/>
      <c r="H114" s="77"/>
      <c r="I114" s="77"/>
      <c r="J114" s="77"/>
      <c r="K114" s="77"/>
      <c r="L114" s="77"/>
      <c r="M114" s="77"/>
      <c r="N114" s="77"/>
      <c r="O114" s="77"/>
      <c r="P114" s="77"/>
      <c r="Q114" s="96"/>
      <c r="R114" s="85"/>
    </row>
    <row r="115" spans="1:18">
      <c r="A115" s="95"/>
      <c r="B115" s="129" t="s">
        <v>258</v>
      </c>
      <c r="C115" s="76"/>
      <c r="D115" s="78"/>
      <c r="E115" s="90"/>
      <c r="F115" s="77"/>
      <c r="G115" s="77"/>
      <c r="H115" s="77"/>
      <c r="I115" s="77"/>
      <c r="J115" s="77"/>
      <c r="K115" s="77"/>
      <c r="L115" s="77"/>
      <c r="M115" s="77"/>
      <c r="N115" s="77"/>
      <c r="O115" s="77"/>
      <c r="P115" s="77"/>
      <c r="Q115" s="96"/>
      <c r="R115" s="85"/>
    </row>
    <row r="116" spans="1:18">
      <c r="A116" s="95"/>
      <c r="B116" s="132" t="s">
        <v>134</v>
      </c>
      <c r="C116" s="76"/>
      <c r="D116" s="78"/>
      <c r="E116" s="90"/>
      <c r="F116" s="97"/>
      <c r="G116" s="91"/>
      <c r="H116" s="91"/>
      <c r="I116" s="76"/>
      <c r="J116" s="91"/>
      <c r="K116" s="76"/>
      <c r="L116" s="76"/>
      <c r="M116" s="76"/>
      <c r="N116" s="76"/>
      <c r="O116" s="100"/>
      <c r="P116" s="101"/>
      <c r="Q116" s="99"/>
      <c r="R116" s="89"/>
    </row>
    <row r="117" spans="1:18">
      <c r="A117" s="95"/>
      <c r="B117" s="129" t="s">
        <v>258</v>
      </c>
      <c r="C117" s="76"/>
      <c r="D117" s="78"/>
      <c r="E117" s="90"/>
      <c r="F117" s="77"/>
      <c r="G117" s="77"/>
      <c r="H117" s="77"/>
      <c r="I117" s="77"/>
      <c r="J117" s="77"/>
      <c r="K117" s="77"/>
      <c r="L117" s="77"/>
      <c r="M117" s="77"/>
      <c r="N117" s="77"/>
      <c r="O117" s="77"/>
      <c r="P117" s="77"/>
      <c r="Q117" s="96"/>
      <c r="R117" s="85"/>
    </row>
    <row r="118" spans="1:18">
      <c r="A118" s="95"/>
      <c r="B118" s="129" t="s">
        <v>258</v>
      </c>
      <c r="C118" s="76"/>
      <c r="D118" s="78"/>
      <c r="E118" s="90"/>
      <c r="F118" s="77"/>
      <c r="G118" s="77"/>
      <c r="H118" s="77"/>
      <c r="I118" s="77"/>
      <c r="J118" s="77"/>
      <c r="K118" s="77"/>
      <c r="L118" s="77"/>
      <c r="M118" s="77"/>
      <c r="N118" s="77"/>
      <c r="O118" s="77"/>
      <c r="P118" s="77"/>
      <c r="Q118" s="96"/>
      <c r="R118" s="85"/>
    </row>
    <row r="119" spans="1:18">
      <c r="A119" s="95"/>
      <c r="B119" s="129" t="s">
        <v>258</v>
      </c>
      <c r="C119" s="76"/>
      <c r="D119" s="78"/>
      <c r="E119" s="90"/>
      <c r="F119" s="77"/>
      <c r="G119" s="77"/>
      <c r="H119" s="77"/>
      <c r="I119" s="77"/>
      <c r="J119" s="77"/>
      <c r="K119" s="77"/>
      <c r="L119" s="77"/>
      <c r="M119" s="77"/>
      <c r="N119" s="77"/>
      <c r="O119" s="77"/>
      <c r="P119" s="77"/>
      <c r="Q119" s="96"/>
      <c r="R119" s="85"/>
    </row>
    <row r="120" spans="1:18" ht="25.5">
      <c r="A120" s="95"/>
      <c r="B120" s="133" t="s">
        <v>178</v>
      </c>
      <c r="C120" s="76"/>
      <c r="D120" s="78"/>
      <c r="E120" s="90"/>
      <c r="F120" s="97"/>
      <c r="G120" s="91"/>
      <c r="H120" s="91"/>
      <c r="I120" s="76"/>
      <c r="J120" s="91"/>
      <c r="K120" s="76"/>
      <c r="L120" s="76"/>
      <c r="M120" s="76"/>
      <c r="N120" s="76"/>
      <c r="O120" s="100"/>
      <c r="P120" s="101"/>
      <c r="Q120" s="99"/>
      <c r="R120" s="89"/>
    </row>
    <row r="121" spans="1:18">
      <c r="A121" s="95"/>
      <c r="B121" s="129" t="s">
        <v>258</v>
      </c>
      <c r="C121" s="76"/>
      <c r="D121" s="78"/>
      <c r="E121" s="90"/>
      <c r="F121" s="77"/>
      <c r="G121" s="77"/>
      <c r="H121" s="77"/>
      <c r="I121" s="77"/>
      <c r="J121" s="77"/>
      <c r="K121" s="77"/>
      <c r="L121" s="77"/>
      <c r="M121" s="77"/>
      <c r="N121" s="77"/>
      <c r="O121" s="77"/>
      <c r="P121" s="77"/>
      <c r="Q121" s="96"/>
      <c r="R121" s="85"/>
    </row>
    <row r="122" spans="1:18">
      <c r="A122" s="95"/>
      <c r="B122" s="129" t="s">
        <v>258</v>
      </c>
      <c r="C122" s="76"/>
      <c r="D122" s="78"/>
      <c r="E122" s="90"/>
      <c r="F122" s="77"/>
      <c r="G122" s="77"/>
      <c r="H122" s="77"/>
      <c r="I122" s="77"/>
      <c r="J122" s="77"/>
      <c r="K122" s="77"/>
      <c r="L122" s="77"/>
      <c r="M122" s="77"/>
      <c r="N122" s="77"/>
      <c r="O122" s="77"/>
      <c r="P122" s="77"/>
      <c r="Q122" s="96"/>
      <c r="R122" s="85"/>
    </row>
    <row r="123" spans="1:18">
      <c r="A123" s="95"/>
      <c r="B123" s="129" t="s">
        <v>258</v>
      </c>
      <c r="C123" s="76"/>
      <c r="D123" s="78"/>
      <c r="E123" s="90"/>
      <c r="F123" s="77"/>
      <c r="G123" s="77"/>
      <c r="H123" s="77"/>
      <c r="I123" s="77"/>
      <c r="J123" s="77"/>
      <c r="K123" s="77"/>
      <c r="L123" s="77"/>
      <c r="M123" s="77"/>
      <c r="N123" s="77"/>
      <c r="O123" s="77"/>
      <c r="P123" s="77"/>
      <c r="Q123" s="96"/>
      <c r="R123" s="85"/>
    </row>
    <row r="124" spans="1:18">
      <c r="A124" s="95"/>
      <c r="B124" s="76"/>
      <c r="C124" s="76"/>
      <c r="D124" s="78"/>
      <c r="E124" s="90"/>
      <c r="F124" s="97"/>
      <c r="G124" s="91"/>
      <c r="H124" s="91"/>
      <c r="I124" s="76"/>
      <c r="J124" s="91"/>
      <c r="K124" s="76"/>
      <c r="L124" s="76"/>
      <c r="M124" s="76"/>
      <c r="N124" s="76"/>
      <c r="O124" s="100"/>
      <c r="P124" s="101"/>
      <c r="Q124" s="99"/>
      <c r="R124" s="89"/>
    </row>
    <row r="125" spans="1:18">
      <c r="A125" s="95"/>
      <c r="B125" s="76"/>
      <c r="C125" s="76"/>
      <c r="D125" s="78"/>
      <c r="E125" s="90"/>
      <c r="F125" s="97"/>
      <c r="G125" s="91"/>
      <c r="H125" s="91"/>
      <c r="I125" s="76"/>
      <c r="J125" s="91"/>
      <c r="K125" s="76"/>
      <c r="L125" s="76"/>
      <c r="M125" s="76"/>
      <c r="N125" s="76"/>
      <c r="O125" s="100"/>
      <c r="P125" s="101"/>
      <c r="Q125" s="99"/>
      <c r="R125" s="89"/>
    </row>
    <row r="126" spans="1:18" ht="15.75" thickBot="1">
      <c r="A126" s="102"/>
      <c r="B126" s="103"/>
      <c r="D126" s="104"/>
    </row>
    <row r="127" spans="1:18" ht="16.5" thickTop="1">
      <c r="A127" s="105" t="s">
        <v>240</v>
      </c>
      <c r="B127" s="106"/>
      <c r="C127" s="682">
        <f>SUM(D10:D126)</f>
        <v>1749000</v>
      </c>
      <c r="D127" s="682"/>
      <c r="E127" s="107"/>
    </row>
    <row r="128" spans="1:18" ht="15.75">
      <c r="A128" s="108" t="s">
        <v>241</v>
      </c>
      <c r="B128" s="109"/>
      <c r="C128" s="660">
        <f>PRODUCT(C127,0.1)</f>
        <v>174900</v>
      </c>
      <c r="D128" s="661"/>
      <c r="F128" s="662"/>
      <c r="G128" s="662"/>
      <c r="H128" s="662"/>
      <c r="I128" s="662"/>
      <c r="J128" s="110"/>
      <c r="K128" s="110"/>
      <c r="L128" s="111"/>
    </row>
    <row r="129" spans="1:14" ht="15.75">
      <c r="A129" s="112" t="s">
        <v>242</v>
      </c>
      <c r="B129" s="113"/>
      <c r="C129" s="658">
        <f>PRODUCT(C127,0.1)</f>
        <v>174900</v>
      </c>
      <c r="D129" s="659"/>
      <c r="F129" s="114"/>
      <c r="G129" s="114"/>
      <c r="H129" s="657"/>
      <c r="I129" s="657"/>
      <c r="J129" s="657"/>
      <c r="K129" s="657"/>
      <c r="L129" s="115"/>
    </row>
    <row r="130" spans="1:14" ht="15.75">
      <c r="A130" s="112" t="s">
        <v>243</v>
      </c>
      <c r="B130" s="113"/>
      <c r="C130" s="658">
        <f>SUM(C127:D129)</f>
        <v>2098800</v>
      </c>
      <c r="D130" s="659"/>
      <c r="F130" s="114"/>
      <c r="G130" s="114"/>
      <c r="H130" s="657"/>
      <c r="I130" s="657"/>
      <c r="J130" s="657"/>
      <c r="K130" s="657"/>
      <c r="L130" s="115"/>
    </row>
    <row r="131" spans="1:14">
      <c r="A131" s="116"/>
      <c r="F131" s="114"/>
      <c r="G131" s="114"/>
      <c r="H131" s="657"/>
      <c r="I131" s="657"/>
      <c r="J131" s="657"/>
      <c r="K131" s="657"/>
      <c r="L131" s="115"/>
      <c r="M131" s="117"/>
    </row>
    <row r="132" spans="1:14">
      <c r="A132" s="118" t="s">
        <v>244</v>
      </c>
      <c r="B132" s="119"/>
      <c r="C132" s="120"/>
      <c r="D132" s="121"/>
      <c r="E132" s="122"/>
      <c r="F132" s="120"/>
      <c r="G132" s="120"/>
      <c r="H132" s="120"/>
      <c r="I132" s="120"/>
      <c r="J132" s="120"/>
      <c r="K132" s="120"/>
      <c r="M132" s="123"/>
      <c r="N132" s="117"/>
    </row>
    <row r="133" spans="1:14">
      <c r="A133" s="124"/>
      <c r="B133" s="119"/>
      <c r="C133" s="120"/>
      <c r="D133" s="121"/>
      <c r="E133" s="122"/>
      <c r="F133" s="120"/>
      <c r="G133" s="120"/>
      <c r="H133" s="120"/>
      <c r="I133" s="120"/>
      <c r="J133" s="120"/>
      <c r="K133" s="120"/>
    </row>
    <row r="134" spans="1:14">
      <c r="A134" s="124" t="s">
        <v>245</v>
      </c>
      <c r="B134" s="119"/>
      <c r="C134" s="120"/>
      <c r="D134" s="121"/>
      <c r="E134" s="122"/>
      <c r="F134" s="120"/>
      <c r="G134" s="120"/>
      <c r="H134" s="120"/>
      <c r="I134" s="120"/>
      <c r="J134" s="120"/>
      <c r="K134" s="120"/>
    </row>
    <row r="135" spans="1:14">
      <c r="A135" s="124"/>
      <c r="B135" s="119"/>
      <c r="C135" s="120"/>
      <c r="D135" s="121"/>
      <c r="E135" s="122"/>
      <c r="F135" s="120"/>
      <c r="G135" s="120"/>
      <c r="H135" s="120"/>
      <c r="I135" s="120"/>
      <c r="J135" s="120"/>
      <c r="K135" s="120"/>
    </row>
    <row r="136" spans="1:14">
      <c r="A136" s="124"/>
      <c r="B136" s="119"/>
      <c r="C136" s="120"/>
      <c r="D136" s="121"/>
      <c r="E136" s="122"/>
      <c r="F136" s="120"/>
      <c r="G136" s="120"/>
      <c r="H136" s="120"/>
      <c r="I136" s="120"/>
      <c r="J136" s="120"/>
      <c r="K136" s="120"/>
    </row>
    <row r="137" spans="1:14">
      <c r="A137" s="102" t="s">
        <v>246</v>
      </c>
      <c r="B137" s="125"/>
      <c r="C137" s="120"/>
      <c r="D137" s="121"/>
      <c r="E137" s="122"/>
      <c r="F137" s="120"/>
      <c r="G137" s="120"/>
      <c r="H137" s="102" t="s">
        <v>247</v>
      </c>
      <c r="I137" s="120"/>
      <c r="J137" s="120"/>
      <c r="K137" s="120"/>
    </row>
    <row r="138" spans="1:14" ht="14.25" customHeight="1">
      <c r="A138" s="124" t="s">
        <v>248</v>
      </c>
      <c r="B138" s="126" t="s">
        <v>249</v>
      </c>
      <c r="C138" s="120"/>
      <c r="D138" s="121"/>
      <c r="E138" s="127" t="s">
        <v>250</v>
      </c>
      <c r="F138" s="120"/>
      <c r="G138" s="124" t="s">
        <v>251</v>
      </c>
      <c r="H138" s="128" t="s">
        <v>252</v>
      </c>
      <c r="I138" s="120"/>
      <c r="J138" s="120"/>
      <c r="K138" s="120"/>
    </row>
    <row r="139" spans="1:14">
      <c r="A139" s="124"/>
      <c r="B139" s="119"/>
      <c r="C139" s="120"/>
      <c r="D139" s="121"/>
      <c r="E139" s="122"/>
      <c r="F139" s="120"/>
      <c r="G139" s="120"/>
      <c r="H139" s="120"/>
      <c r="I139" s="120"/>
      <c r="J139" s="120"/>
      <c r="K139" s="120"/>
    </row>
    <row r="140" spans="1:14">
      <c r="A140" s="102"/>
    </row>
    <row r="141" spans="1:14">
      <c r="A141" s="102"/>
    </row>
  </sheetData>
  <mergeCells count="22">
    <mergeCell ref="C128:D128"/>
    <mergeCell ref="F128:G128"/>
    <mergeCell ref="H128:I128"/>
    <mergeCell ref="A2:Q2"/>
    <mergeCell ref="A8:A9"/>
    <mergeCell ref="B8:B9"/>
    <mergeCell ref="D8:D9"/>
    <mergeCell ref="E8:E9"/>
    <mergeCell ref="F8:Q8"/>
    <mergeCell ref="B10:Q10"/>
    <mergeCell ref="B17:Q17"/>
    <mergeCell ref="B20:Q20"/>
    <mergeCell ref="B23:Q23"/>
    <mergeCell ref="C127:D127"/>
    <mergeCell ref="H131:I131"/>
    <mergeCell ref="J131:K131"/>
    <mergeCell ref="C129:D129"/>
    <mergeCell ref="H129:I129"/>
    <mergeCell ref="J129:K129"/>
    <mergeCell ref="C130:D130"/>
    <mergeCell ref="H130:I130"/>
    <mergeCell ref="J130:K130"/>
  </mergeCells>
  <conditionalFormatting sqref="B116 B44 B84 B24 B32 B36 B40 B28 B48 B52 B56 B60 B64 B68 B72 B80 B88 B92 B96 B100 B104 B108 B112">
    <cfRule type="expression" dxfId="70" priority="13" stopIfTrue="1">
      <formula>LEN(TRIM(B24))=0</formula>
    </cfRule>
  </conditionalFormatting>
  <conditionalFormatting sqref="B120">
    <cfRule type="expression" dxfId="69" priority="3" stopIfTrue="1">
      <formula>LEN(TRIM(B120))=0</formula>
    </cfRule>
  </conditionalFormatting>
  <pageMargins left="0.12" right="0.12" top="0.45" bottom="0.53" header="0.3" footer="0.12"/>
  <pageSetup paperSize="9" scale="73" orientation="landscape" horizontalDpi="360" verticalDpi="360" r:id="rId1"/>
  <headerFooter>
    <oddFooter>&amp;LConsolidated PPMP 2020&amp;R&amp;P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RowHeight="14.25"/>
  <cols>
    <col min="1" max="1" width="24.625" customWidth="1"/>
    <col min="2" max="256" width="8.375" customWidth="1"/>
    <col min="257" max="1024" width="9" customWidth="1"/>
  </cols>
  <sheetData>
    <row r="1" spans="1:2">
      <c r="A1" s="14" t="s">
        <v>32</v>
      </c>
      <c r="B1" s="14" t="s">
        <v>86</v>
      </c>
    </row>
    <row r="2" spans="1:2">
      <c r="A2" s="14" t="s">
        <v>33</v>
      </c>
      <c r="B2" s="14" t="s">
        <v>87</v>
      </c>
    </row>
    <row r="3" spans="1:2">
      <c r="A3" s="14" t="s">
        <v>34</v>
      </c>
      <c r="B3" s="14" t="s">
        <v>88</v>
      </c>
    </row>
    <row r="4" spans="1:2">
      <c r="A4" s="14" t="s">
        <v>35</v>
      </c>
      <c r="B4" s="14" t="s">
        <v>89</v>
      </c>
    </row>
    <row r="5" spans="1:2">
      <c r="A5" s="14" t="s">
        <v>36</v>
      </c>
      <c r="B5" s="14" t="s">
        <v>90</v>
      </c>
    </row>
    <row r="6" spans="1:2">
      <c r="A6" s="14" t="s">
        <v>37</v>
      </c>
      <c r="B6" s="14" t="s">
        <v>91</v>
      </c>
    </row>
    <row r="7" spans="1:2">
      <c r="A7" s="14" t="s">
        <v>38</v>
      </c>
      <c r="B7" s="14"/>
    </row>
    <row r="8" spans="1:2">
      <c r="A8" s="14" t="s">
        <v>39</v>
      </c>
    </row>
    <row r="9" spans="1:2">
      <c r="A9" s="14" t="s">
        <v>40</v>
      </c>
    </row>
    <row r="10" spans="1:2">
      <c r="A10" s="14" t="s">
        <v>41</v>
      </c>
      <c r="B10" s="14"/>
    </row>
    <row r="11" spans="1:2">
      <c r="A11" s="14" t="s">
        <v>42</v>
      </c>
    </row>
    <row r="12" spans="1:2">
      <c r="A12" s="14" t="s">
        <v>43</v>
      </c>
    </row>
    <row r="13" spans="1:2">
      <c r="A13" s="14" t="s">
        <v>44</v>
      </c>
    </row>
    <row r="14" spans="1:2">
      <c r="A14" s="14" t="s">
        <v>45</v>
      </c>
      <c r="B14" s="14"/>
    </row>
    <row r="15" spans="1:2">
      <c r="A15" s="14" t="s">
        <v>46</v>
      </c>
    </row>
    <row r="16" spans="1:2">
      <c r="A16" s="14" t="s">
        <v>47</v>
      </c>
    </row>
    <row r="17" spans="1:1">
      <c r="A17" s="14" t="s">
        <v>48</v>
      </c>
    </row>
    <row r="18" spans="1:1">
      <c r="A18" s="14" t="s">
        <v>49</v>
      </c>
    </row>
    <row r="19" spans="1:1">
      <c r="A19" t="s">
        <v>92</v>
      </c>
    </row>
  </sheetData>
  <pageMargins left="0.70000000000000007" right="0.70000000000000007" top="1.0457000000000001" bottom="1.0457000000000001" header="0.75000000000000011" footer="0.75000000000000011"/>
  <pageSetup paperSize="0" fitToWidth="0" fitToHeight="0" pageOrder="overThenDown"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64"/>
  <sheetViews>
    <sheetView view="pageBreakPreview" topLeftCell="A130" zoomScaleNormal="100" zoomScaleSheetLayoutView="100" workbookViewId="0">
      <selection activeCell="I132" sqref="I132"/>
    </sheetView>
  </sheetViews>
  <sheetFormatPr defaultColWidth="8.375" defaultRowHeight="15"/>
  <cols>
    <col min="1" max="1" width="24.5" style="467" customWidth="1"/>
    <col min="2" max="2" width="8.375" style="468" customWidth="1"/>
    <col min="3" max="3" width="8.5" style="468" customWidth="1"/>
    <col min="4" max="4" width="7.625" style="468" customWidth="1"/>
    <col min="5" max="5" width="6.5" style="468" customWidth="1"/>
    <col min="6" max="6" width="5.625" style="624" bestFit="1" customWidth="1"/>
    <col min="7" max="7" width="6.5" style="468" customWidth="1"/>
    <col min="8" max="8" width="6.5" style="468" bestFit="1" customWidth="1"/>
    <col min="9" max="9" width="5.125" style="624" customWidth="1"/>
    <col min="10" max="10" width="5.125" style="468" bestFit="1" customWidth="1"/>
    <col min="11" max="11" width="6.125" style="468" customWidth="1"/>
    <col min="12" max="12" width="6.5" style="468" customWidth="1"/>
    <col min="13" max="13" width="8.375" style="468" customWidth="1"/>
    <col min="14" max="15" width="7.625" style="468" customWidth="1"/>
    <col min="16" max="16" width="15.375" style="467" bestFit="1" customWidth="1"/>
    <col min="17" max="17" width="18.125" style="467" hidden="1" customWidth="1"/>
    <col min="18" max="18" width="11.5" style="467" hidden="1" customWidth="1"/>
    <col min="19" max="21" width="9.125" style="467" hidden="1" customWidth="1"/>
    <col min="22" max="22" width="10.625" style="467" hidden="1" customWidth="1"/>
    <col min="23" max="23" width="11.5" style="467" hidden="1" customWidth="1"/>
    <col min="24" max="16384" width="8.375" style="467"/>
  </cols>
  <sheetData>
    <row r="2" spans="1:18">
      <c r="A2" s="686" t="s">
        <v>1408</v>
      </c>
      <c r="B2" s="686"/>
      <c r="C2" s="686"/>
      <c r="D2" s="686"/>
      <c r="E2" s="686"/>
      <c r="F2" s="686"/>
      <c r="G2" s="686"/>
      <c r="H2" s="686"/>
      <c r="I2" s="686"/>
      <c r="J2" s="686"/>
      <c r="K2" s="686"/>
      <c r="L2" s="686"/>
      <c r="M2" s="686"/>
      <c r="N2" s="686"/>
      <c r="O2" s="686"/>
    </row>
    <row r="3" spans="1:18" ht="15.75" thickBot="1"/>
    <row r="4" spans="1:18" s="469" customFormat="1" ht="26.25" customHeight="1">
      <c r="A4" s="687" t="s">
        <v>1409</v>
      </c>
      <c r="B4" s="689" t="s">
        <v>1410</v>
      </c>
      <c r="C4" s="690" t="s">
        <v>1411</v>
      </c>
      <c r="D4" s="692" t="s">
        <v>1412</v>
      </c>
      <c r="E4" s="692"/>
      <c r="F4" s="692"/>
      <c r="G4" s="692"/>
      <c r="H4" s="692"/>
      <c r="I4" s="692"/>
      <c r="J4" s="692"/>
      <c r="K4" s="692"/>
      <c r="L4" s="692"/>
      <c r="M4" s="692"/>
      <c r="N4" s="689" t="s">
        <v>1413</v>
      </c>
      <c r="O4" s="693" t="s">
        <v>1414</v>
      </c>
    </row>
    <row r="5" spans="1:18" s="471" customFormat="1" ht="33" customHeight="1">
      <c r="A5" s="688"/>
      <c r="B5" s="684"/>
      <c r="C5" s="691"/>
      <c r="D5" s="520" t="s">
        <v>1415</v>
      </c>
      <c r="E5" s="520" t="s">
        <v>1416</v>
      </c>
      <c r="F5" s="625" t="s">
        <v>121</v>
      </c>
      <c r="G5" s="520" t="s">
        <v>117</v>
      </c>
      <c r="H5" s="520" t="s">
        <v>122</v>
      </c>
      <c r="I5" s="625" t="s">
        <v>98</v>
      </c>
      <c r="J5" s="520" t="s">
        <v>137</v>
      </c>
      <c r="K5" s="520" t="s">
        <v>1417</v>
      </c>
      <c r="L5" s="520" t="s">
        <v>1418</v>
      </c>
      <c r="M5" s="520" t="s">
        <v>1419</v>
      </c>
      <c r="N5" s="684"/>
      <c r="O5" s="694"/>
    </row>
    <row r="6" spans="1:18">
      <c r="A6" s="472" t="s">
        <v>1420</v>
      </c>
      <c r="B6" s="585"/>
      <c r="C6" s="473"/>
      <c r="D6" s="473"/>
      <c r="E6" s="473"/>
      <c r="F6" s="626"/>
      <c r="G6" s="473"/>
      <c r="H6" s="473"/>
      <c r="I6" s="626"/>
      <c r="J6" s="473"/>
      <c r="K6" s="473"/>
      <c r="L6" s="473"/>
      <c r="M6" s="473"/>
      <c r="N6" s="473"/>
      <c r="O6" s="474"/>
    </row>
    <row r="7" spans="1:18" s="857" customFormat="1">
      <c r="A7" s="852" t="s">
        <v>1421</v>
      </c>
      <c r="B7" s="853" t="s">
        <v>19</v>
      </c>
      <c r="C7" s="854">
        <v>40</v>
      </c>
      <c r="D7" s="855">
        <v>1</v>
      </c>
      <c r="E7" s="855"/>
      <c r="F7" s="855"/>
      <c r="G7" s="855">
        <v>2</v>
      </c>
      <c r="H7" s="855"/>
      <c r="I7" s="652">
        <v>2</v>
      </c>
      <c r="J7" s="855">
        <v>2</v>
      </c>
      <c r="K7" s="855">
        <v>5</v>
      </c>
      <c r="L7" s="855"/>
      <c r="M7" s="855"/>
      <c r="N7" s="855">
        <f>SUM(D7:M7)</f>
        <v>12</v>
      </c>
      <c r="O7" s="856">
        <f>N7*C7</f>
        <v>480</v>
      </c>
    </row>
    <row r="8" spans="1:18">
      <c r="A8" s="475" t="s">
        <v>1422</v>
      </c>
      <c r="B8" s="586" t="s">
        <v>19</v>
      </c>
      <c r="C8" s="476">
        <v>60</v>
      </c>
      <c r="D8" s="477"/>
      <c r="E8" s="477"/>
      <c r="F8" s="627"/>
      <c r="G8" s="477"/>
      <c r="H8" s="477"/>
      <c r="I8" s="627"/>
      <c r="J8" s="477">
        <v>3</v>
      </c>
      <c r="K8" s="477"/>
      <c r="L8" s="477"/>
      <c r="M8" s="477">
        <v>1</v>
      </c>
      <c r="N8" s="477">
        <f t="shared" ref="N8:N52" si="0">SUM(D8:M8)</f>
        <v>4</v>
      </c>
      <c r="O8" s="478">
        <f t="shared" ref="O8:O13" si="1">N8*C8</f>
        <v>240</v>
      </c>
    </row>
    <row r="9" spans="1:18" s="857" customFormat="1">
      <c r="A9" s="852" t="s">
        <v>1423</v>
      </c>
      <c r="B9" s="853" t="s">
        <v>19</v>
      </c>
      <c r="C9" s="854">
        <v>43</v>
      </c>
      <c r="D9" s="855">
        <v>3</v>
      </c>
      <c r="E9" s="855">
        <v>2</v>
      </c>
      <c r="F9" s="855">
        <v>1</v>
      </c>
      <c r="G9" s="855">
        <v>2</v>
      </c>
      <c r="H9" s="855"/>
      <c r="I9" s="652">
        <v>4</v>
      </c>
      <c r="J9" s="855"/>
      <c r="K9" s="855">
        <v>7</v>
      </c>
      <c r="L9" s="855"/>
      <c r="M9" s="855">
        <v>2</v>
      </c>
      <c r="N9" s="855">
        <f t="shared" si="0"/>
        <v>21</v>
      </c>
      <c r="O9" s="856">
        <f t="shared" si="1"/>
        <v>903</v>
      </c>
    </row>
    <row r="10" spans="1:18">
      <c r="A10" s="475" t="s">
        <v>1424</v>
      </c>
      <c r="B10" s="586" t="s">
        <v>19</v>
      </c>
      <c r="C10" s="476">
        <v>90</v>
      </c>
      <c r="D10" s="479"/>
      <c r="E10" s="479">
        <v>2</v>
      </c>
      <c r="F10" s="627">
        <v>1</v>
      </c>
      <c r="G10" s="477"/>
      <c r="H10" s="477"/>
      <c r="I10" s="627"/>
      <c r="J10" s="477">
        <v>1</v>
      </c>
      <c r="K10" s="477">
        <v>1</v>
      </c>
      <c r="L10" s="477"/>
      <c r="M10" s="477"/>
      <c r="N10" s="477">
        <f t="shared" si="0"/>
        <v>5</v>
      </c>
      <c r="O10" s="478">
        <f t="shared" si="1"/>
        <v>450</v>
      </c>
    </row>
    <row r="11" spans="1:18">
      <c r="A11" s="475" t="s">
        <v>1425</v>
      </c>
      <c r="B11" s="586" t="s">
        <v>19</v>
      </c>
      <c r="C11" s="480">
        <v>35</v>
      </c>
      <c r="D11" s="477"/>
      <c r="E11" s="477"/>
      <c r="F11" s="627"/>
      <c r="G11" s="477">
        <v>2</v>
      </c>
      <c r="H11" s="477">
        <v>1</v>
      </c>
      <c r="I11" s="627"/>
      <c r="J11" s="477">
        <v>1</v>
      </c>
      <c r="K11" s="481"/>
      <c r="L11" s="479">
        <v>1</v>
      </c>
      <c r="M11" s="477"/>
      <c r="N11" s="477">
        <f t="shared" si="0"/>
        <v>5</v>
      </c>
      <c r="O11" s="478">
        <f t="shared" si="1"/>
        <v>175</v>
      </c>
    </row>
    <row r="12" spans="1:18" ht="30">
      <c r="A12" s="475" t="s">
        <v>1426</v>
      </c>
      <c r="B12" s="586"/>
      <c r="C12" s="480">
        <v>35</v>
      </c>
      <c r="D12" s="477"/>
      <c r="E12" s="477"/>
      <c r="F12" s="627"/>
      <c r="G12" s="477">
        <v>2</v>
      </c>
      <c r="H12" s="477"/>
      <c r="I12" s="627"/>
      <c r="J12" s="477"/>
      <c r="K12" s="481"/>
      <c r="L12" s="479"/>
      <c r="M12" s="477"/>
      <c r="N12" s="477">
        <f t="shared" si="0"/>
        <v>2</v>
      </c>
      <c r="O12" s="478">
        <f t="shared" si="1"/>
        <v>70</v>
      </c>
    </row>
    <row r="13" spans="1:18" ht="30">
      <c r="A13" s="475" t="s">
        <v>1427</v>
      </c>
      <c r="B13" s="586" t="s">
        <v>19</v>
      </c>
      <c r="C13" s="480">
        <v>20</v>
      </c>
      <c r="D13" s="479">
        <v>1</v>
      </c>
      <c r="E13" s="479">
        <v>1</v>
      </c>
      <c r="F13" s="627"/>
      <c r="G13" s="477"/>
      <c r="H13" s="477">
        <v>2</v>
      </c>
      <c r="I13" s="627"/>
      <c r="J13" s="477">
        <v>1</v>
      </c>
      <c r="K13" s="481"/>
      <c r="L13" s="479">
        <v>1</v>
      </c>
      <c r="M13" s="477">
        <v>1</v>
      </c>
      <c r="N13" s="477">
        <f t="shared" si="0"/>
        <v>7</v>
      </c>
      <c r="O13" s="478">
        <f t="shared" si="1"/>
        <v>140</v>
      </c>
      <c r="R13" s="482"/>
    </row>
    <row r="14" spans="1:18">
      <c r="A14" s="475" t="s">
        <v>1350</v>
      </c>
      <c r="B14" s="586" t="s">
        <v>19</v>
      </c>
      <c r="C14" s="480">
        <v>20</v>
      </c>
      <c r="D14" s="479"/>
      <c r="E14" s="479"/>
      <c r="F14" s="627"/>
      <c r="G14" s="477"/>
      <c r="H14" s="477"/>
      <c r="I14" s="627"/>
      <c r="J14" s="477"/>
      <c r="K14" s="477">
        <v>5</v>
      </c>
      <c r="L14" s="479"/>
      <c r="M14" s="477">
        <v>2</v>
      </c>
      <c r="N14" s="477">
        <f t="shared" si="0"/>
        <v>7</v>
      </c>
      <c r="O14" s="478">
        <f>N14*C14</f>
        <v>140</v>
      </c>
      <c r="R14" s="482"/>
    </row>
    <row r="15" spans="1:18">
      <c r="A15" s="475" t="s">
        <v>1428</v>
      </c>
      <c r="B15" s="586" t="s">
        <v>19</v>
      </c>
      <c r="C15" s="476">
        <v>25</v>
      </c>
      <c r="D15" s="477">
        <v>2</v>
      </c>
      <c r="E15" s="477">
        <v>2</v>
      </c>
      <c r="F15" s="627">
        <v>2</v>
      </c>
      <c r="G15" s="477"/>
      <c r="H15" s="477"/>
      <c r="I15" s="627"/>
      <c r="J15" s="477">
        <v>2</v>
      </c>
      <c r="K15" s="477">
        <v>1</v>
      </c>
      <c r="L15" s="479">
        <v>1</v>
      </c>
      <c r="M15" s="477">
        <v>1</v>
      </c>
      <c r="N15" s="477">
        <f t="shared" si="0"/>
        <v>11</v>
      </c>
      <c r="O15" s="478">
        <f>N15*C15</f>
        <v>275</v>
      </c>
    </row>
    <row r="16" spans="1:18">
      <c r="A16" s="475" t="s">
        <v>1429</v>
      </c>
      <c r="B16" s="586" t="s">
        <v>19</v>
      </c>
      <c r="C16" s="476">
        <v>15</v>
      </c>
      <c r="D16" s="477"/>
      <c r="E16" s="477"/>
      <c r="F16" s="627">
        <v>1</v>
      </c>
      <c r="G16" s="477"/>
      <c r="H16" s="477"/>
      <c r="I16" s="627"/>
      <c r="J16" s="477"/>
      <c r="K16" s="481"/>
      <c r="L16" s="479"/>
      <c r="M16" s="477"/>
      <c r="N16" s="477">
        <f t="shared" si="0"/>
        <v>1</v>
      </c>
      <c r="O16" s="478">
        <f>N16*C16</f>
        <v>15</v>
      </c>
    </row>
    <row r="17" spans="1:15" ht="30">
      <c r="A17" s="475" t="s">
        <v>1430</v>
      </c>
      <c r="B17" s="586"/>
      <c r="C17" s="476">
        <v>15</v>
      </c>
      <c r="D17" s="477"/>
      <c r="E17" s="477">
        <v>1</v>
      </c>
      <c r="F17" s="627"/>
      <c r="G17" s="477">
        <v>2</v>
      </c>
      <c r="H17" s="477"/>
      <c r="I17" s="627"/>
      <c r="J17" s="477"/>
      <c r="K17" s="481"/>
      <c r="L17" s="479"/>
      <c r="M17" s="477"/>
      <c r="N17" s="477">
        <f t="shared" si="0"/>
        <v>3</v>
      </c>
      <c r="O17" s="478">
        <f>N17*C17</f>
        <v>45</v>
      </c>
    </row>
    <row r="18" spans="1:15" s="857" customFormat="1">
      <c r="A18" s="852" t="s">
        <v>1431</v>
      </c>
      <c r="B18" s="853" t="s">
        <v>19</v>
      </c>
      <c r="C18" s="854">
        <v>35</v>
      </c>
      <c r="D18" s="855"/>
      <c r="E18" s="855">
        <v>1</v>
      </c>
      <c r="F18" s="855">
        <v>1</v>
      </c>
      <c r="G18" s="855"/>
      <c r="H18" s="855"/>
      <c r="I18" s="652">
        <v>1</v>
      </c>
      <c r="J18" s="855"/>
      <c r="K18" s="855"/>
      <c r="L18" s="855">
        <v>1</v>
      </c>
      <c r="M18" s="855">
        <v>1</v>
      </c>
      <c r="N18" s="855">
        <f>SUM(D18:M18)</f>
        <v>5</v>
      </c>
      <c r="O18" s="856">
        <f t="shared" ref="O18:O26" si="2">N18*C18</f>
        <v>175</v>
      </c>
    </row>
    <row r="19" spans="1:15" ht="30">
      <c r="A19" s="475" t="s">
        <v>1432</v>
      </c>
      <c r="B19" s="586" t="s">
        <v>19</v>
      </c>
      <c r="C19" s="476">
        <v>25</v>
      </c>
      <c r="D19" s="477">
        <v>1</v>
      </c>
      <c r="E19" s="477">
        <v>1</v>
      </c>
      <c r="F19" s="627">
        <v>2</v>
      </c>
      <c r="G19" s="477"/>
      <c r="H19" s="477"/>
      <c r="I19" s="627"/>
      <c r="J19" s="477"/>
      <c r="K19" s="477">
        <v>3</v>
      </c>
      <c r="L19" s="477">
        <v>1</v>
      </c>
      <c r="M19" s="477">
        <v>1</v>
      </c>
      <c r="N19" s="477">
        <f t="shared" si="0"/>
        <v>9</v>
      </c>
      <c r="O19" s="478">
        <f t="shared" si="2"/>
        <v>225</v>
      </c>
    </row>
    <row r="20" spans="1:15" ht="30">
      <c r="A20" s="475" t="s">
        <v>1433</v>
      </c>
      <c r="B20" s="586" t="s">
        <v>19</v>
      </c>
      <c r="C20" s="476">
        <v>190</v>
      </c>
      <c r="D20" s="477"/>
      <c r="E20" s="479"/>
      <c r="F20" s="627"/>
      <c r="G20" s="477">
        <v>1</v>
      </c>
      <c r="H20" s="477"/>
      <c r="I20" s="627"/>
      <c r="J20" s="477"/>
      <c r="K20" s="481"/>
      <c r="L20" s="477"/>
      <c r="M20" s="477"/>
      <c r="N20" s="477">
        <f t="shared" si="0"/>
        <v>1</v>
      </c>
      <c r="O20" s="478">
        <f t="shared" si="2"/>
        <v>190</v>
      </c>
    </row>
    <row r="21" spans="1:15">
      <c r="A21" s="475" t="s">
        <v>1434</v>
      </c>
      <c r="B21" s="586" t="s">
        <v>19</v>
      </c>
      <c r="C21" s="476">
        <v>60</v>
      </c>
      <c r="D21" s="477"/>
      <c r="E21" s="477"/>
      <c r="F21" s="627"/>
      <c r="G21" s="477"/>
      <c r="H21" s="477">
        <v>2</v>
      </c>
      <c r="I21" s="627"/>
      <c r="J21" s="477"/>
      <c r="K21" s="477">
        <v>1</v>
      </c>
      <c r="L21" s="477">
        <v>2</v>
      </c>
      <c r="M21" s="477"/>
      <c r="N21" s="477">
        <f t="shared" si="0"/>
        <v>5</v>
      </c>
      <c r="O21" s="478">
        <f t="shared" si="2"/>
        <v>300</v>
      </c>
    </row>
    <row r="22" spans="1:15">
      <c r="A22" s="475" t="s">
        <v>1435</v>
      </c>
      <c r="B22" s="586" t="s">
        <v>19</v>
      </c>
      <c r="C22" s="476">
        <v>30</v>
      </c>
      <c r="D22" s="477"/>
      <c r="E22" s="477"/>
      <c r="F22" s="627"/>
      <c r="G22" s="477"/>
      <c r="H22" s="477"/>
      <c r="I22" s="627"/>
      <c r="J22" s="477">
        <v>1</v>
      </c>
      <c r="K22" s="477">
        <v>1</v>
      </c>
      <c r="L22" s="477"/>
      <c r="M22" s="477"/>
      <c r="N22" s="477">
        <f t="shared" si="0"/>
        <v>2</v>
      </c>
      <c r="O22" s="478">
        <f t="shared" si="2"/>
        <v>60</v>
      </c>
    </row>
    <row r="23" spans="1:15" ht="30">
      <c r="A23" s="475" t="s">
        <v>1436</v>
      </c>
      <c r="B23" s="586"/>
      <c r="C23" s="476">
        <v>50</v>
      </c>
      <c r="D23" s="477"/>
      <c r="E23" s="477"/>
      <c r="F23" s="627"/>
      <c r="G23" s="477">
        <v>1</v>
      </c>
      <c r="H23" s="477"/>
      <c r="I23" s="627"/>
      <c r="J23" s="477"/>
      <c r="K23" s="481"/>
      <c r="L23" s="477"/>
      <c r="M23" s="477">
        <v>1</v>
      </c>
      <c r="N23" s="477">
        <f t="shared" si="0"/>
        <v>2</v>
      </c>
      <c r="O23" s="478">
        <f t="shared" si="2"/>
        <v>100</v>
      </c>
    </row>
    <row r="24" spans="1:15">
      <c r="A24" s="475" t="s">
        <v>1437</v>
      </c>
      <c r="B24" s="586" t="s">
        <v>19</v>
      </c>
      <c r="C24" s="476">
        <v>30</v>
      </c>
      <c r="D24" s="477"/>
      <c r="E24" s="477"/>
      <c r="F24" s="627"/>
      <c r="G24" s="477">
        <v>1</v>
      </c>
      <c r="H24" s="477"/>
      <c r="I24" s="633">
        <v>1</v>
      </c>
      <c r="J24" s="477">
        <v>1</v>
      </c>
      <c r="K24" s="481"/>
      <c r="L24" s="477"/>
      <c r="M24" s="477"/>
      <c r="N24" s="477">
        <f t="shared" si="0"/>
        <v>3</v>
      </c>
      <c r="O24" s="478">
        <f t="shared" si="2"/>
        <v>90</v>
      </c>
    </row>
    <row r="25" spans="1:15" ht="45">
      <c r="A25" s="475" t="s">
        <v>1438</v>
      </c>
      <c r="B25" s="586" t="s">
        <v>19</v>
      </c>
      <c r="C25" s="476">
        <v>18</v>
      </c>
      <c r="D25" s="477"/>
      <c r="E25" s="477"/>
      <c r="F25" s="627"/>
      <c r="G25" s="477"/>
      <c r="H25" s="477"/>
      <c r="I25" s="652">
        <v>4</v>
      </c>
      <c r="J25" s="477"/>
      <c r="K25" s="477"/>
      <c r="L25" s="477"/>
      <c r="M25" s="477"/>
      <c r="N25" s="477">
        <f t="shared" si="0"/>
        <v>4</v>
      </c>
      <c r="O25" s="478">
        <f t="shared" si="2"/>
        <v>72</v>
      </c>
    </row>
    <row r="26" spans="1:15" ht="30">
      <c r="A26" s="475" t="s">
        <v>1439</v>
      </c>
      <c r="B26" s="586" t="s">
        <v>19</v>
      </c>
      <c r="C26" s="476">
        <v>160</v>
      </c>
      <c r="D26" s="477"/>
      <c r="E26" s="477">
        <v>2</v>
      </c>
      <c r="F26" s="627"/>
      <c r="G26" s="477"/>
      <c r="H26" s="477"/>
      <c r="I26" s="627"/>
      <c r="J26" s="477"/>
      <c r="K26" s="477"/>
      <c r="L26" s="477"/>
      <c r="M26" s="477"/>
      <c r="N26" s="477">
        <f t="shared" si="0"/>
        <v>2</v>
      </c>
      <c r="O26" s="478">
        <f t="shared" si="2"/>
        <v>320</v>
      </c>
    </row>
    <row r="27" spans="1:15" ht="45">
      <c r="A27" s="475" t="s">
        <v>1440</v>
      </c>
      <c r="B27" s="586"/>
      <c r="C27" s="476">
        <v>110</v>
      </c>
      <c r="D27" s="477"/>
      <c r="E27" s="477">
        <v>1</v>
      </c>
      <c r="F27" s="627">
        <v>1</v>
      </c>
      <c r="G27" s="477"/>
      <c r="H27" s="477"/>
      <c r="I27" s="627"/>
      <c r="J27" s="477"/>
      <c r="K27" s="477"/>
      <c r="L27" s="477"/>
      <c r="M27" s="477"/>
      <c r="N27" s="477">
        <f>SUM(D27:M27)</f>
        <v>2</v>
      </c>
      <c r="O27" s="478">
        <f>N27*C27</f>
        <v>220</v>
      </c>
    </row>
    <row r="28" spans="1:15" ht="68.45" customHeight="1">
      <c r="A28" s="475" t="s">
        <v>1441</v>
      </c>
      <c r="B28" s="586" t="s">
        <v>19</v>
      </c>
      <c r="C28" s="476">
        <v>40</v>
      </c>
      <c r="D28" s="477"/>
      <c r="E28" s="477"/>
      <c r="F28" s="627"/>
      <c r="G28" s="477"/>
      <c r="H28" s="477">
        <v>2</v>
      </c>
      <c r="I28" s="627"/>
      <c r="J28" s="477"/>
      <c r="K28" s="477"/>
      <c r="L28" s="477"/>
      <c r="M28" s="477"/>
      <c r="N28" s="477">
        <f t="shared" si="0"/>
        <v>2</v>
      </c>
      <c r="O28" s="478">
        <f>N28*C28</f>
        <v>80</v>
      </c>
    </row>
    <row r="29" spans="1:15">
      <c r="A29" s="475" t="s">
        <v>1442</v>
      </c>
      <c r="B29" s="586" t="s">
        <v>19</v>
      </c>
      <c r="C29" s="476">
        <v>30</v>
      </c>
      <c r="D29" s="477"/>
      <c r="E29" s="477"/>
      <c r="F29" s="627"/>
      <c r="G29" s="477"/>
      <c r="H29" s="477"/>
      <c r="I29" s="627">
        <v>1</v>
      </c>
      <c r="J29" s="477"/>
      <c r="K29" s="477"/>
      <c r="L29" s="477"/>
      <c r="M29" s="477"/>
      <c r="N29" s="477">
        <f t="shared" si="0"/>
        <v>1</v>
      </c>
      <c r="O29" s="478">
        <f t="shared" ref="O29:O52" si="3">N29*C29</f>
        <v>30</v>
      </c>
    </row>
    <row r="30" spans="1:15">
      <c r="A30" s="483" t="s">
        <v>1443</v>
      </c>
      <c r="B30" s="586" t="s">
        <v>19</v>
      </c>
      <c r="C30" s="476">
        <v>30</v>
      </c>
      <c r="D30" s="477"/>
      <c r="E30" s="477"/>
      <c r="F30" s="627"/>
      <c r="G30" s="477"/>
      <c r="H30" s="477"/>
      <c r="I30" s="633">
        <v>4</v>
      </c>
      <c r="J30" s="477"/>
      <c r="K30" s="477"/>
      <c r="L30" s="477"/>
      <c r="M30" s="477"/>
      <c r="N30" s="477">
        <f t="shared" si="0"/>
        <v>4</v>
      </c>
      <c r="O30" s="478">
        <f t="shared" si="3"/>
        <v>120</v>
      </c>
    </row>
    <row r="31" spans="1:15" ht="30">
      <c r="A31" s="475" t="s">
        <v>1444</v>
      </c>
      <c r="B31" s="586" t="s">
        <v>19</v>
      </c>
      <c r="C31" s="476">
        <v>40</v>
      </c>
      <c r="D31" s="477"/>
      <c r="E31" s="477"/>
      <c r="F31" s="627"/>
      <c r="G31" s="477">
        <v>1</v>
      </c>
      <c r="H31" s="477"/>
      <c r="I31" s="627"/>
      <c r="J31" s="477"/>
      <c r="K31" s="477"/>
      <c r="L31" s="477"/>
      <c r="M31" s="477"/>
      <c r="N31" s="477">
        <f t="shared" si="0"/>
        <v>1</v>
      </c>
      <c r="O31" s="478">
        <f t="shared" si="3"/>
        <v>40</v>
      </c>
    </row>
    <row r="32" spans="1:15" ht="45">
      <c r="A32" s="475" t="s">
        <v>1445</v>
      </c>
      <c r="B32" s="586" t="s">
        <v>19</v>
      </c>
      <c r="C32" s="476">
        <v>45</v>
      </c>
      <c r="D32" s="477"/>
      <c r="E32" s="477"/>
      <c r="F32" s="627"/>
      <c r="G32" s="477">
        <v>1</v>
      </c>
      <c r="H32" s="477"/>
      <c r="I32" s="627"/>
      <c r="J32" s="477"/>
      <c r="K32" s="477"/>
      <c r="L32" s="477"/>
      <c r="M32" s="477"/>
      <c r="N32" s="477">
        <f>SUM(D32:M32)</f>
        <v>1</v>
      </c>
      <c r="O32" s="478">
        <f t="shared" si="3"/>
        <v>45</v>
      </c>
    </row>
    <row r="33" spans="1:15" ht="30">
      <c r="A33" s="475" t="s">
        <v>1446</v>
      </c>
      <c r="B33" s="586" t="s">
        <v>19</v>
      </c>
      <c r="C33" s="476">
        <v>65</v>
      </c>
      <c r="D33" s="477"/>
      <c r="E33" s="477"/>
      <c r="F33" s="627"/>
      <c r="G33" s="477">
        <v>1</v>
      </c>
      <c r="H33" s="477"/>
      <c r="I33" s="627"/>
      <c r="J33" s="477"/>
      <c r="K33" s="477"/>
      <c r="L33" s="477"/>
      <c r="M33" s="477"/>
      <c r="N33" s="477">
        <f t="shared" si="0"/>
        <v>1</v>
      </c>
      <c r="O33" s="478">
        <f t="shared" si="3"/>
        <v>65</v>
      </c>
    </row>
    <row r="34" spans="1:15" ht="30">
      <c r="A34" s="475" t="s">
        <v>1447</v>
      </c>
      <c r="B34" s="586" t="s">
        <v>19</v>
      </c>
      <c r="C34" s="476">
        <v>70</v>
      </c>
      <c r="D34" s="477"/>
      <c r="E34" s="477"/>
      <c r="F34" s="627"/>
      <c r="G34" s="477">
        <v>1</v>
      </c>
      <c r="H34" s="477"/>
      <c r="I34" s="627"/>
      <c r="J34" s="477"/>
      <c r="K34" s="477"/>
      <c r="L34" s="477"/>
      <c r="M34" s="477"/>
      <c r="N34" s="477">
        <f t="shared" si="0"/>
        <v>1</v>
      </c>
      <c r="O34" s="478">
        <f t="shared" si="3"/>
        <v>70</v>
      </c>
    </row>
    <row r="35" spans="1:15" ht="30">
      <c r="A35" s="484" t="s">
        <v>1448</v>
      </c>
      <c r="B35" s="586" t="s">
        <v>19</v>
      </c>
      <c r="C35" s="480">
        <v>75</v>
      </c>
      <c r="D35" s="477"/>
      <c r="E35" s="477"/>
      <c r="F35" s="627"/>
      <c r="G35" s="477">
        <v>1</v>
      </c>
      <c r="H35" s="477"/>
      <c r="I35" s="627"/>
      <c r="J35" s="477"/>
      <c r="K35" s="477"/>
      <c r="L35" s="477"/>
      <c r="M35" s="477"/>
      <c r="N35" s="477">
        <f t="shared" si="0"/>
        <v>1</v>
      </c>
      <c r="O35" s="478">
        <f t="shared" si="3"/>
        <v>75</v>
      </c>
    </row>
    <row r="36" spans="1:15">
      <c r="A36" s="475" t="s">
        <v>1449</v>
      </c>
      <c r="B36" s="586" t="s">
        <v>19</v>
      </c>
      <c r="C36" s="476">
        <v>60</v>
      </c>
      <c r="D36" s="477"/>
      <c r="E36" s="477"/>
      <c r="F36" s="627"/>
      <c r="G36" s="477">
        <v>1</v>
      </c>
      <c r="H36" s="477"/>
      <c r="I36" s="627"/>
      <c r="J36" s="477"/>
      <c r="K36" s="477"/>
      <c r="L36" s="477"/>
      <c r="M36" s="477"/>
      <c r="N36" s="477">
        <f t="shared" si="0"/>
        <v>1</v>
      </c>
      <c r="O36" s="478">
        <f t="shared" si="3"/>
        <v>60</v>
      </c>
    </row>
    <row r="37" spans="1:15" ht="30">
      <c r="A37" s="475" t="s">
        <v>1450</v>
      </c>
      <c r="B37" s="586" t="s">
        <v>19</v>
      </c>
      <c r="C37" s="476">
        <v>25</v>
      </c>
      <c r="D37" s="477"/>
      <c r="E37" s="477"/>
      <c r="F37" s="627"/>
      <c r="G37" s="477">
        <v>2</v>
      </c>
      <c r="H37" s="477"/>
      <c r="I37" s="627"/>
      <c r="J37" s="477"/>
      <c r="K37" s="477"/>
      <c r="L37" s="477"/>
      <c r="M37" s="477"/>
      <c r="N37" s="477">
        <f t="shared" si="0"/>
        <v>2</v>
      </c>
      <c r="O37" s="478">
        <f t="shared" si="3"/>
        <v>50</v>
      </c>
    </row>
    <row r="38" spans="1:15" ht="30">
      <c r="A38" s="475" t="s">
        <v>1451</v>
      </c>
      <c r="B38" s="586" t="s">
        <v>19</v>
      </c>
      <c r="C38" s="476">
        <v>18</v>
      </c>
      <c r="D38" s="477"/>
      <c r="E38" s="477"/>
      <c r="F38" s="627"/>
      <c r="G38" s="477">
        <v>1</v>
      </c>
      <c r="H38" s="477"/>
      <c r="I38" s="627"/>
      <c r="J38" s="477"/>
      <c r="K38" s="477"/>
      <c r="L38" s="477"/>
      <c r="M38" s="477"/>
      <c r="N38" s="477">
        <f>SUM(D38:M38)</f>
        <v>1</v>
      </c>
      <c r="O38" s="478">
        <f t="shared" si="3"/>
        <v>18</v>
      </c>
    </row>
    <row r="39" spans="1:15">
      <c r="A39" s="475" t="s">
        <v>1452</v>
      </c>
      <c r="B39" s="586" t="s">
        <v>19</v>
      </c>
      <c r="C39" s="476">
        <v>15</v>
      </c>
      <c r="D39" s="477"/>
      <c r="E39" s="477"/>
      <c r="F39" s="627"/>
      <c r="G39" s="477">
        <v>1</v>
      </c>
      <c r="H39" s="477"/>
      <c r="I39" s="627"/>
      <c r="J39" s="477"/>
      <c r="K39" s="477"/>
      <c r="L39" s="477"/>
      <c r="M39" s="477"/>
      <c r="N39" s="477">
        <f t="shared" si="0"/>
        <v>1</v>
      </c>
      <c r="O39" s="478">
        <f t="shared" si="3"/>
        <v>15</v>
      </c>
    </row>
    <row r="40" spans="1:15" ht="45">
      <c r="A40" s="475" t="s">
        <v>1453</v>
      </c>
      <c r="B40" s="586" t="s">
        <v>19</v>
      </c>
      <c r="C40" s="476">
        <v>15</v>
      </c>
      <c r="D40" s="477"/>
      <c r="E40" s="477"/>
      <c r="F40" s="627"/>
      <c r="G40" s="477">
        <v>1</v>
      </c>
      <c r="H40" s="477"/>
      <c r="I40" s="627"/>
      <c r="J40" s="477"/>
      <c r="K40" s="477"/>
      <c r="L40" s="477"/>
      <c r="M40" s="477"/>
      <c r="N40" s="477">
        <f t="shared" si="0"/>
        <v>1</v>
      </c>
      <c r="O40" s="478">
        <f t="shared" si="3"/>
        <v>15</v>
      </c>
    </row>
    <row r="41" spans="1:15" ht="30">
      <c r="A41" s="475" t="s">
        <v>1454</v>
      </c>
      <c r="B41" s="586" t="s">
        <v>19</v>
      </c>
      <c r="C41" s="476">
        <v>270</v>
      </c>
      <c r="D41" s="477"/>
      <c r="E41" s="477"/>
      <c r="F41" s="627"/>
      <c r="G41" s="477">
        <v>1</v>
      </c>
      <c r="H41" s="477"/>
      <c r="I41" s="627"/>
      <c r="J41" s="477"/>
      <c r="K41" s="477"/>
      <c r="L41" s="477"/>
      <c r="M41" s="477"/>
      <c r="N41" s="477">
        <f t="shared" si="0"/>
        <v>1</v>
      </c>
      <c r="O41" s="478">
        <f t="shared" si="3"/>
        <v>270</v>
      </c>
    </row>
    <row r="42" spans="1:15" ht="30">
      <c r="A42" s="475" t="s">
        <v>1455</v>
      </c>
      <c r="B42" s="586" t="s">
        <v>19</v>
      </c>
      <c r="C42" s="476">
        <v>80</v>
      </c>
      <c r="D42" s="477"/>
      <c r="E42" s="477"/>
      <c r="F42" s="627"/>
      <c r="G42" s="477"/>
      <c r="H42" s="477"/>
      <c r="I42" s="633">
        <v>1</v>
      </c>
      <c r="J42" s="477"/>
      <c r="K42" s="477"/>
      <c r="L42" s="477"/>
      <c r="M42" s="477"/>
      <c r="N42" s="477">
        <f t="shared" si="0"/>
        <v>1</v>
      </c>
      <c r="O42" s="478">
        <f t="shared" si="3"/>
        <v>80</v>
      </c>
    </row>
    <row r="43" spans="1:15" ht="30">
      <c r="A43" s="475" t="s">
        <v>1456</v>
      </c>
      <c r="B43" s="586" t="s">
        <v>19</v>
      </c>
      <c r="C43" s="476">
        <v>15</v>
      </c>
      <c r="D43" s="477"/>
      <c r="E43" s="477"/>
      <c r="F43" s="627"/>
      <c r="G43" s="477"/>
      <c r="H43" s="477"/>
      <c r="I43" s="627"/>
      <c r="J43" s="477">
        <v>1</v>
      </c>
      <c r="K43" s="481"/>
      <c r="L43" s="477">
        <v>1</v>
      </c>
      <c r="M43" s="477"/>
      <c r="N43" s="477">
        <f t="shared" si="0"/>
        <v>2</v>
      </c>
      <c r="O43" s="478">
        <f t="shared" si="3"/>
        <v>30</v>
      </c>
    </row>
    <row r="44" spans="1:15">
      <c r="A44" s="475" t="s">
        <v>1457</v>
      </c>
      <c r="B44" s="586" t="s">
        <v>19</v>
      </c>
      <c r="C44" s="476">
        <v>25</v>
      </c>
      <c r="D44" s="477"/>
      <c r="E44" s="477"/>
      <c r="F44" s="627"/>
      <c r="G44" s="477"/>
      <c r="H44" s="477">
        <v>2</v>
      </c>
      <c r="I44" s="627"/>
      <c r="J44" s="477"/>
      <c r="K44" s="481"/>
      <c r="L44" s="477">
        <v>1</v>
      </c>
      <c r="M44" s="477"/>
      <c r="N44" s="477">
        <f t="shared" si="0"/>
        <v>3</v>
      </c>
      <c r="O44" s="478">
        <f t="shared" si="3"/>
        <v>75</v>
      </c>
    </row>
    <row r="45" spans="1:15" ht="30">
      <c r="A45" s="475" t="s">
        <v>1458</v>
      </c>
      <c r="B45" s="586" t="s">
        <v>19</v>
      </c>
      <c r="C45" s="476">
        <v>15</v>
      </c>
      <c r="D45" s="477"/>
      <c r="E45" s="477"/>
      <c r="F45" s="627"/>
      <c r="G45" s="477"/>
      <c r="H45" s="477">
        <v>1</v>
      </c>
      <c r="I45" s="627"/>
      <c r="J45" s="477"/>
      <c r="K45" s="477"/>
      <c r="L45" s="477"/>
      <c r="M45" s="477"/>
      <c r="N45" s="477">
        <f t="shared" si="0"/>
        <v>1</v>
      </c>
      <c r="O45" s="478">
        <f t="shared" si="3"/>
        <v>15</v>
      </c>
    </row>
    <row r="46" spans="1:15" ht="30">
      <c r="A46" s="475" t="s">
        <v>1459</v>
      </c>
      <c r="B46" s="586" t="s">
        <v>19</v>
      </c>
      <c r="C46" s="476">
        <v>22</v>
      </c>
      <c r="D46" s="477"/>
      <c r="E46" s="477"/>
      <c r="F46" s="627"/>
      <c r="G46" s="477"/>
      <c r="H46" s="477">
        <v>2</v>
      </c>
      <c r="I46" s="627"/>
      <c r="J46" s="477"/>
      <c r="K46" s="477"/>
      <c r="L46" s="477"/>
      <c r="M46" s="477"/>
      <c r="N46" s="477">
        <f>SUM(D46:M46)</f>
        <v>2</v>
      </c>
      <c r="O46" s="478">
        <f t="shared" si="3"/>
        <v>44</v>
      </c>
    </row>
    <row r="47" spans="1:15" ht="30">
      <c r="A47" s="475" t="s">
        <v>1460</v>
      </c>
      <c r="B47" s="586" t="s">
        <v>19</v>
      </c>
      <c r="C47" s="476">
        <v>100</v>
      </c>
      <c r="D47" s="477"/>
      <c r="E47" s="477"/>
      <c r="F47" s="627"/>
      <c r="G47" s="477"/>
      <c r="H47" s="477">
        <v>1</v>
      </c>
      <c r="I47" s="627"/>
      <c r="J47" s="477"/>
      <c r="K47" s="477"/>
      <c r="L47" s="477"/>
      <c r="M47" s="477"/>
      <c r="N47" s="477">
        <f t="shared" si="0"/>
        <v>1</v>
      </c>
      <c r="O47" s="478">
        <f t="shared" si="3"/>
        <v>100</v>
      </c>
    </row>
    <row r="48" spans="1:15">
      <c r="A48" s="484" t="s">
        <v>1461</v>
      </c>
      <c r="B48" s="586" t="s">
        <v>19</v>
      </c>
      <c r="C48" s="480">
        <v>495</v>
      </c>
      <c r="D48" s="477"/>
      <c r="E48" s="477"/>
      <c r="F48" s="627"/>
      <c r="G48" s="477"/>
      <c r="H48" s="477">
        <v>1</v>
      </c>
      <c r="I48" s="627"/>
      <c r="J48" s="477"/>
      <c r="K48" s="477"/>
      <c r="L48" s="477"/>
      <c r="M48" s="477"/>
      <c r="N48" s="477">
        <f t="shared" si="0"/>
        <v>1</v>
      </c>
      <c r="O48" s="478">
        <f t="shared" si="3"/>
        <v>495</v>
      </c>
    </row>
    <row r="49" spans="1:25">
      <c r="A49" s="475" t="s">
        <v>1462</v>
      </c>
      <c r="B49" s="586" t="s">
        <v>19</v>
      </c>
      <c r="C49" s="476">
        <v>145</v>
      </c>
      <c r="D49" s="477"/>
      <c r="E49" s="477"/>
      <c r="F49" s="627"/>
      <c r="G49" s="477"/>
      <c r="H49" s="477">
        <v>2</v>
      </c>
      <c r="I49" s="627"/>
      <c r="J49" s="477"/>
      <c r="K49" s="477"/>
      <c r="L49" s="477"/>
      <c r="M49" s="477"/>
      <c r="N49" s="477">
        <f t="shared" si="0"/>
        <v>2</v>
      </c>
      <c r="O49" s="478">
        <f t="shared" si="3"/>
        <v>290</v>
      </c>
    </row>
    <row r="50" spans="1:25" ht="30">
      <c r="A50" s="475" t="s">
        <v>1463</v>
      </c>
      <c r="B50" s="586" t="s">
        <v>19</v>
      </c>
      <c r="C50" s="476">
        <v>25</v>
      </c>
      <c r="D50" s="477"/>
      <c r="E50" s="477"/>
      <c r="F50" s="627"/>
      <c r="G50" s="477"/>
      <c r="H50" s="477">
        <v>1</v>
      </c>
      <c r="I50" s="627"/>
      <c r="J50" s="477"/>
      <c r="K50" s="477"/>
      <c r="L50" s="477"/>
      <c r="M50" s="477"/>
      <c r="N50" s="477">
        <f t="shared" si="0"/>
        <v>1</v>
      </c>
      <c r="O50" s="478">
        <f t="shared" si="3"/>
        <v>25</v>
      </c>
    </row>
    <row r="51" spans="1:25" ht="30">
      <c r="A51" s="475" t="s">
        <v>1464</v>
      </c>
      <c r="B51" s="586" t="s">
        <v>19</v>
      </c>
      <c r="C51" s="476">
        <v>15</v>
      </c>
      <c r="D51" s="477"/>
      <c r="E51" s="477"/>
      <c r="F51" s="627"/>
      <c r="G51" s="477"/>
      <c r="H51" s="477">
        <v>4</v>
      </c>
      <c r="I51" s="627"/>
      <c r="J51" s="477"/>
      <c r="K51" s="477"/>
      <c r="L51" s="477"/>
      <c r="M51" s="477"/>
      <c r="N51" s="477">
        <f t="shared" si="0"/>
        <v>4</v>
      </c>
      <c r="O51" s="478">
        <f t="shared" si="3"/>
        <v>60</v>
      </c>
    </row>
    <row r="52" spans="1:25" ht="45">
      <c r="A52" s="475" t="s">
        <v>1465</v>
      </c>
      <c r="B52" s="586" t="s">
        <v>19</v>
      </c>
      <c r="C52" s="476">
        <v>27</v>
      </c>
      <c r="D52" s="477"/>
      <c r="E52" s="477"/>
      <c r="F52" s="627"/>
      <c r="G52" s="477"/>
      <c r="H52" s="477">
        <v>1</v>
      </c>
      <c r="I52" s="627"/>
      <c r="J52" s="477"/>
      <c r="K52" s="477"/>
      <c r="L52" s="477"/>
      <c r="M52" s="477"/>
      <c r="N52" s="477">
        <f t="shared" si="0"/>
        <v>1</v>
      </c>
      <c r="O52" s="478">
        <f t="shared" si="3"/>
        <v>27</v>
      </c>
      <c r="P52" s="485">
        <f>6879-O53</f>
        <v>0</v>
      </c>
    </row>
    <row r="53" spans="1:25">
      <c r="A53" s="475" t="s">
        <v>1466</v>
      </c>
      <c r="B53" s="586"/>
      <c r="C53" s="503"/>
      <c r="D53" s="477">
        <f>(D7*$C7)+(D8*$C8)+(D9*$C9)+(D10*$C10)+(D11*$C11)+($C12*D12)+(D13*$C13)+($C14*D14)+(D15*$C15)+($C16*D16)+($C17*D17)+(D18*$C18)+(D19*$C19)+(D20*$C20)+(D21*$C21)+(D22*$C22)+($C27*D27)+($C23*D23)+($C24*D24)+($C25*D25)+($C26*D26)+($C28*D28)+($C29*D29)+($C30*D30)+($C31*D31)+($C32*D32)+($C33*D33)+(D34*$C34)+(D35*$C35)+(D36*$C36)+($C37*D37)+($C38*D38)+($C39*D39)+($C40*D40)+($C41*D41)+($C42*D42)+($C43*D43)+($C44*D44)+($C45*D45)+($C46*D46)+($C47*D47)+($C48*D48)+($C49*D49)+($C50*D50)+($C51*D51)+($C52*D52)</f>
        <v>264</v>
      </c>
      <c r="E53" s="477">
        <f t="shared" ref="E53:M53" si="4">(E7*$C7)+(E8*$C8)+(E9*$C9)+(E10*$C10)+(E11*$C11)+($C12*E12)+(E13*$C13)+($C14*E14)+(E15*$C15)+($C16*E16)+($C17*E17)+(E18*$C18)+(E19*$C19)+(E20*$C20)+(E21*$C21)+(E22*$C22)+($C27*E27)+($C23*E23)+($C24*E24)+($C25*E25)+($C26*E26)+($C28*E28)+($C29*E29)+($C30*E30)+($C31*E31)+($C32*E32)+($C33*E33)+(E34*$C34)+(E35*$C35)+(E36*$C36)+($C37*E37)+($C38*E38)+($C39*E39)+($C40*E40)+($C41*E41)+($C42*E42)+($C43*E43)+($C44*E44)+($C45*E45)+($C46*E46)+($C47*E47)+($C48*E48)+($C49*E49)+($C50*E50)+($C51*E51)+($C52*E52)</f>
        <v>841</v>
      </c>
      <c r="F53" s="627">
        <f t="shared" si="4"/>
        <v>393</v>
      </c>
      <c r="G53" s="477">
        <f t="shared" si="4"/>
        <v>1329</v>
      </c>
      <c r="H53" s="477">
        <f t="shared" si="4"/>
        <v>1381</v>
      </c>
      <c r="I53" s="627">
        <f t="shared" si="4"/>
        <v>619</v>
      </c>
      <c r="J53" s="477">
        <f t="shared" si="4"/>
        <v>530</v>
      </c>
      <c r="K53" s="477">
        <f t="shared" si="4"/>
        <v>881</v>
      </c>
      <c r="L53" s="477">
        <f t="shared" si="4"/>
        <v>300</v>
      </c>
      <c r="M53" s="477">
        <f t="shared" si="4"/>
        <v>341</v>
      </c>
      <c r="N53" s="523"/>
      <c r="O53" s="589">
        <f>SUM(D53:M53)</f>
        <v>6879</v>
      </c>
      <c r="X53" s="485"/>
    </row>
    <row r="54" spans="1:25">
      <c r="A54" s="590" t="s">
        <v>966</v>
      </c>
      <c r="B54" s="587"/>
      <c r="C54" s="588"/>
      <c r="D54" s="473"/>
      <c r="E54" s="473"/>
      <c r="F54" s="626"/>
      <c r="G54" s="473"/>
      <c r="H54" s="473"/>
      <c r="I54" s="626"/>
      <c r="J54" s="473"/>
      <c r="K54" s="473"/>
      <c r="L54" s="473"/>
      <c r="M54" s="473"/>
      <c r="N54" s="473"/>
      <c r="O54" s="474"/>
      <c r="Y54" s="485"/>
    </row>
    <row r="55" spans="1:25" ht="105">
      <c r="A55" s="475" t="s">
        <v>1467</v>
      </c>
      <c r="B55" s="586" t="s">
        <v>19</v>
      </c>
      <c r="C55" s="476">
        <v>70</v>
      </c>
      <c r="D55" s="477">
        <v>3</v>
      </c>
      <c r="E55" s="477"/>
      <c r="F55" s="627"/>
      <c r="G55" s="477"/>
      <c r="H55" s="477"/>
      <c r="I55" s="627"/>
      <c r="J55" s="477">
        <v>2</v>
      </c>
      <c r="K55" s="477"/>
      <c r="L55" s="479"/>
      <c r="M55" s="477"/>
      <c r="N55" s="477">
        <f t="shared" ref="N55:N61" si="5">SUM(D55:M55)</f>
        <v>5</v>
      </c>
      <c r="O55" s="478">
        <f t="shared" ref="O55:O61" si="6">N55*C55</f>
        <v>350</v>
      </c>
      <c r="R55" s="493"/>
    </row>
    <row r="56" spans="1:25" ht="75">
      <c r="A56" s="475" t="s">
        <v>1468</v>
      </c>
      <c r="B56" s="586" t="s">
        <v>19</v>
      </c>
      <c r="C56" s="476">
        <v>125</v>
      </c>
      <c r="D56" s="477"/>
      <c r="E56" s="477"/>
      <c r="F56" s="627"/>
      <c r="G56" s="477">
        <v>1</v>
      </c>
      <c r="H56" s="477"/>
      <c r="I56" s="627"/>
      <c r="J56" s="477"/>
      <c r="K56" s="477"/>
      <c r="L56" s="479"/>
      <c r="M56" s="477"/>
      <c r="N56" s="477">
        <f t="shared" si="5"/>
        <v>1</v>
      </c>
      <c r="O56" s="478">
        <f t="shared" si="6"/>
        <v>125</v>
      </c>
      <c r="R56" s="493"/>
    </row>
    <row r="57" spans="1:25">
      <c r="A57" s="475" t="s">
        <v>1469</v>
      </c>
      <c r="B57" s="586" t="s">
        <v>19</v>
      </c>
      <c r="C57" s="476">
        <v>10</v>
      </c>
      <c r="D57" s="477"/>
      <c r="E57" s="477"/>
      <c r="F57" s="627"/>
      <c r="G57" s="477">
        <v>1</v>
      </c>
      <c r="H57" s="477"/>
      <c r="I57" s="627"/>
      <c r="J57" s="477">
        <v>1</v>
      </c>
      <c r="K57" s="477"/>
      <c r="L57" s="477"/>
      <c r="M57" s="477"/>
      <c r="N57" s="477">
        <f t="shared" si="5"/>
        <v>2</v>
      </c>
      <c r="O57" s="478">
        <f t="shared" si="6"/>
        <v>20</v>
      </c>
    </row>
    <row r="58" spans="1:25">
      <c r="A58" s="475" t="s">
        <v>1470</v>
      </c>
      <c r="B58" s="586" t="s">
        <v>19</v>
      </c>
      <c r="C58" s="476">
        <f>36/9</f>
        <v>4</v>
      </c>
      <c r="D58" s="477">
        <v>5</v>
      </c>
      <c r="E58" s="477">
        <v>7</v>
      </c>
      <c r="F58" s="627">
        <v>8</v>
      </c>
      <c r="G58" s="477">
        <v>3</v>
      </c>
      <c r="H58" s="477">
        <v>6</v>
      </c>
      <c r="I58" s="633">
        <v>8</v>
      </c>
      <c r="J58" s="477">
        <v>8</v>
      </c>
      <c r="K58" s="477">
        <v>4</v>
      </c>
      <c r="L58" s="477">
        <v>5</v>
      </c>
      <c r="M58" s="477">
        <v>1</v>
      </c>
      <c r="N58" s="477">
        <f t="shared" si="5"/>
        <v>55</v>
      </c>
      <c r="O58" s="478">
        <f t="shared" si="6"/>
        <v>220</v>
      </c>
    </row>
    <row r="59" spans="1:25">
      <c r="A59" s="475" t="s">
        <v>1471</v>
      </c>
      <c r="B59" s="586" t="s">
        <v>19</v>
      </c>
      <c r="C59" s="476">
        <v>17</v>
      </c>
      <c r="D59" s="479">
        <v>3</v>
      </c>
      <c r="E59" s="477">
        <v>1</v>
      </c>
      <c r="F59" s="627"/>
      <c r="G59" s="477">
        <v>5</v>
      </c>
      <c r="H59" s="477"/>
      <c r="I59" s="633">
        <v>8</v>
      </c>
      <c r="J59" s="477"/>
      <c r="K59" s="477">
        <v>4</v>
      </c>
      <c r="L59" s="477"/>
      <c r="M59" s="477"/>
      <c r="N59" s="477">
        <f t="shared" si="5"/>
        <v>21</v>
      </c>
      <c r="O59" s="478">
        <f t="shared" si="6"/>
        <v>357</v>
      </c>
    </row>
    <row r="60" spans="1:25">
      <c r="A60" s="475" t="s">
        <v>1472</v>
      </c>
      <c r="B60" s="586" t="s">
        <v>19</v>
      </c>
      <c r="C60" s="476">
        <v>15</v>
      </c>
      <c r="D60" s="477">
        <v>17</v>
      </c>
      <c r="E60" s="477"/>
      <c r="F60" s="627"/>
      <c r="G60" s="477"/>
      <c r="H60" s="477"/>
      <c r="I60" s="627"/>
      <c r="J60" s="477"/>
      <c r="K60" s="477"/>
      <c r="L60" s="477"/>
      <c r="M60" s="477"/>
      <c r="N60" s="477">
        <f t="shared" si="5"/>
        <v>17</v>
      </c>
      <c r="O60" s="478">
        <f t="shared" si="6"/>
        <v>255</v>
      </c>
    </row>
    <row r="61" spans="1:25">
      <c r="A61" s="475" t="s">
        <v>1473</v>
      </c>
      <c r="B61" s="586" t="s">
        <v>19</v>
      </c>
      <c r="C61" s="476">
        <v>25</v>
      </c>
      <c r="D61" s="477"/>
      <c r="E61" s="477"/>
      <c r="F61" s="627"/>
      <c r="G61" s="477"/>
      <c r="H61" s="477">
        <v>1</v>
      </c>
      <c r="I61" s="627"/>
      <c r="J61" s="477"/>
      <c r="K61" s="477"/>
      <c r="L61" s="477"/>
      <c r="M61" s="477"/>
      <c r="N61" s="477">
        <f t="shared" si="5"/>
        <v>1</v>
      </c>
      <c r="O61" s="478">
        <f t="shared" si="6"/>
        <v>25</v>
      </c>
      <c r="P61" s="467">
        <f>1352-O62</f>
        <v>0</v>
      </c>
    </row>
    <row r="62" spans="1:25" ht="15.75" thickBot="1">
      <c r="A62" s="494" t="s">
        <v>1466</v>
      </c>
      <c r="B62" s="591"/>
      <c r="C62" s="496"/>
      <c r="D62" s="496">
        <f>($C55*D55)+($C56*D56)+(D57*$C57)+($C58*D58)+($C59*D59)+($C60*D60)+($C61*D61)</f>
        <v>536</v>
      </c>
      <c r="E62" s="496">
        <f t="shared" ref="E62:M62" si="7">($C55*E55)+($C56*E56)+(E57*$C57)+($C58*E58)+($C59*E59)+($C60*E60)+($C61*E61)</f>
        <v>45</v>
      </c>
      <c r="F62" s="628">
        <f t="shared" si="7"/>
        <v>32</v>
      </c>
      <c r="G62" s="496">
        <f t="shared" si="7"/>
        <v>232</v>
      </c>
      <c r="H62" s="496">
        <f t="shared" si="7"/>
        <v>49</v>
      </c>
      <c r="I62" s="628">
        <f t="shared" si="7"/>
        <v>168</v>
      </c>
      <c r="J62" s="496">
        <f t="shared" si="7"/>
        <v>182</v>
      </c>
      <c r="K62" s="496">
        <f t="shared" si="7"/>
        <v>84</v>
      </c>
      <c r="L62" s="496">
        <f t="shared" si="7"/>
        <v>20</v>
      </c>
      <c r="M62" s="496">
        <f t="shared" si="7"/>
        <v>4</v>
      </c>
      <c r="N62" s="496"/>
      <c r="O62" s="592">
        <f>SUM(D62:M62)</f>
        <v>1352</v>
      </c>
    </row>
    <row r="63" spans="1:25" ht="15.75" thickBot="1">
      <c r="A63" s="593" t="s">
        <v>1474</v>
      </c>
      <c r="B63" s="594"/>
      <c r="C63" s="595"/>
      <c r="D63" s="596"/>
      <c r="E63" s="596"/>
      <c r="F63" s="629"/>
      <c r="G63" s="596"/>
      <c r="H63" s="596"/>
      <c r="I63" s="629"/>
      <c r="J63" s="596"/>
      <c r="K63" s="596"/>
      <c r="L63" s="596"/>
      <c r="M63" s="596"/>
      <c r="N63" s="596"/>
      <c r="O63" s="597"/>
    </row>
    <row r="64" spans="1:25" ht="45">
      <c r="A64" s="601" t="s">
        <v>1475</v>
      </c>
      <c r="B64" s="602" t="s">
        <v>18</v>
      </c>
      <c r="C64" s="603">
        <v>10</v>
      </c>
      <c r="D64" s="491">
        <v>3</v>
      </c>
      <c r="E64" s="491">
        <v>2</v>
      </c>
      <c r="F64" s="630"/>
      <c r="G64" s="491">
        <v>7</v>
      </c>
      <c r="H64" s="491"/>
      <c r="I64" s="630"/>
      <c r="J64" s="491">
        <v>1</v>
      </c>
      <c r="K64" s="491"/>
      <c r="L64" s="491"/>
      <c r="M64" s="491"/>
      <c r="N64" s="491">
        <f t="shared" ref="N64:N71" si="8">SUM(D64:M64)</f>
        <v>13</v>
      </c>
      <c r="O64" s="492">
        <f t="shared" ref="O64:O71" si="9">N64*C64</f>
        <v>130</v>
      </c>
    </row>
    <row r="65" spans="1:15">
      <c r="A65" s="484" t="s">
        <v>1476</v>
      </c>
      <c r="B65" s="598" t="s">
        <v>18</v>
      </c>
      <c r="C65" s="501">
        <v>4</v>
      </c>
      <c r="D65" s="477">
        <v>3</v>
      </c>
      <c r="E65" s="477">
        <v>4</v>
      </c>
      <c r="F65" s="627"/>
      <c r="G65" s="477">
        <v>9</v>
      </c>
      <c r="H65" s="477"/>
      <c r="I65" s="627"/>
      <c r="J65" s="477">
        <v>2</v>
      </c>
      <c r="K65" s="477">
        <v>1</v>
      </c>
      <c r="L65" s="477">
        <v>1</v>
      </c>
      <c r="M65" s="477">
        <v>1</v>
      </c>
      <c r="N65" s="477">
        <f t="shared" si="8"/>
        <v>21</v>
      </c>
      <c r="O65" s="478">
        <f t="shared" si="9"/>
        <v>84</v>
      </c>
    </row>
    <row r="66" spans="1:15" s="639" customFormat="1">
      <c r="A66" s="634" t="s">
        <v>1477</v>
      </c>
      <c r="B66" s="635" t="s">
        <v>18</v>
      </c>
      <c r="C66" s="636">
        <v>4</v>
      </c>
      <c r="D66" s="637">
        <v>3</v>
      </c>
      <c r="E66" s="637">
        <v>2</v>
      </c>
      <c r="F66" s="637"/>
      <c r="G66" s="637"/>
      <c r="H66" s="637">
        <v>3</v>
      </c>
      <c r="I66" s="652">
        <v>8</v>
      </c>
      <c r="J66" s="637">
        <v>4</v>
      </c>
      <c r="K66" s="637">
        <v>4</v>
      </c>
      <c r="L66" s="637">
        <v>2</v>
      </c>
      <c r="M66" s="637">
        <v>3</v>
      </c>
      <c r="N66" s="637">
        <f t="shared" si="8"/>
        <v>29</v>
      </c>
      <c r="O66" s="638">
        <f t="shared" si="9"/>
        <v>116</v>
      </c>
    </row>
    <row r="67" spans="1:15">
      <c r="A67" s="475" t="s">
        <v>1478</v>
      </c>
      <c r="B67" s="598" t="s">
        <v>18</v>
      </c>
      <c r="C67" s="502">
        <v>5</v>
      </c>
      <c r="D67" s="477">
        <v>5</v>
      </c>
      <c r="E67" s="477">
        <v>7</v>
      </c>
      <c r="F67" s="627">
        <v>10</v>
      </c>
      <c r="G67" s="477"/>
      <c r="H67" s="477">
        <v>2</v>
      </c>
      <c r="I67" s="652">
        <v>8</v>
      </c>
      <c r="J67" s="477">
        <v>4</v>
      </c>
      <c r="K67" s="477">
        <v>4</v>
      </c>
      <c r="L67" s="477">
        <v>7</v>
      </c>
      <c r="M67" s="477">
        <v>5</v>
      </c>
      <c r="N67" s="477">
        <f t="shared" si="8"/>
        <v>52</v>
      </c>
      <c r="O67" s="478">
        <f t="shared" si="9"/>
        <v>260</v>
      </c>
    </row>
    <row r="68" spans="1:15">
      <c r="A68" s="475" t="s">
        <v>1479</v>
      </c>
      <c r="B68" s="598" t="s">
        <v>18</v>
      </c>
      <c r="C68" s="502">
        <v>8</v>
      </c>
      <c r="D68" s="477">
        <v>3</v>
      </c>
      <c r="E68" s="477"/>
      <c r="F68" s="627"/>
      <c r="G68" s="477"/>
      <c r="H68" s="477"/>
      <c r="I68" s="627"/>
      <c r="J68" s="477"/>
      <c r="K68" s="481"/>
      <c r="L68" s="477"/>
      <c r="M68" s="477"/>
      <c r="N68" s="477">
        <f t="shared" si="8"/>
        <v>3</v>
      </c>
      <c r="O68" s="478">
        <f t="shared" si="9"/>
        <v>24</v>
      </c>
    </row>
    <row r="69" spans="1:15">
      <c r="A69" s="475" t="s">
        <v>1480</v>
      </c>
      <c r="B69" s="598" t="s">
        <v>18</v>
      </c>
      <c r="C69" s="502">
        <v>3.5</v>
      </c>
      <c r="D69" s="477">
        <v>4</v>
      </c>
      <c r="E69" s="477">
        <v>8</v>
      </c>
      <c r="F69" s="627"/>
      <c r="G69" s="477"/>
      <c r="H69" s="477">
        <v>4</v>
      </c>
      <c r="I69" s="653">
        <v>8</v>
      </c>
      <c r="J69" s="477">
        <v>6</v>
      </c>
      <c r="K69" s="477">
        <v>3</v>
      </c>
      <c r="L69" s="477">
        <v>3</v>
      </c>
      <c r="M69" s="477">
        <v>2</v>
      </c>
      <c r="N69" s="477">
        <f t="shared" si="8"/>
        <v>38</v>
      </c>
      <c r="O69" s="478">
        <f t="shared" si="9"/>
        <v>133</v>
      </c>
    </row>
    <row r="70" spans="1:15">
      <c r="A70" s="475" t="s">
        <v>1481</v>
      </c>
      <c r="B70" s="598" t="s">
        <v>18</v>
      </c>
      <c r="C70" s="502">
        <v>4.5</v>
      </c>
      <c r="D70" s="477"/>
      <c r="E70" s="477"/>
      <c r="F70" s="627">
        <v>1</v>
      </c>
      <c r="G70" s="477"/>
      <c r="H70" s="477"/>
      <c r="I70" s="627"/>
      <c r="J70" s="477"/>
      <c r="K70" s="481"/>
      <c r="L70" s="477">
        <v>1</v>
      </c>
      <c r="M70" s="477">
        <v>1</v>
      </c>
      <c r="N70" s="477">
        <f t="shared" si="8"/>
        <v>3</v>
      </c>
      <c r="O70" s="478">
        <f t="shared" si="9"/>
        <v>13.5</v>
      </c>
    </row>
    <row r="71" spans="1:15">
      <c r="A71" s="475" t="s">
        <v>1482</v>
      </c>
      <c r="B71" s="598" t="s">
        <v>18</v>
      </c>
      <c r="C71" s="503">
        <v>1</v>
      </c>
      <c r="D71" s="477"/>
      <c r="E71" s="477"/>
      <c r="F71" s="627"/>
      <c r="G71" s="477"/>
      <c r="H71" s="477"/>
      <c r="I71" s="627"/>
      <c r="J71" s="477"/>
      <c r="K71" s="481"/>
      <c r="L71" s="477"/>
      <c r="M71" s="477">
        <v>1</v>
      </c>
      <c r="N71" s="477">
        <f t="shared" si="8"/>
        <v>1</v>
      </c>
      <c r="O71" s="478">
        <f t="shared" si="9"/>
        <v>1</v>
      </c>
    </row>
    <row r="72" spans="1:15">
      <c r="A72" s="475" t="s">
        <v>1483</v>
      </c>
      <c r="B72" s="598" t="s">
        <v>18</v>
      </c>
      <c r="C72" s="502">
        <v>1.5</v>
      </c>
      <c r="D72" s="477"/>
      <c r="E72" s="477"/>
      <c r="F72" s="627">
        <v>2</v>
      </c>
      <c r="G72" s="477"/>
      <c r="H72" s="477"/>
      <c r="I72" s="627"/>
      <c r="J72" s="477"/>
      <c r="K72" s="481"/>
      <c r="L72" s="477"/>
      <c r="M72" s="477"/>
      <c r="N72" s="477">
        <f>SUM(D72:M72)</f>
        <v>2</v>
      </c>
      <c r="O72" s="478">
        <f>N72*C72</f>
        <v>3</v>
      </c>
    </row>
    <row r="73" spans="1:15">
      <c r="A73" s="475" t="s">
        <v>1484</v>
      </c>
      <c r="B73" s="598" t="s">
        <v>18</v>
      </c>
      <c r="C73" s="502">
        <v>1.5</v>
      </c>
      <c r="D73" s="477"/>
      <c r="E73" s="477"/>
      <c r="F73" s="627"/>
      <c r="G73" s="477">
        <v>1</v>
      </c>
      <c r="H73" s="477"/>
      <c r="I73" s="627"/>
      <c r="J73" s="477"/>
      <c r="K73" s="477">
        <v>1</v>
      </c>
      <c r="L73" s="477"/>
      <c r="M73" s="477">
        <v>1</v>
      </c>
      <c r="N73" s="477">
        <f t="shared" ref="N73:N109" si="10">SUM(D73:M73)</f>
        <v>3</v>
      </c>
      <c r="O73" s="478">
        <f t="shared" ref="O73:O109" si="11">N73*C73</f>
        <v>4.5</v>
      </c>
    </row>
    <row r="74" spans="1:15">
      <c r="A74" s="475" t="s">
        <v>1485</v>
      </c>
      <c r="B74" s="598" t="s">
        <v>18</v>
      </c>
      <c r="C74" s="502">
        <v>0.5</v>
      </c>
      <c r="D74" s="477"/>
      <c r="E74" s="477"/>
      <c r="F74" s="627"/>
      <c r="G74" s="477"/>
      <c r="H74" s="477"/>
      <c r="I74" s="627"/>
      <c r="J74" s="477">
        <v>6</v>
      </c>
      <c r="K74" s="477">
        <v>4</v>
      </c>
      <c r="L74" s="477">
        <v>7</v>
      </c>
      <c r="M74" s="477"/>
      <c r="N74" s="477">
        <f t="shared" si="10"/>
        <v>17</v>
      </c>
      <c r="O74" s="478">
        <f t="shared" si="11"/>
        <v>8.5</v>
      </c>
    </row>
    <row r="75" spans="1:15" s="862" customFormat="1">
      <c r="A75" s="858" t="s">
        <v>1486</v>
      </c>
      <c r="B75" s="859" t="s">
        <v>18</v>
      </c>
      <c r="C75" s="860">
        <v>1.5</v>
      </c>
      <c r="D75" s="640">
        <v>3</v>
      </c>
      <c r="E75" s="640">
        <v>3</v>
      </c>
      <c r="F75" s="640"/>
      <c r="G75" s="640">
        <v>6</v>
      </c>
      <c r="H75" s="640"/>
      <c r="I75" s="652">
        <v>5</v>
      </c>
      <c r="J75" s="640"/>
      <c r="K75" s="640">
        <v>1</v>
      </c>
      <c r="L75" s="640">
        <v>1</v>
      </c>
      <c r="M75" s="640">
        <v>3</v>
      </c>
      <c r="N75" s="640">
        <f t="shared" si="10"/>
        <v>22</v>
      </c>
      <c r="O75" s="861">
        <f t="shared" si="11"/>
        <v>33</v>
      </c>
    </row>
    <row r="76" spans="1:15">
      <c r="A76" s="475" t="s">
        <v>1487</v>
      </c>
      <c r="B76" s="598" t="s">
        <v>18</v>
      </c>
      <c r="C76" s="502">
        <v>3</v>
      </c>
      <c r="D76" s="477">
        <v>3</v>
      </c>
      <c r="E76" s="477">
        <v>2</v>
      </c>
      <c r="F76" s="627"/>
      <c r="G76" s="477"/>
      <c r="H76" s="477"/>
      <c r="I76" s="627"/>
      <c r="J76" s="477"/>
      <c r="K76" s="481"/>
      <c r="L76" s="477"/>
      <c r="M76" s="477"/>
      <c r="N76" s="477">
        <f t="shared" si="10"/>
        <v>5</v>
      </c>
      <c r="O76" s="478">
        <f t="shared" si="11"/>
        <v>15</v>
      </c>
    </row>
    <row r="77" spans="1:15">
      <c r="A77" s="475" t="s">
        <v>1488</v>
      </c>
      <c r="B77" s="598" t="s">
        <v>18</v>
      </c>
      <c r="C77" s="502">
        <v>0.6</v>
      </c>
      <c r="D77" s="477"/>
      <c r="E77" s="477"/>
      <c r="F77" s="627"/>
      <c r="G77" s="477"/>
      <c r="H77" s="477"/>
      <c r="I77" s="627"/>
      <c r="J77" s="477">
        <v>4</v>
      </c>
      <c r="K77" s="477">
        <v>4</v>
      </c>
      <c r="L77" s="477">
        <v>2</v>
      </c>
      <c r="M77" s="477">
        <v>2</v>
      </c>
      <c r="N77" s="477">
        <f t="shared" si="10"/>
        <v>12</v>
      </c>
      <c r="O77" s="478">
        <f t="shared" si="11"/>
        <v>7.1999999999999993</v>
      </c>
    </row>
    <row r="78" spans="1:15">
      <c r="A78" s="475" t="s">
        <v>1489</v>
      </c>
      <c r="B78" s="598" t="s">
        <v>18</v>
      </c>
      <c r="C78" s="502">
        <v>1.8</v>
      </c>
      <c r="D78" s="477"/>
      <c r="E78" s="477"/>
      <c r="F78" s="627"/>
      <c r="G78" s="477">
        <v>4</v>
      </c>
      <c r="H78" s="477"/>
      <c r="I78" s="627"/>
      <c r="J78" s="477"/>
      <c r="K78" s="481"/>
      <c r="L78" s="477">
        <v>2</v>
      </c>
      <c r="M78" s="477">
        <v>3</v>
      </c>
      <c r="N78" s="477">
        <f t="shared" si="10"/>
        <v>9</v>
      </c>
      <c r="O78" s="478">
        <f t="shared" si="11"/>
        <v>16.2</v>
      </c>
    </row>
    <row r="79" spans="1:15">
      <c r="A79" s="475" t="s">
        <v>1490</v>
      </c>
      <c r="B79" s="598" t="s">
        <v>18</v>
      </c>
      <c r="C79" s="502">
        <v>1.6</v>
      </c>
      <c r="D79" s="477"/>
      <c r="E79" s="477"/>
      <c r="F79" s="627"/>
      <c r="G79" s="477"/>
      <c r="H79" s="477"/>
      <c r="I79" s="627"/>
      <c r="J79" s="477"/>
      <c r="K79" s="481"/>
      <c r="L79" s="477">
        <v>2</v>
      </c>
      <c r="M79" s="477">
        <v>1</v>
      </c>
      <c r="N79" s="477">
        <f t="shared" si="10"/>
        <v>3</v>
      </c>
      <c r="O79" s="478">
        <f t="shared" si="11"/>
        <v>4.8000000000000007</v>
      </c>
    </row>
    <row r="80" spans="1:15">
      <c r="A80" s="475" t="s">
        <v>1491</v>
      </c>
      <c r="B80" s="598" t="s">
        <v>18</v>
      </c>
      <c r="C80" s="502">
        <v>3.8</v>
      </c>
      <c r="D80" s="477"/>
      <c r="E80" s="477"/>
      <c r="F80" s="627"/>
      <c r="G80" s="477"/>
      <c r="H80" s="477"/>
      <c r="I80" s="627"/>
      <c r="J80" s="477">
        <v>4</v>
      </c>
      <c r="K80" s="481"/>
      <c r="L80" s="477"/>
      <c r="M80" s="477"/>
      <c r="N80" s="477">
        <f t="shared" si="10"/>
        <v>4</v>
      </c>
      <c r="O80" s="478">
        <f t="shared" si="11"/>
        <v>15.2</v>
      </c>
    </row>
    <row r="81" spans="1:24">
      <c r="A81" s="475" t="s">
        <v>1492</v>
      </c>
      <c r="B81" s="598" t="s">
        <v>18</v>
      </c>
      <c r="C81" s="502">
        <v>1.5</v>
      </c>
      <c r="D81" s="477"/>
      <c r="E81" s="477"/>
      <c r="F81" s="627">
        <v>10</v>
      </c>
      <c r="G81" s="477">
        <v>9</v>
      </c>
      <c r="H81" s="477"/>
      <c r="I81" s="627"/>
      <c r="J81" s="477">
        <v>6</v>
      </c>
      <c r="K81" s="477">
        <v>12</v>
      </c>
      <c r="L81" s="477">
        <v>16</v>
      </c>
      <c r="M81" s="477">
        <v>4</v>
      </c>
      <c r="N81" s="477">
        <f t="shared" si="10"/>
        <v>57</v>
      </c>
      <c r="O81" s="478">
        <f t="shared" si="11"/>
        <v>85.5</v>
      </c>
    </row>
    <row r="82" spans="1:24">
      <c r="A82" s="475" t="s">
        <v>1493</v>
      </c>
      <c r="B82" s="598" t="s">
        <v>18</v>
      </c>
      <c r="C82" s="502">
        <v>1</v>
      </c>
      <c r="D82" s="477">
        <v>20</v>
      </c>
      <c r="E82" s="477">
        <v>20</v>
      </c>
      <c r="F82" s="627">
        <v>10</v>
      </c>
      <c r="G82" s="477"/>
      <c r="H82" s="477"/>
      <c r="I82" s="633">
        <v>30</v>
      </c>
      <c r="J82" s="477">
        <v>15</v>
      </c>
      <c r="K82" s="481"/>
      <c r="L82" s="477"/>
      <c r="M82" s="477"/>
      <c r="N82" s="477">
        <f t="shared" si="10"/>
        <v>95</v>
      </c>
      <c r="O82" s="478">
        <f t="shared" si="11"/>
        <v>95</v>
      </c>
    </row>
    <row r="83" spans="1:24">
      <c r="A83" s="475" t="s">
        <v>1494</v>
      </c>
      <c r="B83" s="598" t="s">
        <v>18</v>
      </c>
      <c r="C83" s="502">
        <v>3</v>
      </c>
      <c r="D83" s="477"/>
      <c r="E83" s="477"/>
      <c r="F83" s="627">
        <v>10</v>
      </c>
      <c r="G83" s="477"/>
      <c r="H83" s="477"/>
      <c r="I83" s="627"/>
      <c r="J83" s="477"/>
      <c r="K83" s="481"/>
      <c r="L83" s="477"/>
      <c r="M83" s="477"/>
      <c r="N83" s="477">
        <f t="shared" si="10"/>
        <v>10</v>
      </c>
      <c r="O83" s="478">
        <f t="shared" si="11"/>
        <v>30</v>
      </c>
    </row>
    <row r="84" spans="1:24">
      <c r="A84" s="475" t="s">
        <v>1495</v>
      </c>
      <c r="B84" s="598" t="s">
        <v>18</v>
      </c>
      <c r="C84" s="502">
        <v>1.5</v>
      </c>
      <c r="D84" s="477">
        <v>3</v>
      </c>
      <c r="E84" s="477"/>
      <c r="F84" s="627"/>
      <c r="G84" s="477">
        <v>6</v>
      </c>
      <c r="H84" s="477"/>
      <c r="I84" s="627"/>
      <c r="J84" s="477">
        <v>6</v>
      </c>
      <c r="K84" s="481"/>
      <c r="L84" s="477"/>
      <c r="M84" s="477">
        <v>2</v>
      </c>
      <c r="N84" s="477">
        <f t="shared" si="10"/>
        <v>17</v>
      </c>
      <c r="O84" s="478">
        <f t="shared" si="11"/>
        <v>25.5</v>
      </c>
    </row>
    <row r="85" spans="1:24">
      <c r="A85" s="475" t="s">
        <v>1496</v>
      </c>
      <c r="B85" s="598" t="s">
        <v>18</v>
      </c>
      <c r="C85" s="502">
        <v>1</v>
      </c>
      <c r="D85" s="477"/>
      <c r="E85" s="477"/>
      <c r="F85" s="627"/>
      <c r="G85" s="477">
        <v>1</v>
      </c>
      <c r="H85" s="477"/>
      <c r="I85" s="627"/>
      <c r="J85" s="477">
        <v>6</v>
      </c>
      <c r="K85" s="481"/>
      <c r="L85" s="477">
        <v>3</v>
      </c>
      <c r="M85" s="477">
        <v>2</v>
      </c>
      <c r="N85" s="477">
        <f t="shared" si="10"/>
        <v>12</v>
      </c>
      <c r="O85" s="478">
        <f t="shared" si="11"/>
        <v>12</v>
      </c>
    </row>
    <row r="86" spans="1:24">
      <c r="A86" s="475" t="s">
        <v>1497</v>
      </c>
      <c r="B86" s="598" t="s">
        <v>18</v>
      </c>
      <c r="C86" s="503">
        <v>10</v>
      </c>
      <c r="D86" s="477"/>
      <c r="E86" s="477"/>
      <c r="F86" s="627"/>
      <c r="G86" s="477"/>
      <c r="H86" s="477"/>
      <c r="I86" s="627"/>
      <c r="J86" s="477"/>
      <c r="K86" s="477">
        <v>4</v>
      </c>
      <c r="L86" s="477">
        <v>1</v>
      </c>
      <c r="M86" s="477">
        <v>1</v>
      </c>
      <c r="N86" s="477">
        <f t="shared" si="10"/>
        <v>6</v>
      </c>
      <c r="O86" s="478">
        <f t="shared" si="11"/>
        <v>60</v>
      </c>
    </row>
    <row r="87" spans="1:24">
      <c r="A87" s="475" t="s">
        <v>1498</v>
      </c>
      <c r="B87" s="598" t="s">
        <v>18</v>
      </c>
      <c r="C87" s="503">
        <v>5</v>
      </c>
      <c r="D87" s="477">
        <v>1</v>
      </c>
      <c r="E87" s="477">
        <v>1</v>
      </c>
      <c r="F87" s="627"/>
      <c r="G87" s="477">
        <v>2</v>
      </c>
      <c r="H87" s="477">
        <v>2</v>
      </c>
      <c r="I87" s="627"/>
      <c r="J87" s="477"/>
      <c r="K87" s="477">
        <v>1</v>
      </c>
      <c r="L87" s="477">
        <v>1</v>
      </c>
      <c r="M87" s="477">
        <v>1</v>
      </c>
      <c r="N87" s="477">
        <f t="shared" si="10"/>
        <v>9</v>
      </c>
      <c r="O87" s="478">
        <f t="shared" si="11"/>
        <v>45</v>
      </c>
    </row>
    <row r="88" spans="1:24" ht="30">
      <c r="A88" s="475" t="s">
        <v>1499</v>
      </c>
      <c r="B88" s="598" t="s">
        <v>18</v>
      </c>
      <c r="C88" s="503">
        <v>5</v>
      </c>
      <c r="D88" s="477"/>
      <c r="E88" s="477"/>
      <c r="F88" s="627"/>
      <c r="G88" s="477">
        <v>1</v>
      </c>
      <c r="H88" s="477"/>
      <c r="I88" s="627"/>
      <c r="J88" s="477"/>
      <c r="K88" s="481"/>
      <c r="L88" s="477"/>
      <c r="M88" s="477"/>
      <c r="N88" s="477">
        <f t="shared" si="10"/>
        <v>1</v>
      </c>
      <c r="O88" s="478">
        <f t="shared" si="11"/>
        <v>5</v>
      </c>
    </row>
    <row r="89" spans="1:24" ht="30">
      <c r="A89" s="475" t="s">
        <v>1500</v>
      </c>
      <c r="B89" s="598" t="s">
        <v>18</v>
      </c>
      <c r="C89" s="502">
        <v>1.5</v>
      </c>
      <c r="D89" s="477">
        <v>2</v>
      </c>
      <c r="E89" s="477"/>
      <c r="F89" s="627"/>
      <c r="G89" s="477"/>
      <c r="H89" s="477">
        <v>5</v>
      </c>
      <c r="I89" s="633">
        <v>8</v>
      </c>
      <c r="J89" s="477"/>
      <c r="K89" s="481"/>
      <c r="L89" s="477"/>
      <c r="M89" s="477"/>
      <c r="N89" s="477">
        <f t="shared" si="10"/>
        <v>15</v>
      </c>
      <c r="O89" s="478">
        <f t="shared" si="11"/>
        <v>22.5</v>
      </c>
    </row>
    <row r="90" spans="1:24">
      <c r="A90" s="475" t="s">
        <v>1501</v>
      </c>
      <c r="B90" s="598" t="s">
        <v>18</v>
      </c>
      <c r="C90" s="504">
        <v>2</v>
      </c>
      <c r="D90" s="477"/>
      <c r="E90" s="477"/>
      <c r="F90" s="627"/>
      <c r="G90" s="477"/>
      <c r="H90" s="477"/>
      <c r="I90" s="633">
        <v>10</v>
      </c>
      <c r="J90" s="477"/>
      <c r="K90" s="477">
        <v>3</v>
      </c>
      <c r="L90" s="477">
        <v>3</v>
      </c>
      <c r="M90" s="477">
        <v>1</v>
      </c>
      <c r="N90" s="477">
        <f t="shared" si="10"/>
        <v>17</v>
      </c>
      <c r="O90" s="478">
        <f t="shared" si="11"/>
        <v>34</v>
      </c>
    </row>
    <row r="91" spans="1:24">
      <c r="A91" s="475" t="s">
        <v>1502</v>
      </c>
      <c r="B91" s="598" t="s">
        <v>18</v>
      </c>
      <c r="C91" s="503">
        <v>9</v>
      </c>
      <c r="D91" s="477"/>
      <c r="E91" s="477"/>
      <c r="F91" s="627"/>
      <c r="G91" s="477"/>
      <c r="H91" s="477"/>
      <c r="I91" s="640">
        <v>3</v>
      </c>
      <c r="J91" s="477"/>
      <c r="K91" s="477"/>
      <c r="L91" s="477"/>
      <c r="M91" s="477"/>
      <c r="N91" s="477">
        <f t="shared" si="10"/>
        <v>3</v>
      </c>
      <c r="O91" s="478">
        <f t="shared" si="11"/>
        <v>27</v>
      </c>
    </row>
    <row r="92" spans="1:24">
      <c r="A92" s="475" t="s">
        <v>1503</v>
      </c>
      <c r="B92" s="598" t="s">
        <v>18</v>
      </c>
      <c r="C92" s="503">
        <v>3</v>
      </c>
      <c r="D92" s="477">
        <v>1</v>
      </c>
      <c r="E92" s="477"/>
      <c r="F92" s="627"/>
      <c r="G92" s="477"/>
      <c r="H92" s="477"/>
      <c r="I92" s="627"/>
      <c r="J92" s="477"/>
      <c r="K92" s="477"/>
      <c r="L92" s="477"/>
      <c r="M92" s="477"/>
      <c r="N92" s="477">
        <f t="shared" si="10"/>
        <v>1</v>
      </c>
      <c r="O92" s="478">
        <f t="shared" si="11"/>
        <v>3</v>
      </c>
    </row>
    <row r="93" spans="1:24">
      <c r="A93" s="475" t="s">
        <v>1504</v>
      </c>
      <c r="B93" s="598" t="s">
        <v>18</v>
      </c>
      <c r="C93" s="502">
        <v>3</v>
      </c>
      <c r="D93" s="477"/>
      <c r="E93" s="477"/>
      <c r="F93" s="627"/>
      <c r="G93" s="477"/>
      <c r="H93" s="477"/>
      <c r="I93" s="627"/>
      <c r="J93" s="477"/>
      <c r="K93" s="481"/>
      <c r="L93" s="477"/>
      <c r="M93" s="477">
        <v>1</v>
      </c>
      <c r="N93" s="477">
        <f t="shared" si="10"/>
        <v>1</v>
      </c>
      <c r="O93" s="478">
        <f t="shared" si="11"/>
        <v>3</v>
      </c>
    </row>
    <row r="94" spans="1:24">
      <c r="A94" s="475" t="s">
        <v>1505</v>
      </c>
      <c r="B94" s="598" t="s">
        <v>18</v>
      </c>
      <c r="C94" s="503">
        <v>5</v>
      </c>
      <c r="D94" s="477"/>
      <c r="E94" s="477"/>
      <c r="F94" s="627"/>
      <c r="G94" s="477"/>
      <c r="H94" s="477"/>
      <c r="I94" s="627"/>
      <c r="J94" s="477"/>
      <c r="K94" s="481"/>
      <c r="L94" s="477"/>
      <c r="M94" s="477">
        <v>1</v>
      </c>
      <c r="N94" s="477">
        <f t="shared" si="10"/>
        <v>1</v>
      </c>
      <c r="O94" s="478">
        <f t="shared" si="11"/>
        <v>5</v>
      </c>
    </row>
    <row r="95" spans="1:24">
      <c r="A95" s="475" t="s">
        <v>1506</v>
      </c>
      <c r="B95" s="586" t="s">
        <v>18</v>
      </c>
      <c r="C95" s="502">
        <v>1.5</v>
      </c>
      <c r="D95" s="477"/>
      <c r="E95" s="477"/>
      <c r="F95" s="627">
        <v>10</v>
      </c>
      <c r="G95" s="477"/>
      <c r="H95" s="477"/>
      <c r="I95" s="627"/>
      <c r="J95" s="477"/>
      <c r="K95" s="481"/>
      <c r="L95" s="477"/>
      <c r="M95" s="477"/>
      <c r="N95" s="477">
        <f t="shared" si="10"/>
        <v>10</v>
      </c>
      <c r="O95" s="478">
        <f t="shared" si="11"/>
        <v>15</v>
      </c>
      <c r="X95" s="485"/>
    </row>
    <row r="96" spans="1:24" ht="30">
      <c r="A96" s="475" t="s">
        <v>1507</v>
      </c>
      <c r="B96" s="586" t="s">
        <v>18</v>
      </c>
      <c r="C96" s="503">
        <v>2</v>
      </c>
      <c r="D96" s="477"/>
      <c r="E96" s="477"/>
      <c r="F96" s="627"/>
      <c r="G96" s="477"/>
      <c r="H96" s="477">
        <v>1</v>
      </c>
      <c r="I96" s="627"/>
      <c r="J96" s="477"/>
      <c r="K96" s="481"/>
      <c r="L96" s="477"/>
      <c r="M96" s="477"/>
      <c r="N96" s="477">
        <f t="shared" si="10"/>
        <v>1</v>
      </c>
      <c r="O96" s="478">
        <f t="shared" si="11"/>
        <v>2</v>
      </c>
      <c r="X96" s="485"/>
    </row>
    <row r="97" spans="1:26">
      <c r="A97" s="475" t="s">
        <v>1508</v>
      </c>
      <c r="B97" s="586" t="s">
        <v>18</v>
      </c>
      <c r="C97" s="502">
        <v>1.5</v>
      </c>
      <c r="D97" s="477"/>
      <c r="E97" s="477"/>
      <c r="F97" s="627"/>
      <c r="G97" s="477"/>
      <c r="H97" s="477">
        <v>4</v>
      </c>
      <c r="I97" s="627"/>
      <c r="J97" s="477"/>
      <c r="K97" s="481"/>
      <c r="L97" s="477"/>
      <c r="M97" s="477"/>
      <c r="N97" s="477">
        <f t="shared" si="10"/>
        <v>4</v>
      </c>
      <c r="O97" s="478">
        <f t="shared" si="11"/>
        <v>6</v>
      </c>
      <c r="X97" s="485"/>
    </row>
    <row r="98" spans="1:26">
      <c r="A98" s="475" t="s">
        <v>1509</v>
      </c>
      <c r="B98" s="586" t="s">
        <v>18</v>
      </c>
      <c r="C98" s="503">
        <v>12</v>
      </c>
      <c r="D98" s="477"/>
      <c r="E98" s="477"/>
      <c r="F98" s="627"/>
      <c r="G98" s="477"/>
      <c r="H98" s="477"/>
      <c r="I98" s="651">
        <v>1</v>
      </c>
      <c r="J98" s="477"/>
      <c r="K98" s="481"/>
      <c r="L98" s="477"/>
      <c r="M98" s="477"/>
      <c r="N98" s="477">
        <f t="shared" si="10"/>
        <v>1</v>
      </c>
      <c r="O98" s="478">
        <f t="shared" si="11"/>
        <v>12</v>
      </c>
    </row>
    <row r="99" spans="1:26" ht="30">
      <c r="A99" s="475" t="s">
        <v>1510</v>
      </c>
      <c r="B99" s="586" t="s">
        <v>18</v>
      </c>
      <c r="C99" s="503">
        <v>3</v>
      </c>
      <c r="D99" s="477"/>
      <c r="E99" s="477"/>
      <c r="F99" s="627"/>
      <c r="G99" s="477"/>
      <c r="H99" s="477"/>
      <c r="I99" s="627"/>
      <c r="J99" s="477">
        <v>1</v>
      </c>
      <c r="K99" s="481"/>
      <c r="L99" s="477"/>
      <c r="M99" s="477"/>
      <c r="N99" s="477">
        <f t="shared" si="10"/>
        <v>1</v>
      </c>
      <c r="O99" s="478">
        <f t="shared" si="11"/>
        <v>3</v>
      </c>
      <c r="X99" s="485"/>
    </row>
    <row r="100" spans="1:26" ht="30">
      <c r="A100" s="475" t="s">
        <v>1511</v>
      </c>
      <c r="B100" s="586" t="s">
        <v>18</v>
      </c>
      <c r="C100" s="503">
        <v>1</v>
      </c>
      <c r="D100" s="477"/>
      <c r="E100" s="477"/>
      <c r="F100" s="627"/>
      <c r="G100" s="477"/>
      <c r="H100" s="477"/>
      <c r="I100" s="627"/>
      <c r="J100" s="477">
        <v>1</v>
      </c>
      <c r="K100" s="481"/>
      <c r="L100" s="477"/>
      <c r="M100" s="477"/>
      <c r="N100" s="477">
        <f t="shared" si="10"/>
        <v>1</v>
      </c>
      <c r="O100" s="478">
        <f t="shared" si="11"/>
        <v>1</v>
      </c>
      <c r="X100" s="485"/>
      <c r="Y100" s="485"/>
      <c r="Z100" s="485"/>
    </row>
    <row r="101" spans="1:26">
      <c r="A101" s="475" t="s">
        <v>1512</v>
      </c>
      <c r="B101" s="586" t="s">
        <v>18</v>
      </c>
      <c r="C101" s="503">
        <v>3</v>
      </c>
      <c r="D101" s="477">
        <v>20</v>
      </c>
      <c r="E101" s="477">
        <v>10</v>
      </c>
      <c r="F101" s="627"/>
      <c r="G101" s="477"/>
      <c r="H101" s="477"/>
      <c r="I101" s="627"/>
      <c r="J101" s="477"/>
      <c r="K101" s="477">
        <v>6</v>
      </c>
      <c r="L101" s="477">
        <v>6</v>
      </c>
      <c r="M101" s="477">
        <v>6</v>
      </c>
      <c r="N101" s="477">
        <f t="shared" si="10"/>
        <v>48</v>
      </c>
      <c r="O101" s="478">
        <f t="shared" si="11"/>
        <v>144</v>
      </c>
      <c r="X101" s="471"/>
      <c r="Y101" s="471"/>
    </row>
    <row r="102" spans="1:26">
      <c r="A102" s="475" t="s">
        <v>1513</v>
      </c>
      <c r="B102" s="586" t="s">
        <v>18</v>
      </c>
      <c r="C102" s="503">
        <v>5</v>
      </c>
      <c r="D102" s="477"/>
      <c r="E102" s="477"/>
      <c r="F102" s="627"/>
      <c r="G102" s="477"/>
      <c r="H102" s="477"/>
      <c r="I102" s="633">
        <v>2</v>
      </c>
      <c r="J102" s="477"/>
      <c r="K102" s="477"/>
      <c r="L102" s="477"/>
      <c r="M102" s="477"/>
      <c r="N102" s="477">
        <f t="shared" si="10"/>
        <v>2</v>
      </c>
      <c r="O102" s="478">
        <f t="shared" si="11"/>
        <v>10</v>
      </c>
      <c r="X102" s="471"/>
      <c r="Y102" s="471"/>
    </row>
    <row r="103" spans="1:26">
      <c r="A103" s="484" t="s">
        <v>1514</v>
      </c>
      <c r="B103" s="586" t="s">
        <v>18</v>
      </c>
      <c r="C103" s="503">
        <v>1.5</v>
      </c>
      <c r="D103" s="477">
        <v>1</v>
      </c>
      <c r="E103" s="477">
        <v>1</v>
      </c>
      <c r="F103" s="627">
        <v>1</v>
      </c>
      <c r="G103" s="477"/>
      <c r="H103" s="477"/>
      <c r="I103" s="627"/>
      <c r="J103" s="477"/>
      <c r="K103" s="477"/>
      <c r="L103" s="477"/>
      <c r="M103" s="477"/>
      <c r="N103" s="477">
        <f t="shared" si="10"/>
        <v>3</v>
      </c>
      <c r="O103" s="478">
        <f t="shared" si="11"/>
        <v>4.5</v>
      </c>
      <c r="X103" s="471"/>
      <c r="Y103" s="471"/>
    </row>
    <row r="104" spans="1:26">
      <c r="A104" s="475" t="s">
        <v>1515</v>
      </c>
      <c r="B104" s="586" t="s">
        <v>18</v>
      </c>
      <c r="C104" s="503">
        <v>6</v>
      </c>
      <c r="D104" s="477"/>
      <c r="E104" s="477"/>
      <c r="F104" s="627"/>
      <c r="G104" s="477">
        <v>1</v>
      </c>
      <c r="H104" s="477"/>
      <c r="I104" s="627"/>
      <c r="J104" s="477"/>
      <c r="K104" s="477"/>
      <c r="L104" s="477"/>
      <c r="M104" s="477"/>
      <c r="N104" s="477">
        <f t="shared" si="10"/>
        <v>1</v>
      </c>
      <c r="O104" s="478">
        <f t="shared" si="11"/>
        <v>6</v>
      </c>
      <c r="X104" s="471"/>
      <c r="Y104" s="471"/>
    </row>
    <row r="105" spans="1:26">
      <c r="A105" s="475" t="s">
        <v>1516</v>
      </c>
      <c r="B105" s="586" t="s">
        <v>18</v>
      </c>
      <c r="C105" s="503">
        <v>8</v>
      </c>
      <c r="D105" s="477"/>
      <c r="E105" s="477"/>
      <c r="F105" s="627"/>
      <c r="G105" s="477">
        <v>1</v>
      </c>
      <c r="H105" s="477"/>
      <c r="I105" s="627"/>
      <c r="J105" s="477"/>
      <c r="K105" s="477"/>
      <c r="L105" s="477"/>
      <c r="M105" s="477"/>
      <c r="N105" s="477">
        <f t="shared" si="10"/>
        <v>1</v>
      </c>
      <c r="O105" s="478">
        <f t="shared" si="11"/>
        <v>8</v>
      </c>
      <c r="X105" s="471"/>
      <c r="Y105" s="471"/>
    </row>
    <row r="106" spans="1:26">
      <c r="A106" s="475" t="s">
        <v>1517</v>
      </c>
      <c r="B106" s="586" t="s">
        <v>18</v>
      </c>
      <c r="C106" s="503">
        <v>4</v>
      </c>
      <c r="D106" s="477"/>
      <c r="E106" s="477"/>
      <c r="F106" s="627"/>
      <c r="G106" s="477"/>
      <c r="H106" s="477">
        <v>2</v>
      </c>
      <c r="I106" s="627"/>
      <c r="J106" s="477"/>
      <c r="K106" s="477"/>
      <c r="L106" s="477"/>
      <c r="M106" s="477"/>
      <c r="N106" s="477">
        <f t="shared" si="10"/>
        <v>2</v>
      </c>
      <c r="O106" s="478">
        <f t="shared" si="11"/>
        <v>8</v>
      </c>
      <c r="X106" s="471"/>
      <c r="Y106" s="471"/>
    </row>
    <row r="107" spans="1:26" ht="30">
      <c r="A107" s="475" t="s">
        <v>1518</v>
      </c>
      <c r="B107" s="586" t="s">
        <v>18</v>
      </c>
      <c r="C107" s="502">
        <v>1.5</v>
      </c>
      <c r="D107" s="477"/>
      <c r="E107" s="477"/>
      <c r="F107" s="627"/>
      <c r="G107" s="477"/>
      <c r="H107" s="477">
        <v>2</v>
      </c>
      <c r="I107" s="627"/>
      <c r="J107" s="477"/>
      <c r="K107" s="477"/>
      <c r="L107" s="477"/>
      <c r="M107" s="477"/>
      <c r="N107" s="477">
        <f t="shared" si="10"/>
        <v>2</v>
      </c>
      <c r="O107" s="478">
        <f t="shared" si="11"/>
        <v>3</v>
      </c>
      <c r="X107" s="471"/>
      <c r="Y107" s="471"/>
    </row>
    <row r="108" spans="1:26" ht="30">
      <c r="A108" s="475" t="s">
        <v>1519</v>
      </c>
      <c r="B108" s="586" t="s">
        <v>18</v>
      </c>
      <c r="C108" s="503">
        <v>9</v>
      </c>
      <c r="D108" s="477"/>
      <c r="E108" s="477"/>
      <c r="F108" s="627"/>
      <c r="G108" s="477"/>
      <c r="H108" s="477">
        <v>4</v>
      </c>
      <c r="I108" s="627"/>
      <c r="J108" s="477"/>
      <c r="K108" s="477"/>
      <c r="L108" s="477"/>
      <c r="M108" s="477"/>
      <c r="N108" s="477">
        <f t="shared" si="10"/>
        <v>4</v>
      </c>
      <c r="O108" s="478">
        <f t="shared" si="11"/>
        <v>36</v>
      </c>
      <c r="X108" s="471"/>
      <c r="Y108" s="471"/>
    </row>
    <row r="109" spans="1:26" ht="45">
      <c r="A109" s="475" t="s">
        <v>1520</v>
      </c>
      <c r="B109" s="586" t="s">
        <v>18</v>
      </c>
      <c r="C109" s="503">
        <v>8</v>
      </c>
      <c r="D109" s="477"/>
      <c r="E109" s="477"/>
      <c r="F109" s="627"/>
      <c r="G109" s="477"/>
      <c r="H109" s="477">
        <v>10</v>
      </c>
      <c r="I109" s="627"/>
      <c r="J109" s="477"/>
      <c r="K109" s="477"/>
      <c r="L109" s="477"/>
      <c r="M109" s="477"/>
      <c r="N109" s="477">
        <f t="shared" si="10"/>
        <v>10</v>
      </c>
      <c r="O109" s="478">
        <f t="shared" si="11"/>
        <v>80</v>
      </c>
      <c r="X109" s="471"/>
      <c r="Y109" s="471"/>
    </row>
    <row r="110" spans="1:26">
      <c r="A110" s="475" t="s">
        <v>1466</v>
      </c>
      <c r="B110" s="586"/>
      <c r="C110" s="477"/>
      <c r="D110" s="477">
        <f>(D64*$C64)+(D65*$C65)+(D66*$C66)+(D67*$C67)+($C68*D68)+(D69*$C69)+(D70*$C70)+(D71*$C71)+($C72*D72)+($C73*D73)+(D74*$C74)+($C75*D75)+($C76*D76)+(D77*$C77)+($C78*D78)+($C79*D79)+($C80*D80)+(D81*$C81)+($C82*D82)+($C83*D83)+(D84*$C84)+($C85*D85)+($C86*D86)+($C87*D87)+($C88*D88)+($C89*D89)+($C90*D90)+($C91*D91)+($C92*D92)+($C93*D93)+($C94*D94)+($C95*D95)+($C96*D96)+($C97*D97)+($C98*D98)+($C99*D99)+($C100*D100)+($C101*D101)+($C102*D102)+($C103*D103)+($C104*D104)+($C105*D105)+($C106*D106)+($C107*D107)+($C108*D108)+($C109*D109)</f>
        <v>227.5</v>
      </c>
      <c r="E110" s="477">
        <f t="shared" ref="E110:M110" si="12">(E64*$C64)+(E65*$C65)+(E66*$C66)+(E67*$C67)+($C68*E68)+(E69*$C69)+(E70*$C70)+(E71*$C71)+($C72*E72)+($C73*E73)+(E74*$C74)+($C75*E75)+($C76*E76)+(E77*$C77)+($C78*E78)+($C79*E79)+($C80*E80)+(E81*$C81)+($C82*E82)+($C83*E83)+(E84*$C84)+($C85*E85)+($C86*E86)+($C87*E87)+($C88*E88)+($C89*E89)+($C90*E90)+($C91*E91)+($C92*E92)+($C93*E93)+($C94*E94)+($C95*E95)+($C96*E96)+($C97*E97)+($C98*E98)+($C99*E99)+($C100*E100)+($C101*E101)+($C102*E102)+($C103*E103)+($C104*E104)+($C105*E105)+($C106*E106)+($C107*E107)+($C108*E108)+($C109*E109)</f>
        <v>174</v>
      </c>
      <c r="F110" s="627">
        <f t="shared" si="12"/>
        <v>129</v>
      </c>
      <c r="G110" s="477">
        <f t="shared" si="12"/>
        <v>176.2</v>
      </c>
      <c r="H110" s="477">
        <f t="shared" si="12"/>
        <v>188.5</v>
      </c>
      <c r="I110" s="627">
        <f t="shared" si="12"/>
        <v>218.5</v>
      </c>
      <c r="J110" s="477">
        <f t="shared" si="12"/>
        <v>138.60000000000002</v>
      </c>
      <c r="K110" s="477">
        <f t="shared" si="12"/>
        <v>144.9</v>
      </c>
      <c r="L110" s="477">
        <f t="shared" si="12"/>
        <v>141</v>
      </c>
      <c r="M110" s="477">
        <f t="shared" si="12"/>
        <v>121.7</v>
      </c>
      <c r="N110" s="477"/>
      <c r="O110" s="604">
        <f>SUM(D110:M110)</f>
        <v>1659.9000000000003</v>
      </c>
    </row>
    <row r="111" spans="1:26">
      <c r="A111" s="605" t="s">
        <v>1521</v>
      </c>
      <c r="B111" s="587"/>
      <c r="C111" s="599"/>
      <c r="D111" s="600"/>
      <c r="E111" s="600"/>
      <c r="F111" s="627"/>
      <c r="G111" s="600"/>
      <c r="H111" s="600"/>
      <c r="I111" s="627"/>
      <c r="J111" s="600"/>
      <c r="K111" s="600"/>
      <c r="L111" s="600"/>
      <c r="M111" s="600"/>
      <c r="N111" s="600"/>
      <c r="O111" s="606"/>
    </row>
    <row r="112" spans="1:26" ht="30">
      <c r="A112" s="505" t="s">
        <v>1522</v>
      </c>
      <c r="B112" s="586" t="s">
        <v>18</v>
      </c>
      <c r="C112" s="476">
        <v>25</v>
      </c>
      <c r="D112" s="477"/>
      <c r="E112" s="477"/>
      <c r="F112" s="627"/>
      <c r="G112" s="477">
        <v>1</v>
      </c>
      <c r="H112" s="477"/>
      <c r="I112" s="627"/>
      <c r="J112" s="477"/>
      <c r="K112" s="477"/>
      <c r="L112" s="477"/>
      <c r="M112" s="477"/>
      <c r="N112" s="477">
        <f t="shared" ref="N112:N120" si="13">SUM(D112:M112)</f>
        <v>1</v>
      </c>
      <c r="O112" s="478">
        <f t="shared" ref="O112:O119" si="14">N112*C112</f>
        <v>25</v>
      </c>
    </row>
    <row r="113" spans="1:16" ht="30">
      <c r="A113" s="505" t="s">
        <v>1523</v>
      </c>
      <c r="B113" s="586" t="s">
        <v>18</v>
      </c>
      <c r="C113" s="476">
        <v>150</v>
      </c>
      <c r="D113" s="477">
        <v>1</v>
      </c>
      <c r="E113" s="477"/>
      <c r="F113" s="627"/>
      <c r="G113" s="477">
        <v>1</v>
      </c>
      <c r="H113" s="477"/>
      <c r="I113" s="627"/>
      <c r="J113" s="477"/>
      <c r="K113" s="477"/>
      <c r="L113" s="477"/>
      <c r="M113" s="477"/>
      <c r="N113" s="477">
        <f t="shared" si="13"/>
        <v>2</v>
      </c>
      <c r="O113" s="478">
        <f t="shared" si="14"/>
        <v>300</v>
      </c>
    </row>
    <row r="114" spans="1:16">
      <c r="A114" s="505" t="s">
        <v>1524</v>
      </c>
      <c r="B114" s="586" t="s">
        <v>18</v>
      </c>
      <c r="C114" s="506">
        <v>30</v>
      </c>
      <c r="D114" s="477"/>
      <c r="E114" s="477"/>
      <c r="F114" s="627"/>
      <c r="G114" s="477">
        <v>1</v>
      </c>
      <c r="H114" s="477"/>
      <c r="I114" s="627"/>
      <c r="J114" s="477"/>
      <c r="K114" s="477"/>
      <c r="L114" s="477"/>
      <c r="M114" s="477"/>
      <c r="N114" s="477">
        <f t="shared" si="13"/>
        <v>1</v>
      </c>
      <c r="O114" s="478">
        <f t="shared" si="14"/>
        <v>30</v>
      </c>
    </row>
    <row r="115" spans="1:16" ht="30">
      <c r="A115" s="505" t="s">
        <v>1525</v>
      </c>
      <c r="B115" s="586" t="s">
        <v>18</v>
      </c>
      <c r="C115" s="506">
        <v>150</v>
      </c>
      <c r="D115" s="477"/>
      <c r="E115" s="477"/>
      <c r="F115" s="627"/>
      <c r="G115" s="477">
        <v>1</v>
      </c>
      <c r="H115" s="477"/>
      <c r="I115" s="627"/>
      <c r="J115" s="477"/>
      <c r="K115" s="477"/>
      <c r="L115" s="477"/>
      <c r="M115" s="477"/>
      <c r="N115" s="477">
        <f t="shared" si="13"/>
        <v>1</v>
      </c>
      <c r="O115" s="478">
        <f t="shared" si="14"/>
        <v>150</v>
      </c>
    </row>
    <row r="116" spans="1:16" ht="30">
      <c r="A116" s="505" t="s">
        <v>1526</v>
      </c>
      <c r="B116" s="586" t="s">
        <v>18</v>
      </c>
      <c r="C116" s="476">
        <v>150</v>
      </c>
      <c r="D116" s="477">
        <v>1</v>
      </c>
      <c r="E116" s="477">
        <v>1</v>
      </c>
      <c r="F116" s="627">
        <v>1</v>
      </c>
      <c r="G116" s="477"/>
      <c r="H116" s="477"/>
      <c r="I116" s="627"/>
      <c r="J116" s="477"/>
      <c r="K116" s="477"/>
      <c r="L116" s="477"/>
      <c r="M116" s="477">
        <v>1</v>
      </c>
      <c r="N116" s="477">
        <f t="shared" si="13"/>
        <v>4</v>
      </c>
      <c r="O116" s="478">
        <f t="shared" si="14"/>
        <v>600</v>
      </c>
    </row>
    <row r="117" spans="1:16" ht="30">
      <c r="A117" s="505" t="s">
        <v>1527</v>
      </c>
      <c r="B117" s="586" t="s">
        <v>18</v>
      </c>
      <c r="C117" s="476">
        <v>50</v>
      </c>
      <c r="D117" s="477">
        <v>1</v>
      </c>
      <c r="E117" s="477"/>
      <c r="F117" s="627">
        <v>1</v>
      </c>
      <c r="G117" s="477">
        <v>1</v>
      </c>
      <c r="H117" s="477"/>
      <c r="I117" s="627"/>
      <c r="J117" s="477"/>
      <c r="K117" s="477"/>
      <c r="L117" s="477"/>
      <c r="M117" s="477"/>
      <c r="N117" s="477">
        <f t="shared" si="13"/>
        <v>3</v>
      </c>
      <c r="O117" s="478">
        <f t="shared" si="14"/>
        <v>150</v>
      </c>
    </row>
    <row r="118" spans="1:16" ht="30">
      <c r="A118" s="505" t="s">
        <v>1528</v>
      </c>
      <c r="B118" s="586" t="s">
        <v>18</v>
      </c>
      <c r="C118" s="476">
        <f>9*12</f>
        <v>108</v>
      </c>
      <c r="D118" s="477"/>
      <c r="E118" s="477"/>
      <c r="F118" s="627"/>
      <c r="G118" s="477">
        <v>1</v>
      </c>
      <c r="H118" s="477"/>
      <c r="I118" s="633">
        <v>1</v>
      </c>
      <c r="J118" s="477"/>
      <c r="K118" s="477"/>
      <c r="L118" s="477"/>
      <c r="M118" s="477"/>
      <c r="N118" s="477">
        <f t="shared" si="13"/>
        <v>2</v>
      </c>
      <c r="O118" s="478">
        <f t="shared" si="14"/>
        <v>216</v>
      </c>
    </row>
    <row r="119" spans="1:16" ht="30">
      <c r="A119" s="505" t="s">
        <v>1529</v>
      </c>
      <c r="B119" s="586" t="s">
        <v>18</v>
      </c>
      <c r="C119" s="476">
        <f>25*12</f>
        <v>300</v>
      </c>
      <c r="D119" s="477"/>
      <c r="E119" s="477"/>
      <c r="F119" s="627"/>
      <c r="G119" s="477"/>
      <c r="H119" s="477"/>
      <c r="I119" s="633">
        <v>1</v>
      </c>
      <c r="J119" s="477"/>
      <c r="K119" s="477"/>
      <c r="L119" s="477"/>
      <c r="M119" s="477"/>
      <c r="N119" s="477">
        <f t="shared" si="13"/>
        <v>1</v>
      </c>
      <c r="O119" s="478">
        <f t="shared" si="14"/>
        <v>300</v>
      </c>
    </row>
    <row r="120" spans="1:16">
      <c r="A120" s="505" t="s">
        <v>1530</v>
      </c>
      <c r="B120" s="586" t="s">
        <v>18</v>
      </c>
      <c r="C120" s="476">
        <v>27</v>
      </c>
      <c r="D120" s="477"/>
      <c r="E120" s="477"/>
      <c r="F120" s="627"/>
      <c r="G120" s="477"/>
      <c r="H120" s="477">
        <v>1</v>
      </c>
      <c r="I120" s="627"/>
      <c r="J120" s="477"/>
      <c r="K120" s="477"/>
      <c r="L120" s="477"/>
      <c r="M120" s="477"/>
      <c r="N120" s="477">
        <f t="shared" si="13"/>
        <v>1</v>
      </c>
      <c r="O120" s="478">
        <f>N120*C120</f>
        <v>27</v>
      </c>
    </row>
    <row r="121" spans="1:16" ht="45">
      <c r="A121" s="505" t="s">
        <v>1531</v>
      </c>
      <c r="B121" s="586" t="s">
        <v>18</v>
      </c>
      <c r="C121" s="476">
        <v>11</v>
      </c>
      <c r="D121" s="477"/>
      <c r="E121" s="477">
        <v>2</v>
      </c>
      <c r="F121" s="627">
        <v>2</v>
      </c>
      <c r="G121" s="477"/>
      <c r="H121" s="477"/>
      <c r="I121" s="627"/>
      <c r="J121" s="477"/>
      <c r="K121" s="477"/>
      <c r="L121" s="477"/>
      <c r="M121" s="477"/>
      <c r="N121" s="477">
        <f>SUM(D121:M121)</f>
        <v>4</v>
      </c>
      <c r="O121" s="478">
        <f>N121*C121</f>
        <v>44</v>
      </c>
    </row>
    <row r="122" spans="1:16">
      <c r="A122" s="505" t="s">
        <v>1532</v>
      </c>
      <c r="B122" s="586" t="s">
        <v>18</v>
      </c>
      <c r="C122" s="476">
        <v>55</v>
      </c>
      <c r="D122" s="477"/>
      <c r="E122" s="477"/>
      <c r="F122" s="627"/>
      <c r="G122" s="477"/>
      <c r="H122" s="477"/>
      <c r="I122" s="633">
        <v>1</v>
      </c>
      <c r="J122" s="477"/>
      <c r="K122" s="477"/>
      <c r="L122" s="477"/>
      <c r="M122" s="477"/>
      <c r="N122" s="477">
        <f>SUM(D122:M122)</f>
        <v>1</v>
      </c>
      <c r="O122" s="478">
        <f>N122*C122</f>
        <v>55</v>
      </c>
      <c r="P122" s="467">
        <f>1897-O123</f>
        <v>0</v>
      </c>
    </row>
    <row r="123" spans="1:16" ht="15.75" thickBot="1">
      <c r="A123" s="494" t="s">
        <v>1466</v>
      </c>
      <c r="B123" s="591"/>
      <c r="C123" s="496"/>
      <c r="D123" s="496">
        <f>(D112*$C112)+($C113*D113)+(D114*$C114)+($C115*D115)+($C116*D116)+($C117*D117)+($C118*D118)+($C119*D119)+($C120*D120)+($C121*D121)+($C122*D122)</f>
        <v>350</v>
      </c>
      <c r="E123" s="496">
        <f t="shared" ref="E123:M123" si="15">(E112*$C112)+($C113*E113)+(E114*$C114)+($C115*E115)+($C116*E116)+($C117*E117)+($C118*E118)+($C119*E119)+($C120*E120)+($C121*E121)+($C122*E122)</f>
        <v>172</v>
      </c>
      <c r="F123" s="628">
        <f t="shared" si="15"/>
        <v>222</v>
      </c>
      <c r="G123" s="496">
        <f t="shared" si="15"/>
        <v>513</v>
      </c>
      <c r="H123" s="496">
        <f t="shared" si="15"/>
        <v>27</v>
      </c>
      <c r="I123" s="628">
        <f t="shared" si="15"/>
        <v>463</v>
      </c>
      <c r="J123" s="496">
        <f t="shared" si="15"/>
        <v>0</v>
      </c>
      <c r="K123" s="496">
        <f t="shared" si="15"/>
        <v>0</v>
      </c>
      <c r="L123" s="496">
        <f t="shared" si="15"/>
        <v>0</v>
      </c>
      <c r="M123" s="496">
        <f t="shared" si="15"/>
        <v>150</v>
      </c>
      <c r="N123" s="496"/>
      <c r="O123" s="592">
        <f>SUM(O112:O122)</f>
        <v>1897</v>
      </c>
    </row>
    <row r="124" spans="1:16" ht="15.75" thickBot="1">
      <c r="A124" s="487" t="s">
        <v>1533</v>
      </c>
      <c r="B124" s="607"/>
      <c r="C124" s="595"/>
      <c r="D124" s="596"/>
      <c r="E124" s="596"/>
      <c r="F124" s="629"/>
      <c r="G124" s="596"/>
      <c r="H124" s="596"/>
      <c r="I124" s="629"/>
      <c r="J124" s="596"/>
      <c r="K124" s="596"/>
      <c r="L124" s="596"/>
      <c r="M124" s="596"/>
      <c r="N124" s="596"/>
      <c r="O124" s="597"/>
    </row>
    <row r="125" spans="1:16" ht="30">
      <c r="A125" s="489" t="s">
        <v>1534</v>
      </c>
      <c r="B125" s="610" t="s">
        <v>18</v>
      </c>
      <c r="C125" s="490">
        <v>25</v>
      </c>
      <c r="D125" s="491"/>
      <c r="E125" s="491"/>
      <c r="F125" s="630"/>
      <c r="G125" s="491">
        <v>2</v>
      </c>
      <c r="H125" s="491"/>
      <c r="I125" s="630"/>
      <c r="J125" s="491">
        <v>1</v>
      </c>
      <c r="K125" s="491"/>
      <c r="L125" s="491"/>
      <c r="M125" s="491"/>
      <c r="N125" s="491">
        <f t="shared" ref="N125:N132" si="16">SUM(D125:M125)</f>
        <v>3</v>
      </c>
      <c r="O125" s="492">
        <f t="shared" ref="O125:O132" si="17">N125*C125</f>
        <v>75</v>
      </c>
    </row>
    <row r="126" spans="1:16" ht="30">
      <c r="A126" s="475" t="s">
        <v>1535</v>
      </c>
      <c r="B126" s="586" t="s">
        <v>18</v>
      </c>
      <c r="C126" s="476">
        <v>25</v>
      </c>
      <c r="D126" s="477"/>
      <c r="E126" s="477"/>
      <c r="F126" s="627"/>
      <c r="G126" s="477">
        <v>2</v>
      </c>
      <c r="H126" s="477"/>
      <c r="I126" s="627"/>
      <c r="J126" s="477"/>
      <c r="K126" s="477"/>
      <c r="L126" s="477">
        <v>1</v>
      </c>
      <c r="M126" s="477"/>
      <c r="N126" s="477">
        <f t="shared" si="16"/>
        <v>3</v>
      </c>
      <c r="O126" s="478">
        <f t="shared" si="17"/>
        <v>75</v>
      </c>
    </row>
    <row r="127" spans="1:16">
      <c r="A127" s="475" t="s">
        <v>1536</v>
      </c>
      <c r="B127" s="586" t="s">
        <v>18</v>
      </c>
      <c r="C127" s="476">
        <v>30</v>
      </c>
      <c r="D127" s="477">
        <v>1</v>
      </c>
      <c r="E127" s="477"/>
      <c r="F127" s="627"/>
      <c r="G127" s="477"/>
      <c r="H127" s="477"/>
      <c r="I127" s="627"/>
      <c r="J127" s="477">
        <v>2</v>
      </c>
      <c r="K127" s="477"/>
      <c r="L127" s="477"/>
      <c r="M127" s="477">
        <v>1</v>
      </c>
      <c r="N127" s="477">
        <f t="shared" si="16"/>
        <v>4</v>
      </c>
      <c r="O127" s="478">
        <f t="shared" si="17"/>
        <v>120</v>
      </c>
    </row>
    <row r="128" spans="1:16">
      <c r="A128" s="475" t="s">
        <v>1537</v>
      </c>
      <c r="B128" s="586" t="s">
        <v>18</v>
      </c>
      <c r="C128" s="476">
        <v>25</v>
      </c>
      <c r="D128" s="477"/>
      <c r="E128" s="477"/>
      <c r="F128" s="627"/>
      <c r="G128" s="477">
        <v>4</v>
      </c>
      <c r="H128" s="477"/>
      <c r="I128" s="627"/>
      <c r="J128" s="477"/>
      <c r="K128" s="608"/>
      <c r="L128" s="608"/>
      <c r="M128" s="608"/>
      <c r="N128" s="477">
        <f t="shared" si="16"/>
        <v>4</v>
      </c>
      <c r="O128" s="478">
        <f t="shared" si="17"/>
        <v>100</v>
      </c>
    </row>
    <row r="129" spans="1:15" ht="45">
      <c r="A129" s="475" t="s">
        <v>1538</v>
      </c>
      <c r="B129" s="586" t="s">
        <v>18</v>
      </c>
      <c r="C129" s="476">
        <v>25</v>
      </c>
      <c r="D129" s="477">
        <v>3</v>
      </c>
      <c r="E129" s="477"/>
      <c r="F129" s="627"/>
      <c r="G129" s="477"/>
      <c r="H129" s="477"/>
      <c r="I129" s="632">
        <v>1</v>
      </c>
      <c r="J129" s="477"/>
      <c r="K129" s="477"/>
      <c r="L129" s="477"/>
      <c r="M129" s="477"/>
      <c r="N129" s="477">
        <f t="shared" si="16"/>
        <v>4</v>
      </c>
      <c r="O129" s="478">
        <f t="shared" si="17"/>
        <v>100</v>
      </c>
    </row>
    <row r="130" spans="1:15" ht="60">
      <c r="A130" s="611" t="s">
        <v>1539</v>
      </c>
      <c r="B130" s="609" t="s">
        <v>18</v>
      </c>
      <c r="C130" s="476">
        <v>15</v>
      </c>
      <c r="D130" s="477">
        <v>3</v>
      </c>
      <c r="E130" s="477"/>
      <c r="F130" s="627"/>
      <c r="G130" s="477"/>
      <c r="H130" s="477"/>
      <c r="I130" s="627"/>
      <c r="J130" s="477"/>
      <c r="K130" s="477"/>
      <c r="L130" s="477"/>
      <c r="M130" s="477">
        <v>1</v>
      </c>
      <c r="N130" s="477">
        <f t="shared" si="16"/>
        <v>4</v>
      </c>
      <c r="O130" s="478">
        <f t="shared" si="17"/>
        <v>60</v>
      </c>
    </row>
    <row r="131" spans="1:15" ht="30">
      <c r="A131" s="611" t="s">
        <v>1540</v>
      </c>
      <c r="B131" s="609" t="s">
        <v>18</v>
      </c>
      <c r="C131" s="476">
        <v>25</v>
      </c>
      <c r="D131" s="477"/>
      <c r="E131" s="477"/>
      <c r="F131" s="627"/>
      <c r="G131" s="477">
        <v>4</v>
      </c>
      <c r="H131" s="477"/>
      <c r="I131" s="627"/>
      <c r="J131" s="477"/>
      <c r="K131" s="477"/>
      <c r="L131" s="477"/>
      <c r="M131" s="477"/>
      <c r="N131" s="477">
        <f t="shared" si="16"/>
        <v>4</v>
      </c>
      <c r="O131" s="478">
        <f t="shared" si="17"/>
        <v>100</v>
      </c>
    </row>
    <row r="132" spans="1:15" ht="30">
      <c r="A132" s="611" t="s">
        <v>1541</v>
      </c>
      <c r="B132" s="609" t="s">
        <v>18</v>
      </c>
      <c r="C132" s="476">
        <v>25</v>
      </c>
      <c r="D132" s="477"/>
      <c r="E132" s="477"/>
      <c r="F132" s="627"/>
      <c r="G132" s="477"/>
      <c r="H132" s="477"/>
      <c r="I132" s="627">
        <v>2</v>
      </c>
      <c r="J132" s="477"/>
      <c r="K132" s="477"/>
      <c r="L132" s="477"/>
      <c r="M132" s="477"/>
      <c r="N132" s="477">
        <f t="shared" si="16"/>
        <v>2</v>
      </c>
      <c r="O132" s="478">
        <f t="shared" si="17"/>
        <v>50</v>
      </c>
    </row>
    <row r="133" spans="1:15" ht="30">
      <c r="A133" s="611" t="s">
        <v>1542</v>
      </c>
      <c r="B133" s="609" t="s">
        <v>18</v>
      </c>
      <c r="C133" s="476">
        <f>520/8</f>
        <v>65</v>
      </c>
      <c r="D133" s="477">
        <v>4</v>
      </c>
      <c r="E133" s="477">
        <v>2</v>
      </c>
      <c r="F133" s="627"/>
      <c r="G133" s="477"/>
      <c r="H133" s="477"/>
      <c r="I133" s="632">
        <v>2</v>
      </c>
      <c r="J133" s="477"/>
      <c r="K133" s="477"/>
      <c r="L133" s="477"/>
      <c r="M133" s="477"/>
      <c r="N133" s="477">
        <f>SUM(D133:M133)</f>
        <v>8</v>
      </c>
      <c r="O133" s="478">
        <f>N133*C133</f>
        <v>520</v>
      </c>
    </row>
    <row r="134" spans="1:15" ht="30">
      <c r="A134" s="611" t="s">
        <v>1543</v>
      </c>
      <c r="B134" s="609" t="s">
        <v>18</v>
      </c>
      <c r="C134" s="476">
        <v>35</v>
      </c>
      <c r="D134" s="477"/>
      <c r="E134" s="477">
        <v>2</v>
      </c>
      <c r="F134" s="627">
        <v>1</v>
      </c>
      <c r="G134" s="477"/>
      <c r="H134" s="477"/>
      <c r="I134" s="627"/>
      <c r="J134" s="477"/>
      <c r="K134" s="477">
        <v>1</v>
      </c>
      <c r="L134" s="477">
        <v>1</v>
      </c>
      <c r="M134" s="477">
        <v>1</v>
      </c>
      <c r="N134" s="477">
        <f>SUM(D134:M134)</f>
        <v>6</v>
      </c>
      <c r="O134" s="478">
        <f>N134*C134</f>
        <v>210</v>
      </c>
    </row>
    <row r="135" spans="1:15" ht="30">
      <c r="A135" s="611" t="s">
        <v>1544</v>
      </c>
      <c r="B135" s="609" t="s">
        <v>18</v>
      </c>
      <c r="C135" s="476">
        <v>35</v>
      </c>
      <c r="D135" s="477"/>
      <c r="E135" s="477"/>
      <c r="F135" s="627">
        <v>1</v>
      </c>
      <c r="G135" s="477"/>
      <c r="H135" s="477"/>
      <c r="I135" s="627"/>
      <c r="J135" s="477"/>
      <c r="K135" s="477"/>
      <c r="L135" s="477"/>
      <c r="M135" s="477"/>
      <c r="N135" s="477">
        <f>SUM(D135:M135)</f>
        <v>1</v>
      </c>
      <c r="O135" s="478">
        <f>N135*C135</f>
        <v>35</v>
      </c>
    </row>
    <row r="136" spans="1:15" ht="30">
      <c r="A136" s="611" t="s">
        <v>1545</v>
      </c>
      <c r="B136" s="609" t="s">
        <v>18</v>
      </c>
      <c r="C136" s="476">
        <f>48/3</f>
        <v>16</v>
      </c>
      <c r="D136" s="477"/>
      <c r="E136" s="477"/>
      <c r="F136" s="627"/>
      <c r="G136" s="477">
        <v>3</v>
      </c>
      <c r="H136" s="477"/>
      <c r="I136" s="627"/>
      <c r="J136" s="477"/>
      <c r="K136" s="477"/>
      <c r="L136" s="477"/>
      <c r="M136" s="477"/>
      <c r="N136" s="477">
        <f>SUM(D136:M136)</f>
        <v>3</v>
      </c>
      <c r="O136" s="478">
        <f>N136*C136</f>
        <v>48</v>
      </c>
    </row>
    <row r="137" spans="1:15" ht="30">
      <c r="A137" s="611" t="s">
        <v>1546</v>
      </c>
      <c r="B137" s="609" t="s">
        <v>18</v>
      </c>
      <c r="C137" s="476">
        <v>50</v>
      </c>
      <c r="D137" s="477"/>
      <c r="E137" s="477"/>
      <c r="F137" s="627"/>
      <c r="G137" s="477"/>
      <c r="H137" s="477">
        <v>1</v>
      </c>
      <c r="I137" s="627"/>
      <c r="J137" s="477"/>
      <c r="K137" s="477"/>
      <c r="L137" s="477"/>
      <c r="M137" s="477"/>
      <c r="N137" s="477">
        <f>SUM(D137:M137)</f>
        <v>1</v>
      </c>
      <c r="O137" s="478">
        <f>N137*C137</f>
        <v>50</v>
      </c>
    </row>
    <row r="138" spans="1:15" ht="15.75" thickBot="1">
      <c r="A138" s="494" t="s">
        <v>1466</v>
      </c>
      <c r="B138" s="591"/>
      <c r="C138" s="496"/>
      <c r="D138" s="496">
        <f>($C125*D125)+(D126*$C126)+(D127*$C127)+($C128*D128)+(D129*$C129)+($C130*D130)+($C131*D131)+($C132*D132)+($C133*D133)+($C134*D134)+($C135*D135)+($C136*D136)+($C137*D137)</f>
        <v>410</v>
      </c>
      <c r="E138" s="496">
        <f t="shared" ref="E138:M138" si="18">($C125*E125)+(E126*$C126)+(E127*$C127)+($C128*E128)+(E129*$C129)+($C130*E130)+($C131*E131)+($C132*E132)+($C133*E133)+($C134*E134)+($C135*E135)+($C136*E136)+($C137*E137)</f>
        <v>200</v>
      </c>
      <c r="F138" s="628">
        <f t="shared" si="18"/>
        <v>70</v>
      </c>
      <c r="G138" s="496">
        <f t="shared" si="18"/>
        <v>348</v>
      </c>
      <c r="H138" s="496">
        <f t="shared" si="18"/>
        <v>50</v>
      </c>
      <c r="I138" s="628">
        <f t="shared" si="18"/>
        <v>205</v>
      </c>
      <c r="J138" s="496">
        <f t="shared" si="18"/>
        <v>85</v>
      </c>
      <c r="K138" s="496">
        <f t="shared" si="18"/>
        <v>35</v>
      </c>
      <c r="L138" s="496">
        <f t="shared" si="18"/>
        <v>60</v>
      </c>
      <c r="M138" s="496">
        <f t="shared" si="18"/>
        <v>80</v>
      </c>
      <c r="N138" s="496"/>
      <c r="O138" s="592">
        <f>SUM(D138:M138)</f>
        <v>1543</v>
      </c>
    </row>
    <row r="139" spans="1:15" ht="15.75" thickBot="1">
      <c r="A139" s="487" t="s">
        <v>1547</v>
      </c>
      <c r="B139" s="488"/>
      <c r="C139" s="612"/>
      <c r="D139" s="596"/>
      <c r="E139" s="596"/>
      <c r="F139" s="629"/>
      <c r="G139" s="596"/>
      <c r="H139" s="596"/>
      <c r="I139" s="629"/>
      <c r="J139" s="596"/>
      <c r="K139" s="596"/>
      <c r="L139" s="596"/>
      <c r="M139" s="596"/>
      <c r="N139" s="596"/>
      <c r="O139" s="597"/>
    </row>
    <row r="140" spans="1:15" ht="30">
      <c r="A140" s="507" t="s">
        <v>1548</v>
      </c>
      <c r="B140" s="610" t="s">
        <v>18</v>
      </c>
      <c r="C140" s="490">
        <f>20*12</f>
        <v>240</v>
      </c>
      <c r="D140" s="491"/>
      <c r="E140" s="491"/>
      <c r="F140" s="630"/>
      <c r="G140" s="491"/>
      <c r="H140" s="491"/>
      <c r="I140" s="656">
        <v>1</v>
      </c>
      <c r="J140" s="491"/>
      <c r="K140" s="491"/>
      <c r="L140" s="491"/>
      <c r="M140" s="491"/>
      <c r="N140" s="491">
        <f t="shared" ref="N140:N151" si="19">SUM(D140:M140)</f>
        <v>1</v>
      </c>
      <c r="O140" s="492">
        <f t="shared" ref="O140:O151" si="20">N140*C140</f>
        <v>240</v>
      </c>
    </row>
    <row r="141" spans="1:15">
      <c r="A141" s="508" t="s">
        <v>1549</v>
      </c>
      <c r="B141" s="586" t="s">
        <v>18</v>
      </c>
      <c r="C141" s="476">
        <f>12*13</f>
        <v>156</v>
      </c>
      <c r="D141" s="477">
        <v>1</v>
      </c>
      <c r="E141" s="477"/>
      <c r="F141" s="627"/>
      <c r="G141" s="477"/>
      <c r="H141" s="477"/>
      <c r="I141" s="633">
        <v>3</v>
      </c>
      <c r="J141" s="477"/>
      <c r="K141" s="477">
        <v>1</v>
      </c>
      <c r="L141" s="477"/>
      <c r="M141" s="477"/>
      <c r="N141" s="477">
        <f t="shared" si="19"/>
        <v>5</v>
      </c>
      <c r="O141" s="478">
        <f t="shared" si="20"/>
        <v>780</v>
      </c>
    </row>
    <row r="142" spans="1:15" ht="30">
      <c r="A142" s="508" t="s">
        <v>1550</v>
      </c>
      <c r="B142" s="586" t="s">
        <v>18</v>
      </c>
      <c r="C142" s="476">
        <f>25*12</f>
        <v>300</v>
      </c>
      <c r="D142" s="477"/>
      <c r="E142" s="477"/>
      <c r="F142" s="627"/>
      <c r="G142" s="477"/>
      <c r="H142" s="477"/>
      <c r="I142" s="633">
        <v>1</v>
      </c>
      <c r="J142" s="477"/>
      <c r="K142" s="477"/>
      <c r="L142" s="477"/>
      <c r="M142" s="477"/>
      <c r="N142" s="477">
        <f t="shared" si="19"/>
        <v>1</v>
      </c>
      <c r="O142" s="478">
        <f t="shared" si="20"/>
        <v>300</v>
      </c>
    </row>
    <row r="143" spans="1:15">
      <c r="A143" s="508" t="s">
        <v>1551</v>
      </c>
      <c r="B143" s="586" t="s">
        <v>18</v>
      </c>
      <c r="C143" s="476">
        <f>15.45*12</f>
        <v>185.39999999999998</v>
      </c>
      <c r="D143" s="477"/>
      <c r="E143" s="477"/>
      <c r="F143" s="627"/>
      <c r="G143" s="477">
        <v>2</v>
      </c>
      <c r="H143" s="477"/>
      <c r="I143" s="627"/>
      <c r="J143" s="477"/>
      <c r="K143" s="477">
        <v>1</v>
      </c>
      <c r="L143" s="477">
        <v>1</v>
      </c>
      <c r="M143" s="477">
        <v>1</v>
      </c>
      <c r="N143" s="477">
        <f t="shared" si="19"/>
        <v>5</v>
      </c>
      <c r="O143" s="478">
        <f t="shared" si="20"/>
        <v>926.99999999999989</v>
      </c>
    </row>
    <row r="144" spans="1:15">
      <c r="A144" s="508" t="s">
        <v>1552</v>
      </c>
      <c r="B144" s="586" t="s">
        <v>18</v>
      </c>
      <c r="C144" s="476">
        <f>15.45*12</f>
        <v>185.39999999999998</v>
      </c>
      <c r="D144" s="477"/>
      <c r="E144" s="477"/>
      <c r="F144" s="627"/>
      <c r="G144" s="477">
        <v>1</v>
      </c>
      <c r="H144" s="477"/>
      <c r="I144" s="627"/>
      <c r="J144" s="477"/>
      <c r="K144" s="477"/>
      <c r="L144" s="477"/>
      <c r="M144" s="477"/>
      <c r="N144" s="477">
        <f t="shared" si="19"/>
        <v>1</v>
      </c>
      <c r="O144" s="478">
        <f t="shared" si="20"/>
        <v>185.39999999999998</v>
      </c>
    </row>
    <row r="145" spans="1:24">
      <c r="A145" s="508" t="s">
        <v>1553</v>
      </c>
      <c r="B145" s="586" t="s">
        <v>18</v>
      </c>
      <c r="C145" s="476">
        <f>15.45*12</f>
        <v>185.39999999999998</v>
      </c>
      <c r="D145" s="477"/>
      <c r="E145" s="477"/>
      <c r="F145" s="627"/>
      <c r="G145" s="477">
        <v>1</v>
      </c>
      <c r="H145" s="477"/>
      <c r="I145" s="627"/>
      <c r="J145" s="477"/>
      <c r="K145" s="477"/>
      <c r="L145" s="477"/>
      <c r="M145" s="477"/>
      <c r="N145" s="477">
        <f t="shared" si="19"/>
        <v>1</v>
      </c>
      <c r="O145" s="478">
        <f t="shared" si="20"/>
        <v>185.39999999999998</v>
      </c>
    </row>
    <row r="146" spans="1:24">
      <c r="A146" s="508" t="s">
        <v>1554</v>
      </c>
      <c r="B146" s="586" t="s">
        <v>18</v>
      </c>
      <c r="C146" s="476">
        <f>15.45*12</f>
        <v>185.39999999999998</v>
      </c>
      <c r="D146" s="477"/>
      <c r="E146" s="477"/>
      <c r="F146" s="627"/>
      <c r="G146" s="477">
        <v>1</v>
      </c>
      <c r="H146" s="477"/>
      <c r="I146" s="627"/>
      <c r="J146" s="477"/>
      <c r="K146" s="477"/>
      <c r="L146" s="477"/>
      <c r="M146" s="477"/>
      <c r="N146" s="477">
        <f t="shared" si="19"/>
        <v>1</v>
      </c>
      <c r="O146" s="478">
        <f t="shared" si="20"/>
        <v>185.39999999999998</v>
      </c>
    </row>
    <row r="147" spans="1:24" ht="30">
      <c r="A147" s="508" t="s">
        <v>1555</v>
      </c>
      <c r="B147" s="586" t="s">
        <v>18</v>
      </c>
      <c r="C147" s="476">
        <f>20*12</f>
        <v>240</v>
      </c>
      <c r="D147" s="477"/>
      <c r="E147" s="477"/>
      <c r="F147" s="627">
        <v>1</v>
      </c>
      <c r="G147" s="477"/>
      <c r="H147" s="477"/>
      <c r="I147" s="627"/>
      <c r="J147" s="477"/>
      <c r="K147" s="477"/>
      <c r="L147" s="477"/>
      <c r="M147" s="477"/>
      <c r="N147" s="477">
        <f t="shared" si="19"/>
        <v>1</v>
      </c>
      <c r="O147" s="478">
        <f t="shared" si="20"/>
        <v>240</v>
      </c>
    </row>
    <row r="148" spans="1:24">
      <c r="A148" s="508" t="s">
        <v>1556</v>
      </c>
      <c r="B148" s="586" t="s">
        <v>18</v>
      </c>
      <c r="C148" s="476">
        <f>15*12</f>
        <v>180</v>
      </c>
      <c r="D148" s="477"/>
      <c r="E148" s="477"/>
      <c r="F148" s="627"/>
      <c r="G148" s="477">
        <v>1</v>
      </c>
      <c r="H148" s="477"/>
      <c r="I148" s="627"/>
      <c r="J148" s="477"/>
      <c r="K148" s="477"/>
      <c r="L148" s="477"/>
      <c r="M148" s="477"/>
      <c r="N148" s="477">
        <f>SUM(D148:M148)</f>
        <v>1</v>
      </c>
      <c r="O148" s="478">
        <f>N148*C148</f>
        <v>180</v>
      </c>
    </row>
    <row r="149" spans="1:24" ht="30">
      <c r="A149" s="508" t="s">
        <v>1557</v>
      </c>
      <c r="B149" s="586" t="s">
        <v>18</v>
      </c>
      <c r="C149" s="476">
        <f>20*12</f>
        <v>240</v>
      </c>
      <c r="D149" s="477"/>
      <c r="E149" s="477"/>
      <c r="F149" s="627">
        <v>1</v>
      </c>
      <c r="G149" s="477"/>
      <c r="H149" s="477"/>
      <c r="I149" s="627"/>
      <c r="J149" s="477"/>
      <c r="K149" s="477"/>
      <c r="L149" s="477"/>
      <c r="M149" s="477"/>
      <c r="N149" s="477">
        <f>SUM(D149:M149)</f>
        <v>1</v>
      </c>
      <c r="O149" s="478">
        <f>N149*C149</f>
        <v>240</v>
      </c>
    </row>
    <row r="150" spans="1:24" ht="45">
      <c r="A150" s="508" t="s">
        <v>1558</v>
      </c>
      <c r="B150" s="586" t="s">
        <v>18</v>
      </c>
      <c r="C150" s="476">
        <v>15</v>
      </c>
      <c r="D150" s="477"/>
      <c r="E150" s="477"/>
      <c r="F150" s="627"/>
      <c r="G150" s="477"/>
      <c r="H150" s="477">
        <v>1</v>
      </c>
      <c r="I150" s="627"/>
      <c r="J150" s="477"/>
      <c r="K150" s="477"/>
      <c r="L150" s="477"/>
      <c r="M150" s="477"/>
      <c r="N150" s="477">
        <f t="shared" si="19"/>
        <v>1</v>
      </c>
      <c r="O150" s="478">
        <f t="shared" si="20"/>
        <v>15</v>
      </c>
    </row>
    <row r="151" spans="1:24" ht="30.75" thickBot="1">
      <c r="A151" s="615" t="s">
        <v>1559</v>
      </c>
      <c r="B151" s="591" t="s">
        <v>18</v>
      </c>
      <c r="C151" s="495">
        <f>20*6</f>
        <v>120</v>
      </c>
      <c r="D151" s="496"/>
      <c r="E151" s="496"/>
      <c r="F151" s="628"/>
      <c r="G151" s="496"/>
      <c r="H151" s="496">
        <v>1</v>
      </c>
      <c r="I151" s="628"/>
      <c r="J151" s="496"/>
      <c r="K151" s="496"/>
      <c r="L151" s="496"/>
      <c r="M151" s="496"/>
      <c r="N151" s="496">
        <f t="shared" si="19"/>
        <v>1</v>
      </c>
      <c r="O151" s="497">
        <f t="shared" si="20"/>
        <v>120</v>
      </c>
    </row>
    <row r="152" spans="1:24" ht="15.75" thickBot="1">
      <c r="A152" s="498" t="s">
        <v>1466</v>
      </c>
      <c r="B152" s="499"/>
      <c r="C152" s="613"/>
      <c r="D152" s="500">
        <f>($C140*D140)+($C141*D141)+($C142*D142)+(D143*$C143)+($C144*D144)+($C145*D145)+($C146*D146)+($C147*D147)+($C148*D148)+($C149*D149)+($C150*D150)+($C151*D151)</f>
        <v>156</v>
      </c>
      <c r="E152" s="500">
        <f t="shared" ref="E152:M152" si="21">($C140*E140)+($C141*E141)+($C142*E142)+(E143*$C143)+($C144*E144)+($C145*E145)+($C146*E146)+($C147*E147)+($C148*E148)+($C149*E149)+($C150*E150)+($C151*E151)</f>
        <v>0</v>
      </c>
      <c r="F152" s="614">
        <f t="shared" si="21"/>
        <v>480</v>
      </c>
      <c r="G152" s="500">
        <f t="shared" si="21"/>
        <v>1107</v>
      </c>
      <c r="H152" s="500">
        <f t="shared" si="21"/>
        <v>135</v>
      </c>
      <c r="I152" s="614">
        <f t="shared" si="21"/>
        <v>1008</v>
      </c>
      <c r="J152" s="500">
        <f t="shared" si="21"/>
        <v>0</v>
      </c>
      <c r="K152" s="500">
        <f t="shared" si="21"/>
        <v>341.4</v>
      </c>
      <c r="L152" s="500">
        <f t="shared" si="21"/>
        <v>185.39999999999998</v>
      </c>
      <c r="M152" s="500">
        <f t="shared" si="21"/>
        <v>185.39999999999998</v>
      </c>
      <c r="N152" s="500"/>
      <c r="O152" s="614">
        <f>SUM(O140:O151)</f>
        <v>3598.2000000000003</v>
      </c>
      <c r="P152" s="482"/>
      <c r="Q152" s="467" t="s">
        <v>1560</v>
      </c>
      <c r="R152" s="467" t="s">
        <v>1561</v>
      </c>
      <c r="S152" s="467" t="s">
        <v>1474</v>
      </c>
      <c r="T152" s="509" t="s">
        <v>966</v>
      </c>
      <c r="U152" s="509" t="s">
        <v>1562</v>
      </c>
      <c r="V152" s="467" t="s">
        <v>1563</v>
      </c>
      <c r="W152" s="467" t="s">
        <v>1346</v>
      </c>
    </row>
    <row r="153" spans="1:24" ht="15.75" thickBot="1">
      <c r="A153" s="510" t="s">
        <v>1346</v>
      </c>
      <c r="B153" s="511"/>
      <c r="C153" s="486"/>
      <c r="D153" s="486">
        <f>D53+D62+D110+D123+D138+D152</f>
        <v>1943.5</v>
      </c>
      <c r="E153" s="486">
        <f t="shared" ref="E153:M153" si="22">E53+E62+E110+E123+E138+E152</f>
        <v>1432</v>
      </c>
      <c r="F153" s="631">
        <f t="shared" si="22"/>
        <v>1326</v>
      </c>
      <c r="G153" s="486">
        <f t="shared" si="22"/>
        <v>3705.2</v>
      </c>
      <c r="H153" s="486">
        <f t="shared" si="22"/>
        <v>1830.5</v>
      </c>
      <c r="I153" s="631">
        <f t="shared" si="22"/>
        <v>2681.5</v>
      </c>
      <c r="J153" s="486">
        <f t="shared" si="22"/>
        <v>935.6</v>
      </c>
      <c r="K153" s="486">
        <f t="shared" si="22"/>
        <v>1486.3000000000002</v>
      </c>
      <c r="L153" s="486">
        <f t="shared" si="22"/>
        <v>706.4</v>
      </c>
      <c r="M153" s="486">
        <f t="shared" si="22"/>
        <v>882.1</v>
      </c>
      <c r="N153" s="486"/>
      <c r="O153" s="512">
        <f>SUM(D153:N153)</f>
        <v>16929.100000000002</v>
      </c>
      <c r="P153" s="485"/>
      <c r="Q153" s="467" t="s">
        <v>1564</v>
      </c>
      <c r="R153" s="513">
        <v>11982000</v>
      </c>
      <c r="S153" s="513">
        <v>631100</v>
      </c>
      <c r="T153" s="513">
        <v>384000</v>
      </c>
      <c r="U153" s="513">
        <v>445000</v>
      </c>
      <c r="V153" s="482">
        <v>1105900</v>
      </c>
      <c r="W153" s="482">
        <v>14548000</v>
      </c>
    </row>
    <row r="154" spans="1:24">
      <c r="A154" s="514"/>
      <c r="B154" s="515"/>
      <c r="C154" s="516"/>
      <c r="D154" s="516"/>
      <c r="E154" s="516"/>
      <c r="F154" s="629"/>
      <c r="G154" s="516"/>
      <c r="H154" s="516"/>
      <c r="I154" s="629"/>
      <c r="J154" s="516"/>
      <c r="K154" s="516"/>
      <c r="L154" s="516"/>
      <c r="M154" s="516"/>
      <c r="N154" s="516"/>
      <c r="O154" s="517"/>
      <c r="P154" s="485"/>
      <c r="R154" s="513"/>
      <c r="S154" s="513"/>
      <c r="T154" s="513"/>
      <c r="U154" s="513"/>
      <c r="V154" s="482"/>
      <c r="W154" s="482"/>
    </row>
    <row r="155" spans="1:24">
      <c r="A155" s="518"/>
      <c r="B155" s="515"/>
      <c r="C155" s="516"/>
      <c r="D155" s="516"/>
      <c r="E155" s="516"/>
      <c r="F155" s="629"/>
      <c r="G155" s="516"/>
      <c r="H155" s="516"/>
      <c r="I155" s="629"/>
      <c r="J155" s="516"/>
      <c r="K155" s="516"/>
      <c r="L155" s="516"/>
      <c r="M155" s="516"/>
      <c r="N155" s="516"/>
      <c r="O155" s="517"/>
      <c r="P155" s="485"/>
      <c r="R155" s="513"/>
      <c r="S155" s="513"/>
      <c r="T155" s="513"/>
      <c r="U155" s="513"/>
      <c r="V155" s="482"/>
      <c r="W155" s="482"/>
    </row>
    <row r="156" spans="1:24">
      <c r="A156" s="519"/>
      <c r="B156" s="477"/>
      <c r="C156" s="477"/>
      <c r="D156" s="683" t="s">
        <v>1412</v>
      </c>
      <c r="E156" s="683"/>
      <c r="F156" s="683"/>
      <c r="G156" s="683"/>
      <c r="H156" s="683"/>
      <c r="I156" s="683"/>
      <c r="J156" s="683"/>
      <c r="K156" s="683"/>
      <c r="L156" s="683"/>
      <c r="M156" s="683"/>
      <c r="N156" s="684" t="s">
        <v>1413</v>
      </c>
      <c r="O156" s="685" t="s">
        <v>1414</v>
      </c>
      <c r="P156" s="485"/>
    </row>
    <row r="157" spans="1:24" ht="30">
      <c r="A157" s="519"/>
      <c r="B157" s="477"/>
      <c r="C157" s="477"/>
      <c r="D157" s="470" t="s">
        <v>1415</v>
      </c>
      <c r="E157" s="470" t="s">
        <v>1416</v>
      </c>
      <c r="F157" s="625" t="s">
        <v>121</v>
      </c>
      <c r="G157" s="470" t="s">
        <v>117</v>
      </c>
      <c r="H157" s="470" t="s">
        <v>122</v>
      </c>
      <c r="I157" s="625" t="s">
        <v>98</v>
      </c>
      <c r="J157" s="470" t="s">
        <v>137</v>
      </c>
      <c r="K157" s="470" t="s">
        <v>1417</v>
      </c>
      <c r="L157" s="470" t="s">
        <v>1418</v>
      </c>
      <c r="M157" s="470" t="s">
        <v>1419</v>
      </c>
      <c r="N157" s="684"/>
      <c r="O157" s="685"/>
      <c r="P157" s="485"/>
    </row>
    <row r="158" spans="1:24">
      <c r="A158" s="521" t="s">
        <v>95</v>
      </c>
      <c r="B158" s="477" t="s">
        <v>19</v>
      </c>
      <c r="C158" s="477"/>
      <c r="D158" s="477">
        <f t="shared" ref="D158:M158" si="23">D53</f>
        <v>264</v>
      </c>
      <c r="E158" s="477">
        <f t="shared" si="23"/>
        <v>841</v>
      </c>
      <c r="F158" s="627">
        <f t="shared" si="23"/>
        <v>393</v>
      </c>
      <c r="G158" s="477">
        <f t="shared" si="23"/>
        <v>1329</v>
      </c>
      <c r="H158" s="477">
        <f t="shared" si="23"/>
        <v>1381</v>
      </c>
      <c r="I158" s="627">
        <f t="shared" si="23"/>
        <v>619</v>
      </c>
      <c r="J158" s="477">
        <f t="shared" si="23"/>
        <v>530</v>
      </c>
      <c r="K158" s="477">
        <f t="shared" si="23"/>
        <v>881</v>
      </c>
      <c r="L158" s="477">
        <f t="shared" si="23"/>
        <v>300</v>
      </c>
      <c r="M158" s="477">
        <f t="shared" si="23"/>
        <v>341</v>
      </c>
      <c r="N158" s="522">
        <f>SUM(D158:M158)</f>
        <v>6879</v>
      </c>
      <c r="O158" s="523"/>
      <c r="X158" s="467" t="s">
        <v>19</v>
      </c>
    </row>
    <row r="159" spans="1:24">
      <c r="A159" s="521" t="s">
        <v>1565</v>
      </c>
      <c r="B159" s="477" t="s">
        <v>19</v>
      </c>
      <c r="C159" s="477"/>
      <c r="D159" s="477">
        <f t="shared" ref="D159:M159" si="24">D62</f>
        <v>536</v>
      </c>
      <c r="E159" s="477">
        <f t="shared" si="24"/>
        <v>45</v>
      </c>
      <c r="F159" s="627">
        <f t="shared" si="24"/>
        <v>32</v>
      </c>
      <c r="G159" s="477">
        <f t="shared" si="24"/>
        <v>232</v>
      </c>
      <c r="H159" s="477">
        <f t="shared" si="24"/>
        <v>49</v>
      </c>
      <c r="I159" s="627">
        <f t="shared" si="24"/>
        <v>168</v>
      </c>
      <c r="J159" s="477">
        <f t="shared" si="24"/>
        <v>182</v>
      </c>
      <c r="K159" s="477">
        <f t="shared" si="24"/>
        <v>84</v>
      </c>
      <c r="L159" s="477">
        <f t="shared" si="24"/>
        <v>20</v>
      </c>
      <c r="M159" s="477">
        <f t="shared" si="24"/>
        <v>4</v>
      </c>
      <c r="N159" s="522">
        <f t="shared" ref="N159:N163" si="25">SUM(D159:M159)</f>
        <v>1352</v>
      </c>
      <c r="O159" s="523"/>
    </row>
    <row r="160" spans="1:24">
      <c r="A160" s="521" t="s">
        <v>107</v>
      </c>
      <c r="B160" s="477" t="s">
        <v>18</v>
      </c>
      <c r="C160" s="477"/>
      <c r="D160" s="477">
        <f t="shared" ref="D160:M160" si="26">D110</f>
        <v>227.5</v>
      </c>
      <c r="E160" s="477">
        <f t="shared" si="26"/>
        <v>174</v>
      </c>
      <c r="F160" s="627">
        <f t="shared" si="26"/>
        <v>129</v>
      </c>
      <c r="G160" s="477">
        <f t="shared" si="26"/>
        <v>176.2</v>
      </c>
      <c r="H160" s="477">
        <f t="shared" si="26"/>
        <v>188.5</v>
      </c>
      <c r="I160" s="627">
        <f t="shared" si="26"/>
        <v>218.5</v>
      </c>
      <c r="J160" s="477">
        <f t="shared" si="26"/>
        <v>138.60000000000002</v>
      </c>
      <c r="K160" s="477">
        <f t="shared" si="26"/>
        <v>144.9</v>
      </c>
      <c r="L160" s="477">
        <f t="shared" si="26"/>
        <v>141</v>
      </c>
      <c r="M160" s="477">
        <f t="shared" si="26"/>
        <v>121.7</v>
      </c>
      <c r="N160" s="522">
        <f t="shared" si="25"/>
        <v>1659.9000000000003</v>
      </c>
      <c r="O160" s="523"/>
    </row>
    <row r="161" spans="1:16">
      <c r="A161" s="521" t="s">
        <v>1566</v>
      </c>
      <c r="B161" s="477" t="s">
        <v>18</v>
      </c>
      <c r="C161" s="477"/>
      <c r="D161" s="477">
        <f t="shared" ref="D161:M161" si="27">D123</f>
        <v>350</v>
      </c>
      <c r="E161" s="477">
        <f t="shared" si="27"/>
        <v>172</v>
      </c>
      <c r="F161" s="627">
        <f t="shared" si="27"/>
        <v>222</v>
      </c>
      <c r="G161" s="477">
        <f t="shared" si="27"/>
        <v>513</v>
      </c>
      <c r="H161" s="477">
        <f t="shared" si="27"/>
        <v>27</v>
      </c>
      <c r="I161" s="627">
        <f t="shared" si="27"/>
        <v>463</v>
      </c>
      <c r="J161" s="477">
        <f t="shared" si="27"/>
        <v>0</v>
      </c>
      <c r="K161" s="477">
        <f t="shared" si="27"/>
        <v>0</v>
      </c>
      <c r="L161" s="477">
        <f t="shared" si="27"/>
        <v>0</v>
      </c>
      <c r="M161" s="477">
        <f t="shared" si="27"/>
        <v>150</v>
      </c>
      <c r="N161" s="522">
        <f t="shared" si="25"/>
        <v>1897</v>
      </c>
      <c r="O161" s="523"/>
    </row>
    <row r="162" spans="1:16">
      <c r="A162" s="521" t="s">
        <v>1567</v>
      </c>
      <c r="B162" s="477" t="s">
        <v>18</v>
      </c>
      <c r="C162" s="477"/>
      <c r="D162" s="477">
        <f t="shared" ref="D162:M162" si="28">D138</f>
        <v>410</v>
      </c>
      <c r="E162" s="477">
        <f t="shared" si="28"/>
        <v>200</v>
      </c>
      <c r="F162" s="627">
        <f t="shared" si="28"/>
        <v>70</v>
      </c>
      <c r="G162" s="477">
        <f t="shared" si="28"/>
        <v>348</v>
      </c>
      <c r="H162" s="477">
        <f t="shared" si="28"/>
        <v>50</v>
      </c>
      <c r="I162" s="627">
        <f t="shared" si="28"/>
        <v>205</v>
      </c>
      <c r="J162" s="477">
        <f t="shared" si="28"/>
        <v>85</v>
      </c>
      <c r="K162" s="477">
        <f t="shared" si="28"/>
        <v>35</v>
      </c>
      <c r="L162" s="477">
        <f t="shared" si="28"/>
        <v>60</v>
      </c>
      <c r="M162" s="477">
        <f t="shared" si="28"/>
        <v>80</v>
      </c>
      <c r="N162" s="522">
        <f t="shared" si="25"/>
        <v>1543</v>
      </c>
      <c r="O162" s="523"/>
    </row>
    <row r="163" spans="1:16">
      <c r="A163" s="521" t="s">
        <v>1568</v>
      </c>
      <c r="B163" s="477" t="s">
        <v>18</v>
      </c>
      <c r="C163" s="477"/>
      <c r="D163" s="477">
        <f>D152</f>
        <v>156</v>
      </c>
      <c r="E163" s="477">
        <f t="shared" ref="E163:M163" si="29">E152</f>
        <v>0</v>
      </c>
      <c r="F163" s="627">
        <f t="shared" si="29"/>
        <v>480</v>
      </c>
      <c r="G163" s="477">
        <f t="shared" si="29"/>
        <v>1107</v>
      </c>
      <c r="H163" s="477">
        <f t="shared" si="29"/>
        <v>135</v>
      </c>
      <c r="I163" s="627">
        <f t="shared" si="29"/>
        <v>1008</v>
      </c>
      <c r="J163" s="477">
        <f t="shared" si="29"/>
        <v>0</v>
      </c>
      <c r="K163" s="477">
        <f t="shared" si="29"/>
        <v>341.4</v>
      </c>
      <c r="L163" s="477">
        <f t="shared" si="29"/>
        <v>185.39999999999998</v>
      </c>
      <c r="M163" s="477">
        <f t="shared" si="29"/>
        <v>185.39999999999998</v>
      </c>
      <c r="N163" s="522">
        <f t="shared" si="25"/>
        <v>3598.2000000000003</v>
      </c>
      <c r="O163" s="523"/>
    </row>
    <row r="164" spans="1:16">
      <c r="A164" s="519"/>
      <c r="B164" s="477"/>
      <c r="C164" s="477"/>
      <c r="D164" s="477">
        <f>SUM(D158:D163)</f>
        <v>1943.5</v>
      </c>
      <c r="E164" s="477">
        <f t="shared" ref="E164:M164" si="30">SUM(E158:E163)</f>
        <v>1432</v>
      </c>
      <c r="F164" s="627">
        <f t="shared" si="30"/>
        <v>1326</v>
      </c>
      <c r="G164" s="477">
        <f t="shared" si="30"/>
        <v>3705.2</v>
      </c>
      <c r="H164" s="477">
        <f t="shared" si="30"/>
        <v>1830.5</v>
      </c>
      <c r="I164" s="627">
        <f t="shared" si="30"/>
        <v>2681.5</v>
      </c>
      <c r="J164" s="477">
        <f t="shared" si="30"/>
        <v>935.6</v>
      </c>
      <c r="K164" s="477">
        <f t="shared" si="30"/>
        <v>1486.3000000000002</v>
      </c>
      <c r="L164" s="477">
        <f t="shared" si="30"/>
        <v>706.4</v>
      </c>
      <c r="M164" s="477">
        <f t="shared" si="30"/>
        <v>882.1</v>
      </c>
      <c r="N164" s="522">
        <f>SUM(D164:M164)</f>
        <v>16929.100000000002</v>
      </c>
      <c r="O164" s="477"/>
      <c r="P164" s="485"/>
    </row>
  </sheetData>
  <mergeCells count="10">
    <mergeCell ref="D156:M156"/>
    <mergeCell ref="N156:N157"/>
    <mergeCell ref="O156:O157"/>
    <mergeCell ref="A2:O2"/>
    <mergeCell ref="A4:A5"/>
    <mergeCell ref="B4:B5"/>
    <mergeCell ref="C4:C5"/>
    <mergeCell ref="D4:M4"/>
    <mergeCell ref="N4:N5"/>
    <mergeCell ref="O4:O5"/>
  </mergeCells>
  <pageMargins left="0.14000000000000001" right="0.22" top="0.43" bottom="0.4" header="0.3" footer="0.23"/>
  <pageSetup paperSize="9" orientation="landscape" horizontalDpi="300" verticalDpi="300" r:id="rId1"/>
  <headerFooter>
    <oddFooter>&amp;L&amp;"Arial1,Italic"List of 2020 ICT&amp;R&amp;"Arial1,Italic"&amp;P</oddFooter>
  </headerFooter>
  <rowBreaks count="1" manualBreakCount="1">
    <brk id="26" max="1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64"/>
  <sheetViews>
    <sheetView view="pageBreakPreview" topLeftCell="A30" zoomScale="90" zoomScaleNormal="100" zoomScaleSheetLayoutView="90" workbookViewId="0">
      <pane xSplit="4" ySplit="3" topLeftCell="E827" activePane="bottomRight" state="frozen"/>
      <selection activeCell="A30" sqref="A30"/>
      <selection pane="topRight" activeCell="E30" sqref="E30"/>
      <selection pane="bottomLeft" activeCell="A33" sqref="A33"/>
      <selection pane="bottomRight" activeCell="C831" sqref="C831"/>
    </sheetView>
  </sheetViews>
  <sheetFormatPr defaultColWidth="5.125" defaultRowHeight="15"/>
  <cols>
    <col min="1" max="1" width="3.625" customWidth="1"/>
    <col min="2" max="2" width="11.375" customWidth="1"/>
    <col min="3" max="3" width="26.5" customWidth="1"/>
    <col min="4" max="4" width="7.5" customWidth="1"/>
    <col min="5" max="8" width="5.375" customWidth="1"/>
    <col min="9" max="9" width="9.5" style="153" customWidth="1"/>
    <col min="10" max="13" width="5.375" customWidth="1"/>
    <col min="14" max="14" width="8.875" style="153" customWidth="1"/>
    <col min="15" max="18" width="5.375" customWidth="1"/>
    <col min="19" max="19" width="7.5" style="153" customWidth="1"/>
    <col min="20" max="23" width="5.25" customWidth="1"/>
    <col min="24" max="24" width="9.375" style="153" customWidth="1"/>
    <col min="25" max="25" width="8.75" style="153" customWidth="1"/>
    <col min="26" max="26" width="10.5" customWidth="1"/>
    <col min="27" max="27" width="12.75" style="153" customWidth="1"/>
    <col min="28" max="28" width="5.375" style="135" bestFit="1" customWidth="1"/>
  </cols>
  <sheetData>
    <row r="1" spans="1:28">
      <c r="A1" s="785"/>
      <c r="B1" s="785"/>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135" t="s">
        <v>260</v>
      </c>
    </row>
    <row r="2" spans="1:28" ht="15.75">
      <c r="A2" s="786" t="s">
        <v>261</v>
      </c>
      <c r="B2" s="786"/>
      <c r="C2" s="786"/>
      <c r="D2" s="786"/>
      <c r="E2" s="786"/>
      <c r="F2" s="786"/>
      <c r="G2" s="786"/>
      <c r="H2" s="786"/>
      <c r="I2" s="786"/>
      <c r="J2" s="786"/>
      <c r="K2" s="786"/>
      <c r="L2" s="786"/>
      <c r="M2" s="786"/>
      <c r="N2" s="786"/>
      <c r="O2" s="786"/>
      <c r="P2" s="786"/>
      <c r="Q2" s="786"/>
      <c r="R2" s="786"/>
      <c r="S2" s="786"/>
      <c r="T2" s="786"/>
      <c r="U2" s="786"/>
      <c r="V2" s="786"/>
      <c r="W2" s="786"/>
      <c r="X2" s="786"/>
      <c r="Y2" s="786"/>
      <c r="Z2" s="786"/>
      <c r="AA2" s="786"/>
      <c r="AB2" s="135">
        <v>1.0900000000000001</v>
      </c>
    </row>
    <row r="3" spans="1:28" ht="18.75">
      <c r="A3" s="787"/>
      <c r="B3" s="787"/>
      <c r="C3" s="787"/>
      <c r="D3" s="787"/>
      <c r="E3" s="787"/>
      <c r="F3" s="787"/>
      <c r="G3" s="787"/>
      <c r="H3" s="787"/>
      <c r="I3" s="787"/>
      <c r="J3" s="787"/>
      <c r="K3" s="787"/>
      <c r="L3" s="787"/>
      <c r="M3" s="787"/>
      <c r="N3" s="787"/>
      <c r="O3" s="787"/>
      <c r="P3" s="787"/>
      <c r="Q3" s="787"/>
      <c r="R3" s="787"/>
      <c r="S3" s="787"/>
      <c r="T3" s="787"/>
      <c r="U3" s="787"/>
      <c r="V3" s="787"/>
      <c r="W3" s="787"/>
      <c r="X3" s="787"/>
      <c r="Y3" s="787"/>
      <c r="Z3" s="787"/>
      <c r="AA3" s="787"/>
      <c r="AB3" s="135" t="s">
        <v>262</v>
      </c>
    </row>
    <row r="4" spans="1:28" ht="15.75">
      <c r="A4" s="784" t="s">
        <v>263</v>
      </c>
      <c r="B4" s="784"/>
      <c r="C4" s="784"/>
      <c r="D4" s="784"/>
      <c r="E4" s="784"/>
      <c r="F4" s="784"/>
      <c r="G4" s="784"/>
      <c r="H4" s="784"/>
      <c r="I4" s="784"/>
      <c r="J4" s="784"/>
      <c r="K4" s="784"/>
      <c r="L4" s="784"/>
      <c r="M4" s="784"/>
      <c r="N4" s="784"/>
      <c r="O4" s="784"/>
      <c r="P4" s="784"/>
      <c r="Q4" s="784"/>
      <c r="R4" s="784"/>
      <c r="S4" s="784"/>
      <c r="T4" s="784"/>
      <c r="U4" s="784"/>
      <c r="V4" s="784"/>
      <c r="W4" s="784"/>
      <c r="X4" s="784"/>
      <c r="Y4" s="784"/>
      <c r="Z4" s="784"/>
      <c r="AA4" s="784"/>
    </row>
    <row r="5" spans="1:28" ht="54.75" customHeight="1">
      <c r="A5" s="778" t="s">
        <v>264</v>
      </c>
      <c r="B5" s="778"/>
      <c r="C5" s="778"/>
      <c r="D5" s="778"/>
      <c r="E5" s="778"/>
      <c r="F5" s="778"/>
      <c r="G5" s="778"/>
      <c r="H5" s="778"/>
      <c r="I5" s="778"/>
      <c r="J5" s="778"/>
      <c r="K5" s="778"/>
      <c r="L5" s="778"/>
      <c r="M5" s="778"/>
      <c r="N5" s="778"/>
      <c r="O5" s="778"/>
      <c r="P5" s="778"/>
      <c r="Q5" s="778"/>
      <c r="R5" s="778"/>
      <c r="S5" s="778"/>
      <c r="T5" s="778"/>
      <c r="U5" s="778"/>
      <c r="V5" s="778"/>
      <c r="W5" s="778"/>
      <c r="X5" s="778"/>
      <c r="Y5" s="778"/>
      <c r="Z5" s="778"/>
      <c r="AA5" s="778"/>
    </row>
    <row r="6" spans="1:28" ht="15.75">
      <c r="A6" s="136"/>
      <c r="B6" s="136"/>
      <c r="C6" s="136"/>
      <c r="D6" s="136"/>
      <c r="E6" s="136"/>
      <c r="F6" s="136"/>
      <c r="G6" s="136"/>
      <c r="H6" s="136"/>
      <c r="I6" s="137"/>
      <c r="J6" s="136"/>
      <c r="K6" s="136"/>
      <c r="L6" s="136"/>
      <c r="M6" s="136"/>
      <c r="N6" s="137"/>
      <c r="O6" s="136"/>
      <c r="P6" s="136"/>
      <c r="Q6" s="136"/>
      <c r="R6" s="136"/>
      <c r="S6" s="137"/>
      <c r="T6" s="136"/>
      <c r="U6" s="136"/>
      <c r="V6" s="136"/>
      <c r="W6" s="136"/>
      <c r="X6" s="137"/>
      <c r="Y6" s="137"/>
      <c r="Z6" s="136"/>
      <c r="AA6" s="137"/>
    </row>
    <row r="7" spans="1:28" ht="15.75">
      <c r="A7" s="784" t="s">
        <v>265</v>
      </c>
      <c r="B7" s="784"/>
      <c r="C7" s="784"/>
      <c r="D7" s="784"/>
      <c r="E7" s="784"/>
      <c r="F7" s="784"/>
      <c r="G7" s="784"/>
      <c r="H7" s="784"/>
      <c r="I7" s="784"/>
      <c r="J7" s="784"/>
      <c r="K7" s="784"/>
      <c r="L7" s="784"/>
      <c r="M7" s="784"/>
      <c r="N7" s="784"/>
      <c r="O7" s="784"/>
      <c r="P7" s="784"/>
      <c r="Q7" s="784"/>
      <c r="R7" s="784"/>
      <c r="S7" s="784"/>
      <c r="T7" s="784"/>
      <c r="U7" s="784"/>
      <c r="V7" s="784"/>
      <c r="W7" s="784"/>
      <c r="X7" s="784"/>
      <c r="Y7" s="784"/>
      <c r="Z7" s="784"/>
      <c r="AA7" s="784"/>
    </row>
    <row r="8" spans="1:28" ht="15.75">
      <c r="A8" s="779" t="s">
        <v>266</v>
      </c>
      <c r="B8" s="779"/>
      <c r="C8" s="779"/>
      <c r="D8" s="779"/>
      <c r="E8" s="779"/>
      <c r="F8" s="779"/>
      <c r="G8" s="779"/>
      <c r="H8" s="779"/>
      <c r="I8" s="779"/>
      <c r="J8" s="779"/>
      <c r="K8" s="779"/>
      <c r="L8" s="779"/>
      <c r="M8" s="779"/>
      <c r="N8" s="779"/>
      <c r="O8" s="779"/>
      <c r="P8" s="779"/>
      <c r="Q8" s="779"/>
      <c r="R8" s="779"/>
      <c r="S8" s="779"/>
      <c r="T8" s="779"/>
      <c r="U8" s="779"/>
      <c r="V8" s="779"/>
      <c r="W8" s="779"/>
      <c r="X8" s="779"/>
      <c r="Y8" s="779"/>
      <c r="Z8" s="779"/>
      <c r="AA8" s="779"/>
    </row>
    <row r="9" spans="1:28" ht="15.75">
      <c r="A9" s="779" t="s">
        <v>267</v>
      </c>
      <c r="B9" s="779"/>
      <c r="C9" s="779"/>
      <c r="D9" s="779"/>
      <c r="E9" s="779"/>
      <c r="F9" s="779"/>
      <c r="G9" s="779"/>
      <c r="H9" s="779"/>
      <c r="I9" s="779"/>
      <c r="J9" s="779"/>
      <c r="K9" s="779"/>
      <c r="L9" s="779"/>
      <c r="M9" s="779"/>
      <c r="N9" s="779"/>
      <c r="O9" s="779"/>
      <c r="P9" s="779"/>
      <c r="Q9" s="779"/>
      <c r="R9" s="779"/>
      <c r="S9" s="779"/>
      <c r="T9" s="779"/>
      <c r="U9" s="779"/>
      <c r="V9" s="779"/>
      <c r="W9" s="779"/>
      <c r="X9" s="779"/>
      <c r="Y9" s="779"/>
      <c r="Z9" s="779"/>
      <c r="AA9" s="779"/>
    </row>
    <row r="10" spans="1:28" ht="15.75">
      <c r="A10" s="779" t="s">
        <v>268</v>
      </c>
      <c r="B10" s="779"/>
      <c r="C10" s="779"/>
      <c r="D10" s="779"/>
      <c r="E10" s="779"/>
      <c r="F10" s="779"/>
      <c r="G10" s="779"/>
      <c r="H10" s="779"/>
      <c r="I10" s="779"/>
      <c r="J10" s="779"/>
      <c r="K10" s="779"/>
      <c r="L10" s="779"/>
      <c r="M10" s="779"/>
      <c r="N10" s="779"/>
      <c r="O10" s="779"/>
      <c r="P10" s="779"/>
      <c r="Q10" s="779"/>
      <c r="R10" s="779"/>
      <c r="S10" s="779"/>
      <c r="T10" s="779"/>
      <c r="U10" s="779"/>
      <c r="V10" s="779"/>
      <c r="W10" s="779"/>
      <c r="X10" s="779"/>
      <c r="Y10" s="779"/>
      <c r="Z10" s="779"/>
      <c r="AA10" s="779"/>
    </row>
    <row r="11" spans="1:28" ht="15.75">
      <c r="A11" s="779" t="s">
        <v>269</v>
      </c>
      <c r="B11" s="779"/>
      <c r="C11" s="779"/>
      <c r="D11" s="779"/>
      <c r="E11" s="779"/>
      <c r="F11" s="779"/>
      <c r="G11" s="779"/>
      <c r="H11" s="779"/>
      <c r="I11" s="779"/>
      <c r="J11" s="779"/>
      <c r="K11" s="779"/>
      <c r="L11" s="779"/>
      <c r="M11" s="779"/>
      <c r="N11" s="779"/>
      <c r="O11" s="779"/>
      <c r="P11" s="779"/>
      <c r="Q11" s="779"/>
      <c r="R11" s="779"/>
      <c r="S11" s="779"/>
      <c r="T11" s="779"/>
      <c r="U11" s="779"/>
      <c r="V11" s="779"/>
      <c r="W11" s="779"/>
      <c r="X11" s="779"/>
      <c r="Y11" s="779"/>
      <c r="Z11" s="779"/>
      <c r="AA11" s="779"/>
    </row>
    <row r="12" spans="1:28" ht="15.75">
      <c r="A12" s="779" t="s">
        <v>270</v>
      </c>
      <c r="B12" s="779"/>
      <c r="C12" s="779"/>
      <c r="D12" s="779"/>
      <c r="E12" s="779"/>
      <c r="F12" s="779"/>
      <c r="G12" s="779"/>
      <c r="H12" s="779"/>
      <c r="I12" s="779"/>
      <c r="J12" s="779"/>
      <c r="K12" s="779"/>
      <c r="L12" s="779"/>
      <c r="M12" s="779"/>
      <c r="N12" s="779"/>
      <c r="O12" s="779"/>
      <c r="P12" s="779"/>
      <c r="Q12" s="779"/>
      <c r="R12" s="779"/>
      <c r="S12" s="779"/>
      <c r="T12" s="779"/>
      <c r="U12" s="779"/>
      <c r="V12" s="779"/>
      <c r="W12" s="779"/>
      <c r="X12" s="779"/>
      <c r="Y12" s="779"/>
      <c r="Z12" s="779"/>
      <c r="AA12" s="779"/>
    </row>
    <row r="13" spans="1:28" ht="15.75">
      <c r="A13" s="783" t="s">
        <v>271</v>
      </c>
      <c r="B13" s="783"/>
      <c r="C13" s="783"/>
      <c r="D13" s="783"/>
      <c r="E13" s="783"/>
      <c r="F13" s="783"/>
      <c r="G13" s="783"/>
      <c r="H13" s="783"/>
      <c r="I13" s="783"/>
      <c r="J13" s="783"/>
      <c r="K13" s="783"/>
      <c r="L13" s="783"/>
      <c r="M13" s="783"/>
      <c r="N13" s="783"/>
      <c r="O13" s="783"/>
      <c r="P13" s="783"/>
      <c r="Q13" s="783"/>
      <c r="R13" s="783"/>
      <c r="S13" s="783"/>
      <c r="T13" s="783"/>
      <c r="U13" s="783"/>
      <c r="V13" s="783"/>
      <c r="W13" s="783"/>
      <c r="X13" s="783"/>
      <c r="Y13" s="783"/>
      <c r="Z13" s="783"/>
      <c r="AA13" s="783"/>
    </row>
    <row r="14" spans="1:28" ht="15.75">
      <c r="A14" s="783" t="s">
        <v>272</v>
      </c>
      <c r="B14" s="783"/>
      <c r="C14" s="783"/>
      <c r="D14" s="783"/>
      <c r="E14" s="783"/>
      <c r="F14" s="783"/>
      <c r="G14" s="783"/>
      <c r="H14" s="783"/>
      <c r="I14" s="783"/>
      <c r="J14" s="783"/>
      <c r="K14" s="783"/>
      <c r="L14" s="783"/>
      <c r="M14" s="783"/>
      <c r="N14" s="783"/>
      <c r="O14" s="783"/>
      <c r="P14" s="783"/>
      <c r="Q14" s="783"/>
      <c r="R14" s="783"/>
      <c r="S14" s="783"/>
      <c r="T14" s="783"/>
      <c r="U14" s="783"/>
      <c r="V14" s="783"/>
      <c r="W14" s="783"/>
      <c r="X14" s="783"/>
      <c r="Y14" s="783"/>
      <c r="Z14" s="783"/>
      <c r="AA14" s="783"/>
    </row>
    <row r="15" spans="1:28" ht="30.6" customHeight="1">
      <c r="A15" s="778" t="s">
        <v>273</v>
      </c>
      <c r="B15" s="778"/>
      <c r="C15" s="778"/>
      <c r="D15" s="778"/>
      <c r="E15" s="778"/>
      <c r="F15" s="778"/>
      <c r="G15" s="778"/>
      <c r="H15" s="778"/>
      <c r="I15" s="778"/>
      <c r="J15" s="778"/>
      <c r="K15" s="778"/>
      <c r="L15" s="778"/>
      <c r="M15" s="778"/>
      <c r="N15" s="778"/>
      <c r="O15" s="778"/>
      <c r="P15" s="778"/>
      <c r="Q15" s="778"/>
      <c r="R15" s="778"/>
      <c r="S15" s="778"/>
      <c r="T15" s="778"/>
      <c r="U15" s="778"/>
      <c r="V15" s="778"/>
      <c r="W15" s="778"/>
      <c r="X15" s="778"/>
      <c r="Y15" s="778"/>
      <c r="Z15" s="778"/>
      <c r="AA15" s="778"/>
    </row>
    <row r="16" spans="1:28" ht="15.75">
      <c r="A16" s="779" t="s">
        <v>274</v>
      </c>
      <c r="B16" s="779"/>
      <c r="C16" s="779"/>
      <c r="D16" s="779"/>
      <c r="E16" s="779"/>
      <c r="F16" s="779"/>
      <c r="G16" s="779"/>
      <c r="H16" s="779"/>
      <c r="I16" s="779"/>
      <c r="J16" s="779"/>
      <c r="K16" s="779"/>
      <c r="L16" s="779"/>
      <c r="M16" s="779"/>
      <c r="N16" s="779"/>
      <c r="O16" s="779"/>
      <c r="P16" s="779"/>
      <c r="Q16" s="779"/>
      <c r="R16" s="779"/>
      <c r="S16" s="779"/>
      <c r="T16" s="779"/>
      <c r="U16" s="779"/>
      <c r="V16" s="779"/>
      <c r="W16" s="779"/>
      <c r="X16" s="779"/>
      <c r="Y16" s="779"/>
      <c r="Z16" s="779"/>
      <c r="AA16" s="779"/>
    </row>
    <row r="17" spans="1:29" ht="15.75">
      <c r="A17" s="783" t="s">
        <v>275</v>
      </c>
      <c r="B17" s="783"/>
      <c r="C17" s="783"/>
      <c r="D17" s="783"/>
      <c r="E17" s="783"/>
      <c r="F17" s="783"/>
      <c r="G17" s="783"/>
      <c r="H17" s="783"/>
      <c r="I17" s="783"/>
      <c r="J17" s="783"/>
      <c r="K17" s="783"/>
      <c r="L17" s="783"/>
      <c r="M17" s="783"/>
      <c r="N17" s="783"/>
      <c r="O17" s="783"/>
      <c r="P17" s="783"/>
      <c r="Q17" s="783"/>
      <c r="R17" s="783"/>
      <c r="S17" s="783"/>
      <c r="T17" s="783"/>
      <c r="U17" s="783"/>
      <c r="V17" s="783"/>
      <c r="W17" s="783"/>
      <c r="X17" s="783"/>
      <c r="Y17" s="783"/>
      <c r="Z17" s="783"/>
      <c r="AA17" s="783"/>
    </row>
    <row r="18" spans="1:29" ht="15.75">
      <c r="A18" s="783" t="s">
        <v>276</v>
      </c>
      <c r="B18" s="783"/>
      <c r="C18" s="783"/>
      <c r="D18" s="783"/>
      <c r="E18" s="783"/>
      <c r="F18" s="783"/>
      <c r="G18" s="783"/>
      <c r="H18" s="783"/>
      <c r="I18" s="783"/>
      <c r="J18" s="783"/>
      <c r="K18" s="783"/>
      <c r="L18" s="783"/>
      <c r="M18" s="783"/>
      <c r="N18" s="783"/>
      <c r="O18" s="783"/>
      <c r="P18" s="783"/>
      <c r="Q18" s="783"/>
      <c r="R18" s="783"/>
      <c r="S18" s="783"/>
      <c r="T18" s="783"/>
      <c r="U18" s="783"/>
      <c r="V18" s="783"/>
      <c r="W18" s="783"/>
      <c r="X18" s="783"/>
      <c r="Y18" s="783"/>
      <c r="Z18" s="783"/>
      <c r="AA18" s="783"/>
    </row>
    <row r="19" spans="1:29" ht="15.75">
      <c r="A19" s="779" t="s">
        <v>277</v>
      </c>
      <c r="B19" s="779"/>
      <c r="C19" s="779"/>
      <c r="D19" s="779"/>
      <c r="E19" s="779"/>
      <c r="F19" s="779"/>
      <c r="G19" s="779"/>
      <c r="H19" s="779"/>
      <c r="I19" s="779"/>
      <c r="J19" s="779"/>
      <c r="K19" s="779"/>
      <c r="L19" s="779"/>
      <c r="M19" s="779"/>
      <c r="N19" s="779"/>
      <c r="O19" s="779"/>
      <c r="P19" s="779"/>
      <c r="Q19" s="779"/>
      <c r="R19" s="779"/>
      <c r="S19" s="779"/>
      <c r="T19" s="779"/>
      <c r="U19" s="779"/>
      <c r="V19" s="779"/>
      <c r="W19" s="779"/>
      <c r="X19" s="779"/>
      <c r="Y19" s="779"/>
      <c r="Z19" s="779"/>
      <c r="AA19" s="779"/>
    </row>
    <row r="20" spans="1:29" ht="33" customHeight="1">
      <c r="A20" s="778" t="s">
        <v>278</v>
      </c>
      <c r="B20" s="778"/>
      <c r="C20" s="778"/>
      <c r="D20" s="778"/>
      <c r="E20" s="778"/>
      <c r="F20" s="778"/>
      <c r="G20" s="778"/>
      <c r="H20" s="778"/>
      <c r="I20" s="778"/>
      <c r="J20" s="778"/>
      <c r="K20" s="778"/>
      <c r="L20" s="778"/>
      <c r="M20" s="778"/>
      <c r="N20" s="778"/>
      <c r="O20" s="778"/>
      <c r="P20" s="778"/>
      <c r="Q20" s="778"/>
      <c r="R20" s="778"/>
      <c r="S20" s="778"/>
      <c r="T20" s="778"/>
      <c r="U20" s="778"/>
      <c r="V20" s="778"/>
      <c r="W20" s="778"/>
      <c r="X20" s="778"/>
      <c r="Y20" s="778"/>
      <c r="Z20" s="778"/>
      <c r="AA20" s="778"/>
    </row>
    <row r="21" spans="1:29" ht="15.6" customHeight="1">
      <c r="A21" s="779" t="s">
        <v>279</v>
      </c>
      <c r="B21" s="779"/>
      <c r="C21" s="779"/>
      <c r="D21" s="779"/>
      <c r="E21" s="779"/>
      <c r="F21" s="779"/>
      <c r="G21" s="779"/>
      <c r="H21" s="779"/>
      <c r="I21" s="779"/>
      <c r="J21" s="779"/>
      <c r="K21" s="779"/>
      <c r="L21" s="779"/>
      <c r="M21" s="779"/>
      <c r="N21" s="779"/>
      <c r="O21" s="779"/>
      <c r="P21" s="779"/>
      <c r="Q21" s="779"/>
      <c r="R21" s="779"/>
      <c r="S21" s="779"/>
      <c r="T21" s="779"/>
      <c r="U21" s="779"/>
      <c r="V21" s="779"/>
      <c r="W21" s="779"/>
      <c r="X21" s="779"/>
      <c r="Y21" s="779"/>
      <c r="Z21" s="779"/>
      <c r="AA21" s="779"/>
    </row>
    <row r="22" spans="1:29" ht="15.75">
      <c r="A22" s="779"/>
      <c r="B22" s="779"/>
      <c r="C22" s="779"/>
      <c r="D22" s="779"/>
      <c r="E22" s="779"/>
      <c r="F22" s="779"/>
      <c r="G22" s="779"/>
      <c r="H22" s="779"/>
      <c r="I22" s="779"/>
      <c r="J22" s="779"/>
      <c r="K22" s="779"/>
      <c r="L22" s="779"/>
      <c r="M22" s="779"/>
      <c r="N22" s="779"/>
      <c r="O22" s="779"/>
      <c r="P22" s="779"/>
      <c r="Q22" s="779"/>
      <c r="R22" s="779"/>
      <c r="S22" s="779"/>
      <c r="T22" s="779"/>
      <c r="U22" s="779"/>
      <c r="V22" s="779"/>
      <c r="W22" s="779"/>
      <c r="X22" s="779"/>
      <c r="Y22" s="779"/>
      <c r="Z22" s="779"/>
      <c r="AA22" s="779"/>
    </row>
    <row r="23" spans="1:29" ht="15.75">
      <c r="A23" s="780"/>
      <c r="B23" s="780"/>
      <c r="C23" s="780"/>
      <c r="D23" s="780"/>
      <c r="E23" s="780"/>
      <c r="F23" s="780"/>
      <c r="G23" s="780"/>
      <c r="H23" s="780"/>
      <c r="I23" s="780"/>
      <c r="J23" s="780"/>
      <c r="K23" s="780"/>
      <c r="L23" s="780"/>
      <c r="M23" s="780"/>
      <c r="N23" s="780"/>
      <c r="O23" s="780"/>
      <c r="P23" s="780"/>
      <c r="Q23" s="780"/>
      <c r="R23" s="780"/>
      <c r="S23" s="780"/>
      <c r="T23" s="780"/>
      <c r="U23" s="780"/>
      <c r="V23" s="780"/>
      <c r="W23" s="780"/>
      <c r="X23" s="780"/>
      <c r="Y23" s="780"/>
      <c r="Z23" s="780"/>
      <c r="AA23" s="780"/>
    </row>
    <row r="24" spans="1:29" ht="15.75">
      <c r="A24" s="138"/>
      <c r="B24" s="138"/>
      <c r="C24" s="139" t="s">
        <v>280</v>
      </c>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138"/>
    </row>
    <row r="25" spans="1:29" ht="17.45" customHeight="1">
      <c r="A25" s="140"/>
      <c r="B25" s="140"/>
      <c r="C25" s="141" t="s">
        <v>281</v>
      </c>
      <c r="D25" s="781" t="s">
        <v>282</v>
      </c>
      <c r="E25" s="781"/>
      <c r="F25" s="781"/>
      <c r="G25" s="781"/>
      <c r="H25" s="781"/>
      <c r="I25" s="781"/>
      <c r="J25" s="781"/>
      <c r="K25" s="781"/>
      <c r="L25" s="142"/>
      <c r="M25" s="142"/>
      <c r="N25" s="143" t="s">
        <v>283</v>
      </c>
      <c r="O25" s="144" t="s">
        <v>284</v>
      </c>
      <c r="Q25" s="145"/>
      <c r="R25" s="145"/>
      <c r="S25" s="146"/>
      <c r="T25" s="147"/>
      <c r="U25" s="148" t="s">
        <v>285</v>
      </c>
      <c r="V25" s="148"/>
      <c r="W25" s="148"/>
      <c r="X25" s="782" t="s">
        <v>286</v>
      </c>
      <c r="Y25" s="782"/>
      <c r="Z25" s="782"/>
      <c r="AA25" s="149"/>
    </row>
    <row r="26" spans="1:29" ht="17.45" customHeight="1">
      <c r="A26" s="140"/>
      <c r="B26" s="140"/>
      <c r="C26" s="141" t="s">
        <v>287</v>
      </c>
      <c r="D26" s="772" t="s">
        <v>260</v>
      </c>
      <c r="E26" s="772"/>
      <c r="F26" s="772"/>
      <c r="G26" s="772"/>
      <c r="H26" s="772"/>
      <c r="I26" s="150"/>
      <c r="J26" s="151"/>
      <c r="K26" s="151"/>
      <c r="L26" s="151"/>
      <c r="M26" s="152"/>
      <c r="N26" s="143" t="s">
        <v>288</v>
      </c>
      <c r="O26" s="773" t="s">
        <v>289</v>
      </c>
      <c r="P26" s="773"/>
      <c r="Q26" s="773"/>
      <c r="R26" s="773"/>
      <c r="S26" s="773"/>
      <c r="T26" s="773"/>
      <c r="U26" s="148" t="s">
        <v>290</v>
      </c>
      <c r="V26" s="148"/>
      <c r="W26" s="148"/>
      <c r="X26" s="774" t="s">
        <v>291</v>
      </c>
      <c r="Y26" s="774"/>
      <c r="Z26" s="774"/>
      <c r="AA26" s="149"/>
    </row>
    <row r="27" spans="1:29" ht="17.45" customHeight="1">
      <c r="A27" s="140"/>
      <c r="B27" s="140"/>
      <c r="C27" s="141" t="s">
        <v>292</v>
      </c>
      <c r="D27" s="775" t="s">
        <v>293</v>
      </c>
      <c r="E27" s="775"/>
      <c r="F27" s="775"/>
      <c r="G27" s="775"/>
      <c r="H27" s="775"/>
      <c r="I27" s="775"/>
      <c r="J27" s="775"/>
      <c r="K27" s="775"/>
      <c r="L27" s="151"/>
      <c r="M27" s="151"/>
      <c r="N27" s="150"/>
      <c r="O27" s="151"/>
      <c r="P27" s="151"/>
      <c r="Q27" s="151"/>
      <c r="R27" s="151"/>
      <c r="S27" s="150"/>
      <c r="T27" s="151"/>
      <c r="U27" s="148" t="s">
        <v>294</v>
      </c>
      <c r="V27" s="148"/>
      <c r="W27" s="148"/>
      <c r="X27" s="777" t="s">
        <v>295</v>
      </c>
      <c r="Y27" s="777"/>
      <c r="Z27" s="777"/>
      <c r="AA27" s="149"/>
    </row>
    <row r="28" spans="1:29" ht="17.45" customHeight="1">
      <c r="A28" s="140"/>
      <c r="B28" s="140"/>
      <c r="C28" s="141" t="s">
        <v>296</v>
      </c>
      <c r="D28" s="776"/>
      <c r="E28" s="776"/>
      <c r="F28" s="776"/>
      <c r="G28" s="776"/>
      <c r="H28" s="776"/>
      <c r="I28" s="776"/>
      <c r="J28" s="776"/>
      <c r="K28" s="776"/>
      <c r="L28" s="151"/>
      <c r="M28" s="151"/>
      <c r="N28" s="150"/>
      <c r="O28" s="151"/>
      <c r="P28" s="151"/>
      <c r="Q28" s="151"/>
      <c r="R28" s="151"/>
      <c r="S28" s="150"/>
      <c r="T28" s="151"/>
      <c r="U28" s="148" t="s">
        <v>297</v>
      </c>
      <c r="V28" s="148"/>
      <c r="W28" s="148"/>
      <c r="X28" s="774">
        <v>9559569898</v>
      </c>
      <c r="Y28" s="774"/>
      <c r="Z28" s="774"/>
      <c r="AA28" s="149"/>
    </row>
    <row r="29" spans="1:29" ht="15.75" thickBot="1"/>
    <row r="30" spans="1:29" ht="27" customHeight="1" thickBot="1">
      <c r="A30" s="747" t="s">
        <v>298</v>
      </c>
      <c r="B30" s="748"/>
      <c r="C30" s="748"/>
      <c r="D30" s="751" t="s">
        <v>299</v>
      </c>
      <c r="E30" s="753" t="s">
        <v>300</v>
      </c>
      <c r="F30" s="754"/>
      <c r="G30" s="754"/>
      <c r="H30" s="754"/>
      <c r="I30" s="754"/>
      <c r="J30" s="754"/>
      <c r="K30" s="754"/>
      <c r="L30" s="754"/>
      <c r="M30" s="754"/>
      <c r="N30" s="754"/>
      <c r="O30" s="754"/>
      <c r="P30" s="754"/>
      <c r="Q30" s="754"/>
      <c r="R30" s="754"/>
      <c r="S30" s="754"/>
      <c r="T30" s="754"/>
      <c r="U30" s="754"/>
      <c r="V30" s="754"/>
      <c r="W30" s="754"/>
      <c r="X30" s="754"/>
      <c r="Y30" s="755" t="s">
        <v>301</v>
      </c>
      <c r="Z30" s="757" t="s">
        <v>302</v>
      </c>
      <c r="AA30" s="759" t="s">
        <v>303</v>
      </c>
    </row>
    <row r="31" spans="1:29" ht="23.45" customHeight="1" thickBot="1">
      <c r="A31" s="749"/>
      <c r="B31" s="750"/>
      <c r="C31" s="750"/>
      <c r="D31" s="752"/>
      <c r="E31" s="154" t="s">
        <v>224</v>
      </c>
      <c r="F31" s="154" t="s">
        <v>225</v>
      </c>
      <c r="G31" s="154" t="s">
        <v>226</v>
      </c>
      <c r="H31" s="154" t="s">
        <v>304</v>
      </c>
      <c r="I31" s="155" t="s">
        <v>305</v>
      </c>
      <c r="J31" s="154" t="s">
        <v>306</v>
      </c>
      <c r="K31" s="154" t="s">
        <v>307</v>
      </c>
      <c r="L31" s="154" t="s">
        <v>308</v>
      </c>
      <c r="M31" s="154" t="s">
        <v>309</v>
      </c>
      <c r="N31" s="155" t="s">
        <v>310</v>
      </c>
      <c r="O31" s="154" t="s">
        <v>230</v>
      </c>
      <c r="P31" s="154" t="s">
        <v>231</v>
      </c>
      <c r="Q31" s="154" t="s">
        <v>232</v>
      </c>
      <c r="R31" s="154" t="s">
        <v>311</v>
      </c>
      <c r="S31" s="155" t="s">
        <v>312</v>
      </c>
      <c r="T31" s="154" t="s">
        <v>233</v>
      </c>
      <c r="U31" s="154" t="s">
        <v>313</v>
      </c>
      <c r="V31" s="154" t="s">
        <v>235</v>
      </c>
      <c r="W31" s="154" t="s">
        <v>314</v>
      </c>
      <c r="X31" s="156" t="s">
        <v>315</v>
      </c>
      <c r="Y31" s="756"/>
      <c r="Z31" s="758"/>
      <c r="AA31" s="760"/>
    </row>
    <row r="32" spans="1:29" s="159" customFormat="1" ht="28.35" customHeight="1" thickBot="1">
      <c r="A32" s="761" t="s">
        <v>316</v>
      </c>
      <c r="B32" s="762"/>
      <c r="C32" s="762"/>
      <c r="D32" s="762"/>
      <c r="E32" s="762"/>
      <c r="F32" s="762"/>
      <c r="G32" s="762"/>
      <c r="H32" s="762"/>
      <c r="I32" s="762"/>
      <c r="J32" s="762"/>
      <c r="K32" s="762"/>
      <c r="L32" s="762"/>
      <c r="M32" s="762"/>
      <c r="N32" s="762"/>
      <c r="O32" s="762"/>
      <c r="P32" s="762"/>
      <c r="Q32" s="762"/>
      <c r="R32" s="762"/>
      <c r="S32" s="762"/>
      <c r="T32" s="762"/>
      <c r="U32" s="762"/>
      <c r="V32" s="762"/>
      <c r="W32" s="762"/>
      <c r="X32" s="762"/>
      <c r="Y32" s="762"/>
      <c r="Z32" s="762"/>
      <c r="AA32" s="763"/>
      <c r="AB32" s="157"/>
      <c r="AC32" s="158"/>
    </row>
    <row r="33" spans="1:27" ht="30" customHeight="1" thickBot="1">
      <c r="A33" s="160" t="s">
        <v>317</v>
      </c>
      <c r="B33" s="161"/>
      <c r="C33" s="161"/>
      <c r="D33" s="161"/>
      <c r="E33" s="162"/>
      <c r="F33" s="162"/>
      <c r="G33" s="162"/>
      <c r="H33" s="162"/>
      <c r="I33" s="163"/>
      <c r="J33" s="162"/>
      <c r="K33" s="162"/>
      <c r="L33" s="162"/>
      <c r="M33" s="162"/>
      <c r="N33" s="163"/>
      <c r="O33" s="162"/>
      <c r="P33" s="162"/>
      <c r="Q33" s="162"/>
      <c r="R33" s="162"/>
      <c r="S33" s="163"/>
      <c r="T33" s="162"/>
      <c r="U33" s="162"/>
      <c r="V33" s="162"/>
      <c r="W33" s="162"/>
      <c r="X33" s="163"/>
      <c r="Y33" s="163"/>
      <c r="Z33" s="164"/>
      <c r="AA33" s="165"/>
    </row>
    <row r="34" spans="1:27" ht="28.35" customHeight="1" thickBot="1">
      <c r="A34" s="166">
        <v>1</v>
      </c>
      <c r="B34" s="167" t="s">
        <v>318</v>
      </c>
      <c r="C34" s="168" t="s">
        <v>319</v>
      </c>
      <c r="D34" s="169" t="s">
        <v>320</v>
      </c>
      <c r="E34" s="170"/>
      <c r="F34" s="171"/>
      <c r="G34" s="171"/>
      <c r="H34" s="172">
        <f t="shared" ref="H34" si="0">SUM(E34:G34)</f>
        <v>0</v>
      </c>
      <c r="I34" s="173">
        <f t="shared" ref="I34" si="1">H34*Z34</f>
        <v>0</v>
      </c>
      <c r="J34" s="170"/>
      <c r="K34" s="171"/>
      <c r="L34" s="171"/>
      <c r="M34" s="174">
        <f t="shared" ref="M34" si="2">SUM(J34:L34)</f>
        <v>0</v>
      </c>
      <c r="N34" s="173">
        <f t="shared" ref="N34" si="3">M34*Z34</f>
        <v>0</v>
      </c>
      <c r="O34" s="170"/>
      <c r="P34" s="171"/>
      <c r="Q34" s="171"/>
      <c r="R34" s="174">
        <f t="shared" ref="R34" si="4">SUM(O34:Q34)</f>
        <v>0</v>
      </c>
      <c r="S34" s="173">
        <f t="shared" ref="S34" si="5">R34*Z34</f>
        <v>0</v>
      </c>
      <c r="T34" s="170"/>
      <c r="U34" s="171"/>
      <c r="V34" s="171"/>
      <c r="W34" s="174">
        <f t="shared" ref="W34" si="6">SUM(T34:V34)</f>
        <v>0</v>
      </c>
      <c r="X34" s="173">
        <f t="shared" ref="X34" si="7">W34*Z34</f>
        <v>0</v>
      </c>
      <c r="Y34" s="173">
        <f t="shared" ref="Y34" si="8">H34+M34+R34+W34</f>
        <v>0</v>
      </c>
      <c r="Z34" s="175">
        <f>(VLOOKUP(B:B,[1]AppLists!M:O,3,FALSE))*$AB$2</f>
        <v>146.06</v>
      </c>
      <c r="AA34" s="176">
        <f t="shared" ref="AA34" si="9">Y34*Z34</f>
        <v>0</v>
      </c>
    </row>
    <row r="35" spans="1:27" ht="30" customHeight="1" thickBot="1">
      <c r="A35" s="160" t="s">
        <v>321</v>
      </c>
      <c r="B35" s="161"/>
      <c r="C35" s="161"/>
      <c r="D35" s="161"/>
      <c r="E35" s="162"/>
      <c r="F35" s="162"/>
      <c r="G35" s="162"/>
      <c r="H35" s="162"/>
      <c r="I35" s="163"/>
      <c r="J35" s="162"/>
      <c r="K35" s="162"/>
      <c r="L35" s="162"/>
      <c r="M35" s="162"/>
      <c r="N35" s="163"/>
      <c r="O35" s="162"/>
      <c r="P35" s="162"/>
      <c r="Q35" s="162"/>
      <c r="R35" s="162"/>
      <c r="S35" s="163"/>
      <c r="T35" s="162"/>
      <c r="U35" s="162"/>
      <c r="V35" s="162"/>
      <c r="W35" s="162"/>
      <c r="X35" s="163"/>
      <c r="Y35" s="163"/>
      <c r="Z35" s="177"/>
      <c r="AA35" s="178"/>
    </row>
    <row r="36" spans="1:27" ht="28.35" customHeight="1" thickBot="1">
      <c r="A36" s="179">
        <v>2</v>
      </c>
      <c r="B36" s="180" t="s">
        <v>322</v>
      </c>
      <c r="C36" s="181" t="s">
        <v>323</v>
      </c>
      <c r="D36" s="182" t="s">
        <v>324</v>
      </c>
      <c r="E36" s="170"/>
      <c r="F36" s="171">
        <v>0</v>
      </c>
      <c r="G36" s="171"/>
      <c r="H36" s="172">
        <f t="shared" ref="H36" si="10">SUM(E36:G36)</f>
        <v>0</v>
      </c>
      <c r="I36" s="173">
        <f t="shared" ref="I36" si="11">H36*Z36</f>
        <v>0</v>
      </c>
      <c r="J36" s="170"/>
      <c r="K36" s="171"/>
      <c r="L36" s="171"/>
      <c r="M36" s="174">
        <f t="shared" ref="M36" si="12">SUM(J36:L36)</f>
        <v>0</v>
      </c>
      <c r="N36" s="173">
        <f t="shared" ref="N36" si="13">M36*Z36</f>
        <v>0</v>
      </c>
      <c r="O36" s="170"/>
      <c r="P36" s="171"/>
      <c r="Q36" s="171"/>
      <c r="R36" s="174">
        <f t="shared" ref="R36" si="14">SUM(O36:Q36)</f>
        <v>0</v>
      </c>
      <c r="S36" s="173">
        <f t="shared" ref="S36" si="15">R36*Z36</f>
        <v>0</v>
      </c>
      <c r="T36" s="170"/>
      <c r="U36" s="171"/>
      <c r="V36" s="171"/>
      <c r="W36" s="174">
        <f t="shared" ref="W36" si="16">SUM(T36:V36)</f>
        <v>0</v>
      </c>
      <c r="X36" s="173">
        <f t="shared" ref="X36" si="17">W36*Z36</f>
        <v>0</v>
      </c>
      <c r="Y36" s="183">
        <f t="shared" ref="Y36:Y38" si="18">H36+M36+R36+W36</f>
        <v>0</v>
      </c>
      <c r="Z36" s="175">
        <f>(VLOOKUP(B:B,[1]AppLists!M:O,3,FALSE))*$AB$2</f>
        <v>46.106999999999999</v>
      </c>
      <c r="AA36" s="184">
        <f t="shared" ref="AA36:AA38" si="19">Y36*Z36</f>
        <v>0</v>
      </c>
    </row>
    <row r="37" spans="1:27" ht="30" customHeight="1" thickBot="1">
      <c r="A37" s="160" t="s">
        <v>325</v>
      </c>
      <c r="B37" s="161"/>
      <c r="C37" s="161"/>
      <c r="D37" s="161"/>
      <c r="E37" s="162"/>
      <c r="F37" s="162"/>
      <c r="G37" s="162"/>
      <c r="H37" s="162"/>
      <c r="I37" s="163"/>
      <c r="J37" s="162"/>
      <c r="K37" s="162"/>
      <c r="L37" s="162"/>
      <c r="M37" s="162"/>
      <c r="N37" s="163"/>
      <c r="O37" s="162"/>
      <c r="P37" s="162"/>
      <c r="Q37" s="162"/>
      <c r="R37" s="162"/>
      <c r="S37" s="163"/>
      <c r="T37" s="162"/>
      <c r="U37" s="162"/>
      <c r="V37" s="162"/>
      <c r="W37" s="162"/>
      <c r="X37" s="163"/>
      <c r="Y37" s="163"/>
      <c r="Z37" s="177"/>
      <c r="AA37" s="178"/>
    </row>
    <row r="38" spans="1:27" ht="28.35" customHeight="1" thickBot="1">
      <c r="A38" s="166">
        <v>3</v>
      </c>
      <c r="B38" s="185" t="s">
        <v>326</v>
      </c>
      <c r="C38" s="186" t="s">
        <v>327</v>
      </c>
      <c r="D38" s="187" t="s">
        <v>324</v>
      </c>
      <c r="E38" s="170"/>
      <c r="F38" s="171"/>
      <c r="G38" s="171"/>
      <c r="H38" s="172">
        <f t="shared" ref="H38" si="20">SUM(E38:G38)</f>
        <v>0</v>
      </c>
      <c r="I38" s="173">
        <f t="shared" ref="I38" si="21">H38*Z38</f>
        <v>0</v>
      </c>
      <c r="J38" s="170"/>
      <c r="K38" s="171"/>
      <c r="L38" s="171"/>
      <c r="M38" s="174">
        <f t="shared" ref="M38" si="22">SUM(J38:L38)</f>
        <v>0</v>
      </c>
      <c r="N38" s="173">
        <f t="shared" ref="N38" si="23">M38*Z38</f>
        <v>0</v>
      </c>
      <c r="O38" s="170"/>
      <c r="P38" s="171"/>
      <c r="Q38" s="171"/>
      <c r="R38" s="174">
        <f t="shared" ref="R38" si="24">SUM(O38:Q38)</f>
        <v>0</v>
      </c>
      <c r="S38" s="173">
        <f t="shared" ref="S38" si="25">R38*Z38</f>
        <v>0</v>
      </c>
      <c r="T38" s="170"/>
      <c r="U38" s="171"/>
      <c r="V38" s="171"/>
      <c r="W38" s="174">
        <f t="shared" ref="W38" si="26">SUM(T38:V38)</f>
        <v>0</v>
      </c>
      <c r="X38" s="173">
        <f t="shared" ref="X38" si="27">W38*Z38</f>
        <v>0</v>
      </c>
      <c r="Y38" s="173">
        <f t="shared" si="18"/>
        <v>0</v>
      </c>
      <c r="Z38" s="188">
        <f>(VLOOKUP(B:B,[1]AppLists!M:O,3,FALSE))*$AB$2</f>
        <v>25.811200000000003</v>
      </c>
      <c r="AA38" s="176">
        <f t="shared" si="19"/>
        <v>0</v>
      </c>
    </row>
    <row r="39" spans="1:27" ht="30" customHeight="1" thickBot="1">
      <c r="A39" s="160" t="s">
        <v>328</v>
      </c>
      <c r="B39" s="161"/>
      <c r="C39" s="161"/>
      <c r="D39" s="161"/>
      <c r="E39" s="189"/>
      <c r="F39" s="189"/>
      <c r="G39" s="189"/>
      <c r="H39" s="189"/>
      <c r="I39" s="190"/>
      <c r="J39" s="189"/>
      <c r="K39" s="189"/>
      <c r="L39" s="189"/>
      <c r="M39" s="189"/>
      <c r="N39" s="190"/>
      <c r="O39" s="189"/>
      <c r="P39" s="189"/>
      <c r="Q39" s="189"/>
      <c r="R39" s="189"/>
      <c r="S39" s="190"/>
      <c r="T39" s="189"/>
      <c r="U39" s="189"/>
      <c r="V39" s="189"/>
      <c r="W39" s="189"/>
      <c r="X39" s="190"/>
      <c r="Y39" s="163"/>
      <c r="Z39" s="177"/>
      <c r="AA39" s="178"/>
    </row>
    <row r="40" spans="1:27" ht="28.35" customHeight="1">
      <c r="A40" s="179">
        <v>4</v>
      </c>
      <c r="B40" s="180" t="s">
        <v>329</v>
      </c>
      <c r="C40" s="181" t="s">
        <v>330</v>
      </c>
      <c r="D40" s="182" t="s">
        <v>331</v>
      </c>
      <c r="E40" s="191"/>
      <c r="F40" s="192"/>
      <c r="G40" s="192"/>
      <c r="H40" s="193">
        <f t="shared" ref="H40:H42" si="28">SUM(E40:G40)</f>
        <v>0</v>
      </c>
      <c r="I40" s="194">
        <f t="shared" ref="I40:I42" si="29">H40*Z40</f>
        <v>0</v>
      </c>
      <c r="J40" s="191"/>
      <c r="K40" s="192"/>
      <c r="L40" s="192"/>
      <c r="M40" s="195">
        <f t="shared" ref="M40:M42" si="30">SUM(J40:L40)</f>
        <v>0</v>
      </c>
      <c r="N40" s="194">
        <f t="shared" ref="N40:N42" si="31">M40*Z40</f>
        <v>0</v>
      </c>
      <c r="O40" s="191"/>
      <c r="P40" s="192"/>
      <c r="Q40" s="192"/>
      <c r="R40" s="195">
        <f t="shared" ref="R40:R42" si="32">SUM(O40:Q40)</f>
        <v>0</v>
      </c>
      <c r="S40" s="194">
        <f t="shared" ref="S40:S42" si="33">R40*Z40</f>
        <v>0</v>
      </c>
      <c r="T40" s="191"/>
      <c r="U40" s="192"/>
      <c r="V40" s="192"/>
      <c r="W40" s="195">
        <f t="shared" ref="W40:W42" si="34">SUM(T40:V40)</f>
        <v>0</v>
      </c>
      <c r="X40" s="194">
        <f t="shared" ref="X40:X42" si="35">W40*Z40</f>
        <v>0</v>
      </c>
      <c r="Y40" s="183">
        <f>H40+M40+R40+W40</f>
        <v>0</v>
      </c>
      <c r="Z40" s="196">
        <f>(VLOOKUP(B:B,[1]AppLists!M:O,3,FALSE))*$AB$2</f>
        <v>772.67920000000004</v>
      </c>
      <c r="AA40" s="184">
        <f>Y40*Z40</f>
        <v>0</v>
      </c>
    </row>
    <row r="41" spans="1:27" ht="28.35" customHeight="1">
      <c r="A41" s="179">
        <v>5</v>
      </c>
      <c r="B41" s="197" t="s">
        <v>332</v>
      </c>
      <c r="C41" s="198" t="s">
        <v>333</v>
      </c>
      <c r="D41" s="199" t="s">
        <v>334</v>
      </c>
      <c r="E41" s="191"/>
      <c r="F41" s="192"/>
      <c r="G41" s="192"/>
      <c r="H41" s="193">
        <f t="shared" si="28"/>
        <v>0</v>
      </c>
      <c r="I41" s="194">
        <f t="shared" si="29"/>
        <v>0</v>
      </c>
      <c r="J41" s="191"/>
      <c r="K41" s="192"/>
      <c r="L41" s="192"/>
      <c r="M41" s="195">
        <f t="shared" si="30"/>
        <v>0</v>
      </c>
      <c r="N41" s="194">
        <f t="shared" si="31"/>
        <v>0</v>
      </c>
      <c r="O41" s="191"/>
      <c r="P41" s="192"/>
      <c r="Q41" s="192"/>
      <c r="R41" s="195">
        <f t="shared" si="32"/>
        <v>0</v>
      </c>
      <c r="S41" s="194">
        <f t="shared" si="33"/>
        <v>0</v>
      </c>
      <c r="T41" s="191"/>
      <c r="U41" s="192"/>
      <c r="V41" s="192"/>
      <c r="W41" s="195">
        <f t="shared" si="34"/>
        <v>0</v>
      </c>
      <c r="X41" s="194">
        <f t="shared" si="35"/>
        <v>0</v>
      </c>
      <c r="Y41" s="183">
        <f>H41+M41+R41+W41</f>
        <v>0</v>
      </c>
      <c r="Z41" s="200">
        <f>(VLOOKUP(B:B,[1]AppLists!M:O,3,FALSE))*$AB$2</f>
        <v>218.54500000000002</v>
      </c>
      <c r="AA41" s="184">
        <f>Y41*Z41</f>
        <v>0</v>
      </c>
    </row>
    <row r="42" spans="1:27" ht="28.35" customHeight="1" thickBot="1">
      <c r="A42" s="201">
        <v>6</v>
      </c>
      <c r="B42" s="185" t="s">
        <v>332</v>
      </c>
      <c r="C42" s="186" t="s">
        <v>335</v>
      </c>
      <c r="D42" s="187" t="s">
        <v>334</v>
      </c>
      <c r="E42" s="191"/>
      <c r="F42" s="192"/>
      <c r="G42" s="192"/>
      <c r="H42" s="193">
        <f t="shared" si="28"/>
        <v>0</v>
      </c>
      <c r="I42" s="194">
        <f t="shared" si="29"/>
        <v>0</v>
      </c>
      <c r="J42" s="191"/>
      <c r="K42" s="192"/>
      <c r="L42" s="192"/>
      <c r="M42" s="195">
        <f t="shared" si="30"/>
        <v>0</v>
      </c>
      <c r="N42" s="194">
        <f t="shared" si="31"/>
        <v>0</v>
      </c>
      <c r="O42" s="191"/>
      <c r="P42" s="192"/>
      <c r="Q42" s="192"/>
      <c r="R42" s="195">
        <f t="shared" si="32"/>
        <v>0</v>
      </c>
      <c r="S42" s="194">
        <f t="shared" si="33"/>
        <v>0</v>
      </c>
      <c r="T42" s="191"/>
      <c r="U42" s="192"/>
      <c r="V42" s="192"/>
      <c r="W42" s="195">
        <f t="shared" si="34"/>
        <v>0</v>
      </c>
      <c r="X42" s="194">
        <f t="shared" si="35"/>
        <v>0</v>
      </c>
      <c r="Y42" s="173">
        <f>H42+M42+R42+W42</f>
        <v>0</v>
      </c>
      <c r="Z42" s="202">
        <f>(VLOOKUP(B:B,[1]AppLists!M:O,3,FALSE))*$AB$2</f>
        <v>218.54500000000002</v>
      </c>
      <c r="AA42" s="176">
        <f>Y42*Z42</f>
        <v>0</v>
      </c>
    </row>
    <row r="43" spans="1:27" ht="30" customHeight="1" thickBot="1">
      <c r="A43" s="160" t="s">
        <v>336</v>
      </c>
      <c r="B43" s="161"/>
      <c r="C43" s="161"/>
      <c r="D43" s="161"/>
      <c r="E43" s="203"/>
      <c r="F43" s="203"/>
      <c r="G43" s="203"/>
      <c r="H43" s="203"/>
      <c r="I43" s="204"/>
      <c r="J43" s="203"/>
      <c r="K43" s="203"/>
      <c r="L43" s="203"/>
      <c r="M43" s="203"/>
      <c r="N43" s="204"/>
      <c r="O43" s="203"/>
      <c r="P43" s="203"/>
      <c r="Q43" s="203"/>
      <c r="R43" s="203"/>
      <c r="S43" s="204"/>
      <c r="T43" s="203"/>
      <c r="U43" s="203"/>
      <c r="V43" s="203"/>
      <c r="W43" s="203"/>
      <c r="X43" s="204"/>
      <c r="Y43" s="163"/>
      <c r="Z43" s="177"/>
      <c r="AA43" s="178"/>
    </row>
    <row r="44" spans="1:27" ht="28.35" customHeight="1">
      <c r="A44" s="179">
        <v>7</v>
      </c>
      <c r="B44" s="180" t="s">
        <v>337</v>
      </c>
      <c r="C44" s="181" t="s">
        <v>338</v>
      </c>
      <c r="D44" s="182" t="s">
        <v>339</v>
      </c>
      <c r="E44" s="191"/>
      <c r="F44" s="192"/>
      <c r="G44" s="192"/>
      <c r="H44" s="193">
        <f t="shared" ref="H44:H65" si="36">SUM(E44:G44)</f>
        <v>0</v>
      </c>
      <c r="I44" s="194">
        <f t="shared" ref="I44:I65" si="37">H44*Z44</f>
        <v>0</v>
      </c>
      <c r="J44" s="191"/>
      <c r="K44" s="192"/>
      <c r="L44" s="192"/>
      <c r="M44" s="195">
        <f t="shared" ref="M44:M65" si="38">SUM(J44:L44)</f>
        <v>0</v>
      </c>
      <c r="N44" s="194">
        <f t="shared" ref="N44:N65" si="39">M44*Z44</f>
        <v>0</v>
      </c>
      <c r="O44" s="191"/>
      <c r="P44" s="192"/>
      <c r="Q44" s="192"/>
      <c r="R44" s="195">
        <f t="shared" ref="R44:R65" si="40">SUM(O44:Q44)</f>
        <v>0</v>
      </c>
      <c r="S44" s="194">
        <f t="shared" ref="S44:S65" si="41">R44*Z44</f>
        <v>0</v>
      </c>
      <c r="T44" s="191"/>
      <c r="U44" s="192"/>
      <c r="V44" s="192"/>
      <c r="W44" s="195">
        <f t="shared" ref="W44:W65" si="42">SUM(T44:V44)</f>
        <v>0</v>
      </c>
      <c r="X44" s="194">
        <f t="shared" ref="X44:X65" si="43">W44*Z44</f>
        <v>0</v>
      </c>
      <c r="Y44" s="183">
        <f t="shared" ref="Y44:Y65" si="44">H44+M44+R44+W44</f>
        <v>0</v>
      </c>
      <c r="Z44" s="205">
        <f>(VLOOKUP(B:B,[1]AppLists!M:O,3,FALSE))*$AB$2</f>
        <v>76.278200000000012</v>
      </c>
      <c r="AA44" s="184">
        <f t="shared" ref="AA44:AA65" si="45">Y44*Z44</f>
        <v>0</v>
      </c>
    </row>
    <row r="45" spans="1:27" ht="28.35" customHeight="1">
      <c r="A45" s="206">
        <v>8</v>
      </c>
      <c r="B45" s="197" t="s">
        <v>340</v>
      </c>
      <c r="C45" s="198" t="s">
        <v>341</v>
      </c>
      <c r="D45" s="199" t="s">
        <v>334</v>
      </c>
      <c r="E45" s="191"/>
      <c r="F45" s="192"/>
      <c r="G45" s="192"/>
      <c r="H45" s="193">
        <f t="shared" si="36"/>
        <v>0</v>
      </c>
      <c r="I45" s="194">
        <f t="shared" si="37"/>
        <v>0</v>
      </c>
      <c r="J45" s="191"/>
      <c r="K45" s="192"/>
      <c r="L45" s="192"/>
      <c r="M45" s="195">
        <f t="shared" si="38"/>
        <v>0</v>
      </c>
      <c r="N45" s="194">
        <f t="shared" si="39"/>
        <v>0</v>
      </c>
      <c r="O45" s="191"/>
      <c r="P45" s="192"/>
      <c r="Q45" s="192"/>
      <c r="R45" s="195">
        <f t="shared" si="40"/>
        <v>0</v>
      </c>
      <c r="S45" s="194">
        <f t="shared" si="41"/>
        <v>0</v>
      </c>
      <c r="T45" s="191"/>
      <c r="U45" s="192"/>
      <c r="V45" s="192"/>
      <c r="W45" s="195">
        <f t="shared" si="42"/>
        <v>0</v>
      </c>
      <c r="X45" s="194">
        <f t="shared" si="43"/>
        <v>0</v>
      </c>
      <c r="Y45" s="183">
        <f t="shared" si="44"/>
        <v>0</v>
      </c>
      <c r="Z45" s="205">
        <f>(VLOOKUP(B:B,[1]AppLists!M:O,3,FALSE))*$AB$2</f>
        <v>715.04000000000008</v>
      </c>
      <c r="AA45" s="184">
        <f t="shared" si="45"/>
        <v>0</v>
      </c>
    </row>
    <row r="46" spans="1:27" ht="28.35" customHeight="1">
      <c r="A46" s="206">
        <v>9</v>
      </c>
      <c r="B46" s="197" t="s">
        <v>342</v>
      </c>
      <c r="C46" s="198" t="s">
        <v>343</v>
      </c>
      <c r="D46" s="199" t="s">
        <v>334</v>
      </c>
      <c r="E46" s="191"/>
      <c r="F46" s="192"/>
      <c r="G46" s="192"/>
      <c r="H46" s="193">
        <f t="shared" si="36"/>
        <v>0</v>
      </c>
      <c r="I46" s="194">
        <f t="shared" si="37"/>
        <v>0</v>
      </c>
      <c r="J46" s="191"/>
      <c r="K46" s="192"/>
      <c r="L46" s="192"/>
      <c r="M46" s="195">
        <f t="shared" si="38"/>
        <v>0</v>
      </c>
      <c r="N46" s="194">
        <f t="shared" si="39"/>
        <v>0</v>
      </c>
      <c r="O46" s="191"/>
      <c r="P46" s="192"/>
      <c r="Q46" s="192"/>
      <c r="R46" s="195">
        <f t="shared" si="40"/>
        <v>0</v>
      </c>
      <c r="S46" s="194">
        <f t="shared" si="41"/>
        <v>0</v>
      </c>
      <c r="T46" s="191"/>
      <c r="U46" s="192"/>
      <c r="V46" s="192"/>
      <c r="W46" s="195">
        <f t="shared" si="42"/>
        <v>0</v>
      </c>
      <c r="X46" s="194">
        <f t="shared" si="43"/>
        <v>0</v>
      </c>
      <c r="Y46" s="183">
        <f t="shared" si="44"/>
        <v>0</v>
      </c>
      <c r="Z46" s="205">
        <f>(VLOOKUP(B:B,[1]AppLists!M:O,3,FALSE))*$AB$2</f>
        <v>1079.1000000000001</v>
      </c>
      <c r="AA46" s="184">
        <f t="shared" si="45"/>
        <v>0</v>
      </c>
    </row>
    <row r="47" spans="1:27" ht="28.35" customHeight="1">
      <c r="A47" s="206">
        <v>10</v>
      </c>
      <c r="B47" s="197" t="s">
        <v>344</v>
      </c>
      <c r="C47" s="198" t="s">
        <v>345</v>
      </c>
      <c r="D47" s="199" t="s">
        <v>334</v>
      </c>
      <c r="E47" s="191"/>
      <c r="F47" s="192"/>
      <c r="G47" s="192"/>
      <c r="H47" s="193">
        <f t="shared" si="36"/>
        <v>0</v>
      </c>
      <c r="I47" s="194">
        <f t="shared" si="37"/>
        <v>0</v>
      </c>
      <c r="J47" s="191"/>
      <c r="K47" s="192"/>
      <c r="L47" s="192"/>
      <c r="M47" s="195">
        <f t="shared" si="38"/>
        <v>0</v>
      </c>
      <c r="N47" s="194">
        <f t="shared" si="39"/>
        <v>0</v>
      </c>
      <c r="O47" s="191"/>
      <c r="P47" s="192"/>
      <c r="Q47" s="192"/>
      <c r="R47" s="195">
        <f t="shared" si="40"/>
        <v>0</v>
      </c>
      <c r="S47" s="194">
        <f t="shared" si="41"/>
        <v>0</v>
      </c>
      <c r="T47" s="191"/>
      <c r="U47" s="192"/>
      <c r="V47" s="192"/>
      <c r="W47" s="195">
        <f t="shared" si="42"/>
        <v>0</v>
      </c>
      <c r="X47" s="194">
        <f t="shared" si="43"/>
        <v>0</v>
      </c>
      <c r="Y47" s="183">
        <f t="shared" si="44"/>
        <v>0</v>
      </c>
      <c r="Z47" s="205">
        <f>(VLOOKUP(B:B,[1]AppLists!M:O,3,FALSE))*$AB$2</f>
        <v>1362.5</v>
      </c>
      <c r="AA47" s="184">
        <f t="shared" si="45"/>
        <v>0</v>
      </c>
    </row>
    <row r="48" spans="1:27" ht="28.35" customHeight="1">
      <c r="A48" s="206">
        <v>11</v>
      </c>
      <c r="B48" s="197" t="s">
        <v>346</v>
      </c>
      <c r="C48" s="198" t="s">
        <v>347</v>
      </c>
      <c r="D48" s="199" t="s">
        <v>334</v>
      </c>
      <c r="E48" s="191"/>
      <c r="F48" s="192"/>
      <c r="G48" s="192"/>
      <c r="H48" s="193">
        <f t="shared" si="36"/>
        <v>0</v>
      </c>
      <c r="I48" s="194">
        <f t="shared" si="37"/>
        <v>0</v>
      </c>
      <c r="J48" s="191"/>
      <c r="K48" s="192"/>
      <c r="L48" s="192"/>
      <c r="M48" s="195">
        <f t="shared" si="38"/>
        <v>0</v>
      </c>
      <c r="N48" s="194">
        <f t="shared" si="39"/>
        <v>0</v>
      </c>
      <c r="O48" s="191"/>
      <c r="P48" s="192"/>
      <c r="Q48" s="192"/>
      <c r="R48" s="195">
        <f t="shared" si="40"/>
        <v>0</v>
      </c>
      <c r="S48" s="194">
        <f t="shared" si="41"/>
        <v>0</v>
      </c>
      <c r="T48" s="191"/>
      <c r="U48" s="192"/>
      <c r="V48" s="192"/>
      <c r="W48" s="195">
        <f t="shared" si="42"/>
        <v>0</v>
      </c>
      <c r="X48" s="194">
        <f t="shared" si="43"/>
        <v>0</v>
      </c>
      <c r="Y48" s="183">
        <f t="shared" si="44"/>
        <v>0</v>
      </c>
      <c r="Z48" s="205">
        <f>(VLOOKUP(B:B,[1]AppLists!M:O,3,FALSE))*$AB$2</f>
        <v>802.24</v>
      </c>
      <c r="AA48" s="184">
        <f t="shared" si="45"/>
        <v>0</v>
      </c>
    </row>
    <row r="49" spans="1:27" ht="28.35" customHeight="1">
      <c r="A49" s="206">
        <v>12</v>
      </c>
      <c r="B49" s="197" t="s">
        <v>348</v>
      </c>
      <c r="C49" s="198" t="s">
        <v>349</v>
      </c>
      <c r="D49" s="199" t="s">
        <v>334</v>
      </c>
      <c r="E49" s="191"/>
      <c r="F49" s="192"/>
      <c r="G49" s="192"/>
      <c r="H49" s="193">
        <f t="shared" si="36"/>
        <v>0</v>
      </c>
      <c r="I49" s="194">
        <f t="shared" si="37"/>
        <v>0</v>
      </c>
      <c r="J49" s="191"/>
      <c r="K49" s="192"/>
      <c r="L49" s="192"/>
      <c r="M49" s="195">
        <f t="shared" si="38"/>
        <v>0</v>
      </c>
      <c r="N49" s="194">
        <f t="shared" si="39"/>
        <v>0</v>
      </c>
      <c r="O49" s="191"/>
      <c r="P49" s="192"/>
      <c r="Q49" s="192"/>
      <c r="R49" s="195">
        <f t="shared" si="40"/>
        <v>0</v>
      </c>
      <c r="S49" s="194">
        <f t="shared" si="41"/>
        <v>0</v>
      </c>
      <c r="T49" s="191"/>
      <c r="U49" s="192"/>
      <c r="V49" s="192"/>
      <c r="W49" s="195">
        <f t="shared" si="42"/>
        <v>0</v>
      </c>
      <c r="X49" s="194">
        <f t="shared" si="43"/>
        <v>0</v>
      </c>
      <c r="Y49" s="183">
        <f t="shared" si="44"/>
        <v>0</v>
      </c>
      <c r="Z49" s="205">
        <f>(VLOOKUP(B:B,[1]AppLists!M:O,3,FALSE))*$AB$2</f>
        <v>625.49650000000008</v>
      </c>
      <c r="AA49" s="184">
        <f t="shared" si="45"/>
        <v>0</v>
      </c>
    </row>
    <row r="50" spans="1:27" ht="28.35" customHeight="1">
      <c r="A50" s="206">
        <v>13</v>
      </c>
      <c r="B50" s="197" t="s">
        <v>350</v>
      </c>
      <c r="C50" s="198" t="s">
        <v>351</v>
      </c>
      <c r="D50" s="199" t="s">
        <v>334</v>
      </c>
      <c r="E50" s="191"/>
      <c r="F50" s="192"/>
      <c r="G50" s="192"/>
      <c r="H50" s="193">
        <f t="shared" si="36"/>
        <v>0</v>
      </c>
      <c r="I50" s="194">
        <f t="shared" si="37"/>
        <v>0</v>
      </c>
      <c r="J50" s="191"/>
      <c r="K50" s="192"/>
      <c r="L50" s="192"/>
      <c r="M50" s="195">
        <f t="shared" si="38"/>
        <v>0</v>
      </c>
      <c r="N50" s="194">
        <f t="shared" si="39"/>
        <v>0</v>
      </c>
      <c r="O50" s="191"/>
      <c r="P50" s="192"/>
      <c r="Q50" s="192"/>
      <c r="R50" s="195">
        <f t="shared" si="40"/>
        <v>0</v>
      </c>
      <c r="S50" s="194">
        <f t="shared" si="41"/>
        <v>0</v>
      </c>
      <c r="T50" s="191"/>
      <c r="U50" s="192"/>
      <c r="V50" s="192"/>
      <c r="W50" s="195">
        <f t="shared" si="42"/>
        <v>0</v>
      </c>
      <c r="X50" s="194">
        <f t="shared" si="43"/>
        <v>0</v>
      </c>
      <c r="Y50" s="183">
        <f t="shared" si="44"/>
        <v>0</v>
      </c>
      <c r="Z50" s="205">
        <f>(VLOOKUP(B:B,[1]AppLists!M:O,3,FALSE))*$AB$2</f>
        <v>1084.5500000000002</v>
      </c>
      <c r="AA50" s="184">
        <f t="shared" si="45"/>
        <v>0</v>
      </c>
    </row>
    <row r="51" spans="1:27" ht="28.35" customHeight="1">
      <c r="A51" s="206">
        <v>14</v>
      </c>
      <c r="B51" s="197" t="s">
        <v>352</v>
      </c>
      <c r="C51" s="198" t="s">
        <v>353</v>
      </c>
      <c r="D51" s="199" t="s">
        <v>354</v>
      </c>
      <c r="E51" s="191"/>
      <c r="F51" s="192"/>
      <c r="G51" s="192"/>
      <c r="H51" s="193">
        <f t="shared" si="36"/>
        <v>0</v>
      </c>
      <c r="I51" s="194">
        <f t="shared" si="37"/>
        <v>0</v>
      </c>
      <c r="J51" s="191"/>
      <c r="K51" s="192"/>
      <c r="L51" s="192"/>
      <c r="M51" s="195">
        <f t="shared" si="38"/>
        <v>0</v>
      </c>
      <c r="N51" s="194">
        <f t="shared" si="39"/>
        <v>0</v>
      </c>
      <c r="O51" s="191"/>
      <c r="P51" s="192"/>
      <c r="Q51" s="192"/>
      <c r="R51" s="195">
        <f t="shared" si="40"/>
        <v>0</v>
      </c>
      <c r="S51" s="194">
        <f t="shared" si="41"/>
        <v>0</v>
      </c>
      <c r="T51" s="191"/>
      <c r="U51" s="192"/>
      <c r="V51" s="192"/>
      <c r="W51" s="195">
        <f t="shared" si="42"/>
        <v>0</v>
      </c>
      <c r="X51" s="194">
        <f t="shared" si="43"/>
        <v>0</v>
      </c>
      <c r="Y51" s="183">
        <f t="shared" si="44"/>
        <v>0</v>
      </c>
      <c r="Z51" s="205">
        <f>(VLOOKUP(B:B,[1]AppLists!M:O,3,FALSE))*$AB$2</f>
        <v>702.94100000000003</v>
      </c>
      <c r="AA51" s="184">
        <f t="shared" si="45"/>
        <v>0</v>
      </c>
    </row>
    <row r="52" spans="1:27" ht="28.35" customHeight="1">
      <c r="A52" s="206">
        <v>15</v>
      </c>
      <c r="B52" s="197" t="s">
        <v>355</v>
      </c>
      <c r="C52" s="198" t="s">
        <v>356</v>
      </c>
      <c r="D52" s="199" t="s">
        <v>357</v>
      </c>
      <c r="E52" s="191"/>
      <c r="F52" s="192"/>
      <c r="G52" s="192"/>
      <c r="H52" s="193">
        <f t="shared" si="36"/>
        <v>0</v>
      </c>
      <c r="I52" s="194">
        <f t="shared" si="37"/>
        <v>0</v>
      </c>
      <c r="J52" s="191"/>
      <c r="K52" s="192"/>
      <c r="L52" s="192"/>
      <c r="M52" s="195">
        <f t="shared" si="38"/>
        <v>0</v>
      </c>
      <c r="N52" s="194">
        <f t="shared" si="39"/>
        <v>0</v>
      </c>
      <c r="O52" s="191"/>
      <c r="P52" s="192"/>
      <c r="Q52" s="192"/>
      <c r="R52" s="195">
        <f t="shared" si="40"/>
        <v>0</v>
      </c>
      <c r="S52" s="194">
        <f t="shared" si="41"/>
        <v>0</v>
      </c>
      <c r="T52" s="191"/>
      <c r="U52" s="192"/>
      <c r="V52" s="192"/>
      <c r="W52" s="195">
        <f t="shared" si="42"/>
        <v>0</v>
      </c>
      <c r="X52" s="194">
        <f t="shared" si="43"/>
        <v>0</v>
      </c>
      <c r="Y52" s="183">
        <f t="shared" si="44"/>
        <v>0</v>
      </c>
      <c r="Z52" s="205">
        <f>(VLOOKUP(B:B,[1]AppLists!M:O,3,FALSE))*$AB$2</f>
        <v>33.7682</v>
      </c>
      <c r="AA52" s="184">
        <f t="shared" si="45"/>
        <v>0</v>
      </c>
    </row>
    <row r="53" spans="1:27" ht="28.35" customHeight="1">
      <c r="A53" s="206">
        <v>16</v>
      </c>
      <c r="B53" s="197" t="s">
        <v>358</v>
      </c>
      <c r="C53" s="198" t="s">
        <v>359</v>
      </c>
      <c r="D53" s="199" t="s">
        <v>357</v>
      </c>
      <c r="E53" s="191"/>
      <c r="F53" s="192"/>
      <c r="G53" s="192"/>
      <c r="H53" s="193">
        <f t="shared" si="36"/>
        <v>0</v>
      </c>
      <c r="I53" s="194">
        <f t="shared" si="37"/>
        <v>0</v>
      </c>
      <c r="J53" s="191"/>
      <c r="K53" s="192"/>
      <c r="L53" s="192"/>
      <c r="M53" s="195">
        <f t="shared" si="38"/>
        <v>0</v>
      </c>
      <c r="N53" s="194">
        <f t="shared" si="39"/>
        <v>0</v>
      </c>
      <c r="O53" s="191"/>
      <c r="P53" s="192"/>
      <c r="Q53" s="192"/>
      <c r="R53" s="195">
        <f t="shared" si="40"/>
        <v>0</v>
      </c>
      <c r="S53" s="194">
        <f t="shared" si="41"/>
        <v>0</v>
      </c>
      <c r="T53" s="191"/>
      <c r="U53" s="192"/>
      <c r="V53" s="192"/>
      <c r="W53" s="195">
        <f t="shared" si="42"/>
        <v>0</v>
      </c>
      <c r="X53" s="194">
        <f t="shared" si="43"/>
        <v>0</v>
      </c>
      <c r="Y53" s="183">
        <f t="shared" si="44"/>
        <v>0</v>
      </c>
      <c r="Z53" s="205">
        <f>(VLOOKUP(B:B,[1]AppLists!M:O,3,FALSE))*$AB$2</f>
        <v>58.751000000000005</v>
      </c>
      <c r="AA53" s="184">
        <f t="shared" si="45"/>
        <v>0</v>
      </c>
    </row>
    <row r="54" spans="1:27" ht="28.35" customHeight="1">
      <c r="A54" s="206">
        <v>17</v>
      </c>
      <c r="B54" s="197" t="s">
        <v>360</v>
      </c>
      <c r="C54" s="198" t="s">
        <v>361</v>
      </c>
      <c r="D54" s="199" t="s">
        <v>357</v>
      </c>
      <c r="E54" s="191"/>
      <c r="F54" s="192"/>
      <c r="G54" s="192"/>
      <c r="H54" s="193">
        <f t="shared" si="36"/>
        <v>0</v>
      </c>
      <c r="I54" s="194">
        <f t="shared" si="37"/>
        <v>0</v>
      </c>
      <c r="J54" s="191"/>
      <c r="K54" s="192"/>
      <c r="L54" s="192"/>
      <c r="M54" s="195">
        <f t="shared" si="38"/>
        <v>0</v>
      </c>
      <c r="N54" s="194">
        <f t="shared" si="39"/>
        <v>0</v>
      </c>
      <c r="O54" s="191"/>
      <c r="P54" s="192"/>
      <c r="Q54" s="192"/>
      <c r="R54" s="195">
        <f t="shared" si="40"/>
        <v>0</v>
      </c>
      <c r="S54" s="194">
        <f t="shared" si="41"/>
        <v>0</v>
      </c>
      <c r="T54" s="191"/>
      <c r="U54" s="192"/>
      <c r="V54" s="192"/>
      <c r="W54" s="195">
        <f t="shared" si="42"/>
        <v>0</v>
      </c>
      <c r="X54" s="194">
        <f t="shared" si="43"/>
        <v>0</v>
      </c>
      <c r="Y54" s="183">
        <f t="shared" si="44"/>
        <v>0</v>
      </c>
      <c r="Z54" s="205">
        <f>(VLOOKUP(B:B,[1]AppLists!M:O,3,FALSE))*$AB$2</f>
        <v>43.491</v>
      </c>
      <c r="AA54" s="184">
        <f t="shared" si="45"/>
        <v>0</v>
      </c>
    </row>
    <row r="55" spans="1:27" ht="28.35" customHeight="1">
      <c r="A55" s="206">
        <v>18</v>
      </c>
      <c r="B55" s="197" t="s">
        <v>362</v>
      </c>
      <c r="C55" s="198" t="s">
        <v>363</v>
      </c>
      <c r="D55" s="199" t="s">
        <v>364</v>
      </c>
      <c r="E55" s="191"/>
      <c r="F55" s="192"/>
      <c r="G55" s="192"/>
      <c r="H55" s="193">
        <f t="shared" si="36"/>
        <v>0</v>
      </c>
      <c r="I55" s="194">
        <f t="shared" si="37"/>
        <v>0</v>
      </c>
      <c r="J55" s="191"/>
      <c r="K55" s="192"/>
      <c r="L55" s="192"/>
      <c r="M55" s="195">
        <f t="shared" si="38"/>
        <v>0</v>
      </c>
      <c r="N55" s="194">
        <f t="shared" si="39"/>
        <v>0</v>
      </c>
      <c r="O55" s="191"/>
      <c r="P55" s="192"/>
      <c r="Q55" s="192"/>
      <c r="R55" s="195">
        <f t="shared" si="40"/>
        <v>0</v>
      </c>
      <c r="S55" s="194">
        <f t="shared" si="41"/>
        <v>0</v>
      </c>
      <c r="T55" s="191"/>
      <c r="U55" s="192"/>
      <c r="V55" s="192"/>
      <c r="W55" s="195">
        <f t="shared" si="42"/>
        <v>0</v>
      </c>
      <c r="X55" s="194">
        <f t="shared" si="43"/>
        <v>0</v>
      </c>
      <c r="Y55" s="183">
        <f t="shared" si="44"/>
        <v>0</v>
      </c>
      <c r="Z55" s="205">
        <f>(VLOOKUP(B:B,[1]AppLists!M:O,3,FALSE))*$AB$2</f>
        <v>12.622200000000001</v>
      </c>
      <c r="AA55" s="184">
        <f t="shared" si="45"/>
        <v>0</v>
      </c>
    </row>
    <row r="56" spans="1:27" ht="28.35" customHeight="1">
      <c r="A56" s="206">
        <v>19</v>
      </c>
      <c r="B56" s="197" t="s">
        <v>365</v>
      </c>
      <c r="C56" s="198" t="s">
        <v>366</v>
      </c>
      <c r="D56" s="199" t="s">
        <v>367</v>
      </c>
      <c r="E56" s="191"/>
      <c r="F56" s="192">
        <v>0</v>
      </c>
      <c r="G56" s="192">
        <v>0</v>
      </c>
      <c r="H56" s="193">
        <f t="shared" si="36"/>
        <v>0</v>
      </c>
      <c r="I56" s="194">
        <f t="shared" si="37"/>
        <v>0</v>
      </c>
      <c r="J56" s="191">
        <v>5</v>
      </c>
      <c r="K56" s="192">
        <v>5</v>
      </c>
      <c r="L56" s="192">
        <v>5</v>
      </c>
      <c r="M56" s="195">
        <f t="shared" si="38"/>
        <v>15</v>
      </c>
      <c r="N56" s="194">
        <f t="shared" si="39"/>
        <v>2081.0280000000002</v>
      </c>
      <c r="O56" s="191"/>
      <c r="P56" s="192"/>
      <c r="Q56" s="192"/>
      <c r="R56" s="195">
        <f t="shared" si="40"/>
        <v>0</v>
      </c>
      <c r="S56" s="194">
        <f t="shared" si="41"/>
        <v>0</v>
      </c>
      <c r="T56" s="191"/>
      <c r="U56" s="192"/>
      <c r="V56" s="192"/>
      <c r="W56" s="195">
        <f t="shared" si="42"/>
        <v>0</v>
      </c>
      <c r="X56" s="194">
        <f t="shared" si="43"/>
        <v>0</v>
      </c>
      <c r="Y56" s="183">
        <f t="shared" si="44"/>
        <v>15</v>
      </c>
      <c r="Z56" s="205">
        <f>(VLOOKUP(B:B,[1]AppLists!M:O,3,FALSE))*$AB$2</f>
        <v>138.73520000000002</v>
      </c>
      <c r="AA56" s="184">
        <f t="shared" si="45"/>
        <v>2081.0280000000002</v>
      </c>
    </row>
    <row r="57" spans="1:27" ht="28.35" customHeight="1">
      <c r="A57" s="206">
        <v>20</v>
      </c>
      <c r="B57" s="197" t="s">
        <v>368</v>
      </c>
      <c r="C57" s="198" t="s">
        <v>369</v>
      </c>
      <c r="D57" s="199" t="s">
        <v>367</v>
      </c>
      <c r="E57" s="191"/>
      <c r="F57" s="192">
        <v>0</v>
      </c>
      <c r="G57" s="192">
        <v>0</v>
      </c>
      <c r="H57" s="193">
        <f t="shared" si="36"/>
        <v>0</v>
      </c>
      <c r="I57" s="194">
        <f t="shared" si="37"/>
        <v>0</v>
      </c>
      <c r="J57" s="191"/>
      <c r="K57" s="192"/>
      <c r="L57" s="192"/>
      <c r="M57" s="195">
        <f t="shared" si="38"/>
        <v>0</v>
      </c>
      <c r="N57" s="194">
        <f t="shared" si="39"/>
        <v>0</v>
      </c>
      <c r="O57" s="191"/>
      <c r="P57" s="192"/>
      <c r="Q57" s="192"/>
      <c r="R57" s="195">
        <f t="shared" si="40"/>
        <v>0</v>
      </c>
      <c r="S57" s="194">
        <f t="shared" si="41"/>
        <v>0</v>
      </c>
      <c r="T57" s="191"/>
      <c r="U57" s="192"/>
      <c r="V57" s="192"/>
      <c r="W57" s="195">
        <f t="shared" si="42"/>
        <v>0</v>
      </c>
      <c r="X57" s="194">
        <f t="shared" si="43"/>
        <v>0</v>
      </c>
      <c r="Y57" s="183">
        <f t="shared" si="44"/>
        <v>0</v>
      </c>
      <c r="Z57" s="205">
        <f>(VLOOKUP(B:B,[1]AppLists!M:O,3,FALSE))*$AB$2</f>
        <v>162.19200000000004</v>
      </c>
      <c r="AA57" s="184">
        <f t="shared" si="45"/>
        <v>0</v>
      </c>
    </row>
    <row r="58" spans="1:27" ht="28.35" customHeight="1">
      <c r="A58" s="206">
        <v>21</v>
      </c>
      <c r="B58" s="197" t="s">
        <v>370</v>
      </c>
      <c r="C58" s="198" t="s">
        <v>371</v>
      </c>
      <c r="D58" s="199" t="s">
        <v>367</v>
      </c>
      <c r="E58" s="191"/>
      <c r="F58" s="192"/>
      <c r="G58" s="192"/>
      <c r="H58" s="193">
        <f t="shared" si="36"/>
        <v>0</v>
      </c>
      <c r="I58" s="194">
        <f t="shared" si="37"/>
        <v>0</v>
      </c>
      <c r="J58" s="191"/>
      <c r="K58" s="192"/>
      <c r="L58" s="192"/>
      <c r="M58" s="195">
        <f t="shared" si="38"/>
        <v>0</v>
      </c>
      <c r="N58" s="194">
        <f t="shared" si="39"/>
        <v>0</v>
      </c>
      <c r="O58" s="191"/>
      <c r="P58" s="192"/>
      <c r="Q58" s="192"/>
      <c r="R58" s="195">
        <f t="shared" si="40"/>
        <v>0</v>
      </c>
      <c r="S58" s="194">
        <f t="shared" si="41"/>
        <v>0</v>
      </c>
      <c r="T58" s="191"/>
      <c r="U58" s="192"/>
      <c r="V58" s="192"/>
      <c r="W58" s="195">
        <f t="shared" si="42"/>
        <v>0</v>
      </c>
      <c r="X58" s="194">
        <f t="shared" si="43"/>
        <v>0</v>
      </c>
      <c r="Y58" s="183">
        <f t="shared" si="44"/>
        <v>0</v>
      </c>
      <c r="Z58" s="205">
        <f>(VLOOKUP(B:B,[1]AppLists!M:O,3,FALSE))*$AB$2</f>
        <v>120.01990000000001</v>
      </c>
      <c r="AA58" s="184">
        <f t="shared" si="45"/>
        <v>0</v>
      </c>
    </row>
    <row r="59" spans="1:27" ht="28.35" customHeight="1">
      <c r="A59" s="206">
        <v>22</v>
      </c>
      <c r="B59" s="197" t="s">
        <v>372</v>
      </c>
      <c r="C59" s="198" t="s">
        <v>373</v>
      </c>
      <c r="D59" s="199" t="s">
        <v>367</v>
      </c>
      <c r="E59" s="191"/>
      <c r="F59" s="192"/>
      <c r="G59" s="192"/>
      <c r="H59" s="193">
        <f t="shared" si="36"/>
        <v>0</v>
      </c>
      <c r="I59" s="194">
        <f t="shared" si="37"/>
        <v>0</v>
      </c>
      <c r="J59" s="191"/>
      <c r="K59" s="192"/>
      <c r="L59" s="192"/>
      <c r="M59" s="195">
        <f t="shared" si="38"/>
        <v>0</v>
      </c>
      <c r="N59" s="194">
        <f t="shared" si="39"/>
        <v>0</v>
      </c>
      <c r="O59" s="191"/>
      <c r="P59" s="192"/>
      <c r="Q59" s="192"/>
      <c r="R59" s="195">
        <f t="shared" si="40"/>
        <v>0</v>
      </c>
      <c r="S59" s="194">
        <f t="shared" si="41"/>
        <v>0</v>
      </c>
      <c r="T59" s="191"/>
      <c r="U59" s="192"/>
      <c r="V59" s="192"/>
      <c r="W59" s="195">
        <f t="shared" si="42"/>
        <v>0</v>
      </c>
      <c r="X59" s="194">
        <f t="shared" si="43"/>
        <v>0</v>
      </c>
      <c r="Y59" s="183">
        <f t="shared" si="44"/>
        <v>0</v>
      </c>
      <c r="Z59" s="205">
        <f>(VLOOKUP(B:B,[1]AppLists!M:O,3,FALSE))*$AB$2</f>
        <v>136.22820000000002</v>
      </c>
      <c r="AA59" s="184">
        <f t="shared" si="45"/>
        <v>0</v>
      </c>
    </row>
    <row r="60" spans="1:27" ht="28.35" customHeight="1">
      <c r="A60" s="206">
        <v>23</v>
      </c>
      <c r="B60" s="180" t="s">
        <v>374</v>
      </c>
      <c r="C60" s="181" t="s">
        <v>375</v>
      </c>
      <c r="D60" s="182" t="s">
        <v>357</v>
      </c>
      <c r="E60" s="191"/>
      <c r="F60" s="192"/>
      <c r="G60" s="192"/>
      <c r="H60" s="193">
        <f t="shared" si="36"/>
        <v>0</v>
      </c>
      <c r="I60" s="194">
        <f t="shared" si="37"/>
        <v>0</v>
      </c>
      <c r="J60" s="191"/>
      <c r="K60" s="192"/>
      <c r="L60" s="192"/>
      <c r="M60" s="195">
        <f t="shared" si="38"/>
        <v>0</v>
      </c>
      <c r="N60" s="194">
        <f t="shared" si="39"/>
        <v>0</v>
      </c>
      <c r="O60" s="191"/>
      <c r="P60" s="192"/>
      <c r="Q60" s="192"/>
      <c r="R60" s="195">
        <f t="shared" si="40"/>
        <v>0</v>
      </c>
      <c r="S60" s="194">
        <f t="shared" si="41"/>
        <v>0</v>
      </c>
      <c r="T60" s="191"/>
      <c r="U60" s="192"/>
      <c r="V60" s="192"/>
      <c r="W60" s="195">
        <f t="shared" si="42"/>
        <v>0</v>
      </c>
      <c r="X60" s="194">
        <f t="shared" si="43"/>
        <v>0</v>
      </c>
      <c r="Y60" s="183">
        <f t="shared" si="44"/>
        <v>0</v>
      </c>
      <c r="Z60" s="205">
        <f>(VLOOKUP(B:B,[1]AppLists!M:O,3,FALSE))*$AB$2</f>
        <v>18.1812</v>
      </c>
      <c r="AA60" s="184">
        <f t="shared" si="45"/>
        <v>0</v>
      </c>
    </row>
    <row r="61" spans="1:27" ht="28.35" customHeight="1">
      <c r="A61" s="206">
        <v>24</v>
      </c>
      <c r="B61" s="197" t="s">
        <v>376</v>
      </c>
      <c r="C61" s="181" t="s">
        <v>377</v>
      </c>
      <c r="D61" s="199" t="s">
        <v>367</v>
      </c>
      <c r="E61" s="191"/>
      <c r="F61" s="192"/>
      <c r="G61" s="192"/>
      <c r="H61" s="193">
        <f t="shared" si="36"/>
        <v>0</v>
      </c>
      <c r="I61" s="194">
        <f t="shared" si="37"/>
        <v>0</v>
      </c>
      <c r="J61" s="191"/>
      <c r="K61" s="192"/>
      <c r="L61" s="192"/>
      <c r="M61" s="195">
        <f t="shared" si="38"/>
        <v>0</v>
      </c>
      <c r="N61" s="194">
        <f t="shared" si="39"/>
        <v>0</v>
      </c>
      <c r="O61" s="191"/>
      <c r="P61" s="192"/>
      <c r="Q61" s="192"/>
      <c r="R61" s="195">
        <f t="shared" si="40"/>
        <v>0</v>
      </c>
      <c r="S61" s="194">
        <f t="shared" si="41"/>
        <v>0</v>
      </c>
      <c r="T61" s="191"/>
      <c r="U61" s="192"/>
      <c r="V61" s="192"/>
      <c r="W61" s="195">
        <f t="shared" si="42"/>
        <v>0</v>
      </c>
      <c r="X61" s="194">
        <f t="shared" si="43"/>
        <v>0</v>
      </c>
      <c r="Y61" s="183">
        <f t="shared" si="44"/>
        <v>0</v>
      </c>
      <c r="Z61" s="205">
        <f>(VLOOKUP(B:B,[1]AppLists!M:O,3,FALSE))*$AB$2</f>
        <v>100.825</v>
      </c>
      <c r="AA61" s="184">
        <f t="shared" si="45"/>
        <v>0</v>
      </c>
    </row>
    <row r="62" spans="1:27" ht="28.35" customHeight="1">
      <c r="A62" s="206">
        <v>25</v>
      </c>
      <c r="B62" s="197" t="s">
        <v>378</v>
      </c>
      <c r="C62" s="181" t="s">
        <v>379</v>
      </c>
      <c r="D62" s="199" t="s">
        <v>331</v>
      </c>
      <c r="E62" s="191"/>
      <c r="F62" s="192"/>
      <c r="G62" s="192"/>
      <c r="H62" s="193">
        <f t="shared" si="36"/>
        <v>0</v>
      </c>
      <c r="I62" s="194">
        <f t="shared" si="37"/>
        <v>0</v>
      </c>
      <c r="J62" s="191"/>
      <c r="K62" s="192"/>
      <c r="L62" s="192"/>
      <c r="M62" s="195">
        <f t="shared" si="38"/>
        <v>0</v>
      </c>
      <c r="N62" s="194">
        <f t="shared" si="39"/>
        <v>0</v>
      </c>
      <c r="O62" s="191"/>
      <c r="P62" s="192"/>
      <c r="Q62" s="192"/>
      <c r="R62" s="195">
        <f t="shared" si="40"/>
        <v>0</v>
      </c>
      <c r="S62" s="194">
        <f t="shared" si="41"/>
        <v>0</v>
      </c>
      <c r="T62" s="191"/>
      <c r="U62" s="192"/>
      <c r="V62" s="192"/>
      <c r="W62" s="195">
        <f t="shared" si="42"/>
        <v>0</v>
      </c>
      <c r="X62" s="194">
        <f t="shared" si="43"/>
        <v>0</v>
      </c>
      <c r="Y62" s="183">
        <f t="shared" si="44"/>
        <v>0</v>
      </c>
      <c r="Z62" s="205">
        <f>(VLOOKUP(B:B,[1]AppLists!M:O,3,FALSE))*$AB$2</f>
        <v>51.121000000000002</v>
      </c>
      <c r="AA62" s="184">
        <f t="shared" si="45"/>
        <v>0</v>
      </c>
    </row>
    <row r="63" spans="1:27" ht="28.35" customHeight="1">
      <c r="A63" s="206">
        <v>26</v>
      </c>
      <c r="B63" s="197" t="s">
        <v>380</v>
      </c>
      <c r="C63" s="181" t="s">
        <v>381</v>
      </c>
      <c r="D63" s="199" t="s">
        <v>382</v>
      </c>
      <c r="E63" s="191"/>
      <c r="F63" s="192">
        <v>0</v>
      </c>
      <c r="G63" s="192"/>
      <c r="H63" s="193">
        <f t="shared" si="36"/>
        <v>0</v>
      </c>
      <c r="I63" s="194">
        <f t="shared" si="37"/>
        <v>0</v>
      </c>
      <c r="J63" s="191"/>
      <c r="K63" s="192"/>
      <c r="L63" s="192"/>
      <c r="M63" s="195">
        <f t="shared" si="38"/>
        <v>0</v>
      </c>
      <c r="N63" s="194">
        <f t="shared" si="39"/>
        <v>0</v>
      </c>
      <c r="O63" s="191"/>
      <c r="P63" s="192"/>
      <c r="Q63" s="192"/>
      <c r="R63" s="195">
        <f t="shared" si="40"/>
        <v>0</v>
      </c>
      <c r="S63" s="194">
        <f t="shared" si="41"/>
        <v>0</v>
      </c>
      <c r="T63" s="191"/>
      <c r="U63" s="192"/>
      <c r="V63" s="192"/>
      <c r="W63" s="195">
        <f t="shared" si="42"/>
        <v>0</v>
      </c>
      <c r="X63" s="194">
        <f t="shared" si="43"/>
        <v>0</v>
      </c>
      <c r="Y63" s="183">
        <f t="shared" si="44"/>
        <v>0</v>
      </c>
      <c r="Z63" s="205">
        <f>(VLOOKUP(B:B,[1]AppLists!M:O,3,FALSE))*$AB$2</f>
        <v>74.12</v>
      </c>
      <c r="AA63" s="184">
        <f t="shared" si="45"/>
        <v>0</v>
      </c>
    </row>
    <row r="64" spans="1:27" ht="28.35" customHeight="1">
      <c r="A64" s="206">
        <v>27</v>
      </c>
      <c r="B64" s="197" t="s">
        <v>383</v>
      </c>
      <c r="C64" s="181" t="s">
        <v>384</v>
      </c>
      <c r="D64" s="199" t="s">
        <v>382</v>
      </c>
      <c r="E64" s="191"/>
      <c r="F64" s="192"/>
      <c r="G64" s="192"/>
      <c r="H64" s="193">
        <f t="shared" si="36"/>
        <v>0</v>
      </c>
      <c r="I64" s="194">
        <f t="shared" si="37"/>
        <v>0</v>
      </c>
      <c r="J64" s="191"/>
      <c r="K64" s="192"/>
      <c r="L64" s="192"/>
      <c r="M64" s="195">
        <f t="shared" si="38"/>
        <v>0</v>
      </c>
      <c r="N64" s="194">
        <f t="shared" si="39"/>
        <v>0</v>
      </c>
      <c r="O64" s="191"/>
      <c r="P64" s="192"/>
      <c r="Q64" s="192"/>
      <c r="R64" s="195">
        <f t="shared" si="40"/>
        <v>0</v>
      </c>
      <c r="S64" s="194">
        <f t="shared" si="41"/>
        <v>0</v>
      </c>
      <c r="T64" s="191"/>
      <c r="U64" s="192"/>
      <c r="V64" s="192"/>
      <c r="W64" s="195">
        <f t="shared" si="42"/>
        <v>0</v>
      </c>
      <c r="X64" s="194">
        <f t="shared" si="43"/>
        <v>0</v>
      </c>
      <c r="Y64" s="183">
        <f t="shared" si="44"/>
        <v>0</v>
      </c>
      <c r="Z64" s="205">
        <f>(VLOOKUP(B:B,[1]AppLists!M:O,3,FALSE))*$AB$2</f>
        <v>106.82000000000001</v>
      </c>
      <c r="AA64" s="184">
        <f t="shared" si="45"/>
        <v>0</v>
      </c>
    </row>
    <row r="65" spans="1:27" ht="28.35" customHeight="1" thickBot="1">
      <c r="A65" s="206">
        <v>28</v>
      </c>
      <c r="B65" s="197" t="s">
        <v>385</v>
      </c>
      <c r="C65" s="181" t="s">
        <v>386</v>
      </c>
      <c r="D65" s="199" t="s">
        <v>339</v>
      </c>
      <c r="E65" s="191"/>
      <c r="F65" s="192">
        <v>0</v>
      </c>
      <c r="G65" s="192"/>
      <c r="H65" s="193">
        <f t="shared" si="36"/>
        <v>0</v>
      </c>
      <c r="I65" s="194">
        <f t="shared" si="37"/>
        <v>0</v>
      </c>
      <c r="J65" s="191"/>
      <c r="K65" s="192"/>
      <c r="L65" s="192"/>
      <c r="M65" s="195">
        <f t="shared" si="38"/>
        <v>0</v>
      </c>
      <c r="N65" s="194">
        <f t="shared" si="39"/>
        <v>0</v>
      </c>
      <c r="O65" s="191"/>
      <c r="P65" s="192"/>
      <c r="Q65" s="192"/>
      <c r="R65" s="195">
        <f t="shared" si="40"/>
        <v>0</v>
      </c>
      <c r="S65" s="194">
        <f t="shared" si="41"/>
        <v>0</v>
      </c>
      <c r="T65" s="191"/>
      <c r="U65" s="192"/>
      <c r="V65" s="192"/>
      <c r="W65" s="195">
        <f t="shared" si="42"/>
        <v>0</v>
      </c>
      <c r="X65" s="194">
        <f t="shared" si="43"/>
        <v>0</v>
      </c>
      <c r="Y65" s="183">
        <f t="shared" si="44"/>
        <v>0</v>
      </c>
      <c r="Z65" s="205">
        <f>(VLOOKUP(B:B,[1]AppLists!M:O,3,FALSE))*$AB$2</f>
        <v>68.561000000000007</v>
      </c>
      <c r="AA65" s="184">
        <f t="shared" si="45"/>
        <v>0</v>
      </c>
    </row>
    <row r="66" spans="1:27" ht="30" customHeight="1" thickBot="1">
      <c r="A66" s="160" t="s">
        <v>387</v>
      </c>
      <c r="B66" s="161"/>
      <c r="C66" s="161"/>
      <c r="D66" s="161"/>
      <c r="E66" s="162"/>
      <c r="F66" s="162"/>
      <c r="G66" s="162"/>
      <c r="H66" s="162"/>
      <c r="I66" s="163"/>
      <c r="J66" s="162"/>
      <c r="K66" s="162"/>
      <c r="L66" s="162"/>
      <c r="M66" s="162"/>
      <c r="N66" s="163"/>
      <c r="O66" s="162"/>
      <c r="P66" s="162"/>
      <c r="Q66" s="162"/>
      <c r="R66" s="162"/>
      <c r="S66" s="163"/>
      <c r="T66" s="162"/>
      <c r="U66" s="162"/>
      <c r="V66" s="162"/>
      <c r="W66" s="162"/>
      <c r="X66" s="163"/>
      <c r="Y66" s="163"/>
      <c r="Z66" s="177"/>
      <c r="AA66" s="178"/>
    </row>
    <row r="67" spans="1:27" ht="28.35" customHeight="1">
      <c r="A67" s="207">
        <v>29</v>
      </c>
      <c r="B67" s="208" t="s">
        <v>388</v>
      </c>
      <c r="C67" s="209" t="s">
        <v>389</v>
      </c>
      <c r="D67" s="210" t="s">
        <v>390</v>
      </c>
      <c r="E67" s="191"/>
      <c r="F67" s="192">
        <v>0</v>
      </c>
      <c r="G67" s="192"/>
      <c r="H67" s="193">
        <f t="shared" ref="H67:H69" si="46">SUM(E67:G67)</f>
        <v>0</v>
      </c>
      <c r="I67" s="194">
        <f t="shared" ref="I67:I69" si="47">H67*Z67</f>
        <v>0</v>
      </c>
      <c r="J67" s="191"/>
      <c r="K67" s="192"/>
      <c r="L67" s="192"/>
      <c r="M67" s="195">
        <f t="shared" ref="M67:M69" si="48">SUM(J67:L67)</f>
        <v>0</v>
      </c>
      <c r="N67" s="194">
        <f t="shared" ref="N67:N69" si="49">M67*Z67</f>
        <v>0</v>
      </c>
      <c r="O67" s="191"/>
      <c r="P67" s="192"/>
      <c r="Q67" s="192"/>
      <c r="R67" s="195">
        <f t="shared" ref="R67:R69" si="50">SUM(O67:Q67)</f>
        <v>0</v>
      </c>
      <c r="S67" s="194">
        <f t="shared" ref="S67:S69" si="51">R67*Z67</f>
        <v>0</v>
      </c>
      <c r="T67" s="191"/>
      <c r="U67" s="192"/>
      <c r="V67" s="192"/>
      <c r="W67" s="195">
        <f t="shared" ref="W67:W69" si="52">SUM(T67:V67)</f>
        <v>0</v>
      </c>
      <c r="X67" s="194">
        <f t="shared" ref="X67:X69" si="53">W67*Z67</f>
        <v>0</v>
      </c>
      <c r="Y67" s="183">
        <f>H67+M67+R67+W67</f>
        <v>0</v>
      </c>
      <c r="Z67" s="205">
        <f>(VLOOKUP(B:B,[1]AppLists!M:O,3,FALSE))*$AB$2</f>
        <v>20.677299999999999</v>
      </c>
      <c r="AA67" s="184">
        <f>Y67*Z67</f>
        <v>0</v>
      </c>
    </row>
    <row r="68" spans="1:27" ht="28.35" customHeight="1">
      <c r="A68" s="211">
        <v>30</v>
      </c>
      <c r="B68" s="212" t="s">
        <v>391</v>
      </c>
      <c r="C68" s="213" t="s">
        <v>392</v>
      </c>
      <c r="D68" s="214" t="s">
        <v>390</v>
      </c>
      <c r="E68" s="191"/>
      <c r="F68" s="192">
        <v>0</v>
      </c>
      <c r="G68" s="192"/>
      <c r="H68" s="193">
        <f t="shared" si="46"/>
        <v>0</v>
      </c>
      <c r="I68" s="194">
        <f t="shared" si="47"/>
        <v>0</v>
      </c>
      <c r="J68" s="191"/>
      <c r="K68" s="192"/>
      <c r="L68" s="192"/>
      <c r="M68" s="195">
        <f t="shared" si="48"/>
        <v>0</v>
      </c>
      <c r="N68" s="194">
        <f t="shared" si="49"/>
        <v>0</v>
      </c>
      <c r="O68" s="191"/>
      <c r="P68" s="192"/>
      <c r="Q68" s="192"/>
      <c r="R68" s="195">
        <f t="shared" si="50"/>
        <v>0</v>
      </c>
      <c r="S68" s="194">
        <f t="shared" si="51"/>
        <v>0</v>
      </c>
      <c r="T68" s="191"/>
      <c r="U68" s="192"/>
      <c r="V68" s="192"/>
      <c r="W68" s="195">
        <f t="shared" si="52"/>
        <v>0</v>
      </c>
      <c r="X68" s="194">
        <f t="shared" si="53"/>
        <v>0</v>
      </c>
      <c r="Y68" s="183">
        <f>H68+M68+R68+W68</f>
        <v>0</v>
      </c>
      <c r="Z68" s="205">
        <f>(VLOOKUP(B:B,[1]AppLists!M:O,3,FALSE))*$AB$2</f>
        <v>20.4375</v>
      </c>
      <c r="AA68" s="184">
        <f>Y68*Z68</f>
        <v>0</v>
      </c>
    </row>
    <row r="69" spans="1:27" ht="28.35" customHeight="1" thickBot="1">
      <c r="A69" s="215">
        <v>31</v>
      </c>
      <c r="B69" s="212" t="s">
        <v>393</v>
      </c>
      <c r="C69" s="213" t="s">
        <v>394</v>
      </c>
      <c r="D69" s="214" t="s">
        <v>390</v>
      </c>
      <c r="E69" s="191"/>
      <c r="F69" s="192"/>
      <c r="G69" s="192"/>
      <c r="H69" s="193">
        <f t="shared" si="46"/>
        <v>0</v>
      </c>
      <c r="I69" s="194">
        <f t="shared" si="47"/>
        <v>0</v>
      </c>
      <c r="J69" s="191"/>
      <c r="K69" s="192"/>
      <c r="L69" s="192"/>
      <c r="M69" s="195">
        <f t="shared" si="48"/>
        <v>0</v>
      </c>
      <c r="N69" s="194">
        <f t="shared" si="49"/>
        <v>0</v>
      </c>
      <c r="O69" s="191"/>
      <c r="P69" s="192"/>
      <c r="Q69" s="192"/>
      <c r="R69" s="195">
        <f t="shared" si="50"/>
        <v>0</v>
      </c>
      <c r="S69" s="194">
        <f t="shared" si="51"/>
        <v>0</v>
      </c>
      <c r="T69" s="191"/>
      <c r="U69" s="192"/>
      <c r="V69" s="192"/>
      <c r="W69" s="195">
        <f t="shared" si="52"/>
        <v>0</v>
      </c>
      <c r="X69" s="194">
        <f t="shared" si="53"/>
        <v>0</v>
      </c>
      <c r="Y69" s="183">
        <f>H69+M69+R69+W69</f>
        <v>0</v>
      </c>
      <c r="Z69" s="205">
        <f>(VLOOKUP(B:B,[1]AppLists!M:O,3,FALSE))*$AB$2</f>
        <v>92.65</v>
      </c>
      <c r="AA69" s="184">
        <f>Y69*Z69</f>
        <v>0</v>
      </c>
    </row>
    <row r="70" spans="1:27" ht="30" customHeight="1" thickBot="1">
      <c r="A70" s="160" t="s">
        <v>395</v>
      </c>
      <c r="B70" s="161"/>
      <c r="C70" s="161"/>
      <c r="D70" s="161"/>
      <c r="E70" s="162"/>
      <c r="F70" s="162"/>
      <c r="G70" s="162"/>
      <c r="H70" s="162"/>
      <c r="I70" s="163"/>
      <c r="J70" s="162"/>
      <c r="K70" s="162"/>
      <c r="L70" s="162"/>
      <c r="M70" s="162"/>
      <c r="N70" s="163"/>
      <c r="O70" s="162"/>
      <c r="P70" s="162"/>
      <c r="Q70" s="162"/>
      <c r="R70" s="162"/>
      <c r="S70" s="163"/>
      <c r="T70" s="162"/>
      <c r="U70" s="162"/>
      <c r="V70" s="162"/>
      <c r="W70" s="162"/>
      <c r="X70" s="163"/>
      <c r="Y70" s="163"/>
      <c r="Z70" s="177"/>
      <c r="AA70" s="178"/>
    </row>
    <row r="71" spans="1:27" ht="28.35" customHeight="1">
      <c r="A71" s="207">
        <v>32</v>
      </c>
      <c r="B71" s="216" t="s">
        <v>396</v>
      </c>
      <c r="C71" s="168" t="s">
        <v>397</v>
      </c>
      <c r="D71" s="169" t="s">
        <v>398</v>
      </c>
      <c r="E71" s="191"/>
      <c r="F71" s="192"/>
      <c r="G71" s="192"/>
      <c r="H71" s="193">
        <f t="shared" ref="H71:H80" si="54">SUM(E71:G71)</f>
        <v>0</v>
      </c>
      <c r="I71" s="194">
        <f t="shared" ref="I71:I80" si="55">H71*Z71</f>
        <v>0</v>
      </c>
      <c r="J71" s="191"/>
      <c r="K71" s="192"/>
      <c r="L71" s="192"/>
      <c r="M71" s="195">
        <f t="shared" ref="M71:M80" si="56">SUM(J71:L71)</f>
        <v>0</v>
      </c>
      <c r="N71" s="194">
        <f t="shared" ref="N71:N80" si="57">M71*Z71</f>
        <v>0</v>
      </c>
      <c r="O71" s="191"/>
      <c r="P71" s="192"/>
      <c r="Q71" s="192"/>
      <c r="R71" s="195">
        <f t="shared" ref="R71:R80" si="58">SUM(O71:Q71)</f>
        <v>0</v>
      </c>
      <c r="S71" s="194">
        <f t="shared" ref="S71:S80" si="59">R71*Z71</f>
        <v>0</v>
      </c>
      <c r="T71" s="191"/>
      <c r="U71" s="192"/>
      <c r="V71" s="192"/>
      <c r="W71" s="195">
        <f t="shared" ref="W71:W80" si="60">SUM(T71:V71)</f>
        <v>0</v>
      </c>
      <c r="X71" s="194">
        <f t="shared" ref="X71:X80" si="61">W71*Z71</f>
        <v>0</v>
      </c>
      <c r="Y71" s="183">
        <f t="shared" ref="Y71:Y80" si="62">H71+M71+R71+W71</f>
        <v>0</v>
      </c>
      <c r="Z71" s="205">
        <f>(VLOOKUP(B:B,[1]AppLists!M:O,3,FALSE))*$AB$2</f>
        <v>50.118200000000002</v>
      </c>
      <c r="AA71" s="184">
        <f t="shared" ref="AA71:AA80" si="63">Y71*Z71</f>
        <v>0</v>
      </c>
    </row>
    <row r="72" spans="1:27" ht="28.35" customHeight="1">
      <c r="A72" s="206">
        <v>33</v>
      </c>
      <c r="B72" s="197" t="s">
        <v>399</v>
      </c>
      <c r="C72" s="198" t="s">
        <v>400</v>
      </c>
      <c r="D72" s="199" t="s">
        <v>334</v>
      </c>
      <c r="E72" s="191"/>
      <c r="F72" s="192">
        <v>0</v>
      </c>
      <c r="G72" s="192"/>
      <c r="H72" s="193">
        <f t="shared" si="54"/>
        <v>0</v>
      </c>
      <c r="I72" s="194">
        <f t="shared" si="55"/>
        <v>0</v>
      </c>
      <c r="J72" s="191"/>
      <c r="K72" s="192"/>
      <c r="L72" s="192"/>
      <c r="M72" s="195">
        <f t="shared" si="56"/>
        <v>0</v>
      </c>
      <c r="N72" s="194">
        <f t="shared" si="57"/>
        <v>0</v>
      </c>
      <c r="O72" s="191"/>
      <c r="P72" s="192"/>
      <c r="Q72" s="192"/>
      <c r="R72" s="195">
        <f t="shared" si="58"/>
        <v>0</v>
      </c>
      <c r="S72" s="194">
        <f t="shared" si="59"/>
        <v>0</v>
      </c>
      <c r="T72" s="191"/>
      <c r="U72" s="192"/>
      <c r="V72" s="192"/>
      <c r="W72" s="195">
        <f t="shared" si="60"/>
        <v>0</v>
      </c>
      <c r="X72" s="194">
        <f t="shared" si="61"/>
        <v>0</v>
      </c>
      <c r="Y72" s="183">
        <f t="shared" si="62"/>
        <v>0</v>
      </c>
      <c r="Z72" s="205">
        <f>(VLOOKUP(B:B,[1]AppLists!M:O,3,FALSE))*$AB$2</f>
        <v>21.6692</v>
      </c>
      <c r="AA72" s="184">
        <f t="shared" si="63"/>
        <v>0</v>
      </c>
    </row>
    <row r="73" spans="1:27" ht="28.35" customHeight="1">
      <c r="A73" s="215">
        <v>34</v>
      </c>
      <c r="B73" s="197" t="s">
        <v>401</v>
      </c>
      <c r="C73" s="198" t="s">
        <v>402</v>
      </c>
      <c r="D73" s="199" t="s">
        <v>334</v>
      </c>
      <c r="E73" s="191"/>
      <c r="F73" s="192">
        <v>0</v>
      </c>
      <c r="G73" s="192"/>
      <c r="H73" s="193">
        <f t="shared" si="54"/>
        <v>0</v>
      </c>
      <c r="I73" s="194">
        <f t="shared" si="55"/>
        <v>0</v>
      </c>
      <c r="J73" s="191"/>
      <c r="K73" s="192"/>
      <c r="L73" s="192"/>
      <c r="M73" s="195">
        <f t="shared" si="56"/>
        <v>0</v>
      </c>
      <c r="N73" s="194">
        <f t="shared" si="57"/>
        <v>0</v>
      </c>
      <c r="O73" s="191"/>
      <c r="P73" s="192"/>
      <c r="Q73" s="192"/>
      <c r="R73" s="195">
        <f t="shared" si="58"/>
        <v>0</v>
      </c>
      <c r="S73" s="194">
        <f t="shared" si="59"/>
        <v>0</v>
      </c>
      <c r="T73" s="191"/>
      <c r="U73" s="192"/>
      <c r="V73" s="192"/>
      <c r="W73" s="195">
        <f t="shared" si="60"/>
        <v>0</v>
      </c>
      <c r="X73" s="194">
        <f t="shared" si="61"/>
        <v>0</v>
      </c>
      <c r="Y73" s="183">
        <f t="shared" si="62"/>
        <v>0</v>
      </c>
      <c r="Z73" s="205">
        <f>(VLOOKUP(B:B,[1]AppLists!M:O,3,FALSE))*$AB$2</f>
        <v>21.015200000000004</v>
      </c>
      <c r="AA73" s="184">
        <f t="shared" si="63"/>
        <v>0</v>
      </c>
    </row>
    <row r="74" spans="1:27" ht="28.35" customHeight="1">
      <c r="A74" s="215">
        <v>35</v>
      </c>
      <c r="B74" s="197" t="s">
        <v>403</v>
      </c>
      <c r="C74" s="213" t="s">
        <v>404</v>
      </c>
      <c r="D74" s="214" t="s">
        <v>331</v>
      </c>
      <c r="E74" s="191"/>
      <c r="F74" s="192">
        <v>0</v>
      </c>
      <c r="G74" s="192"/>
      <c r="H74" s="193">
        <f t="shared" si="54"/>
        <v>0</v>
      </c>
      <c r="I74" s="194">
        <f t="shared" si="55"/>
        <v>0</v>
      </c>
      <c r="J74" s="191"/>
      <c r="K74" s="192"/>
      <c r="L74" s="192"/>
      <c r="M74" s="195">
        <f t="shared" si="56"/>
        <v>0</v>
      </c>
      <c r="N74" s="194">
        <f t="shared" si="57"/>
        <v>0</v>
      </c>
      <c r="O74" s="191"/>
      <c r="P74" s="192"/>
      <c r="Q74" s="192"/>
      <c r="R74" s="195">
        <f t="shared" si="58"/>
        <v>0</v>
      </c>
      <c r="S74" s="194">
        <f t="shared" si="59"/>
        <v>0</v>
      </c>
      <c r="T74" s="191"/>
      <c r="U74" s="192"/>
      <c r="V74" s="192"/>
      <c r="W74" s="195">
        <f t="shared" si="60"/>
        <v>0</v>
      </c>
      <c r="X74" s="194">
        <f t="shared" si="61"/>
        <v>0</v>
      </c>
      <c r="Y74" s="183">
        <f t="shared" si="62"/>
        <v>0</v>
      </c>
      <c r="Z74" s="205">
        <f>(VLOOKUP(B:B,[1]AppLists!M:O,3,FALSE))*$AB$2</f>
        <v>19.075000000000003</v>
      </c>
      <c r="AA74" s="184">
        <f t="shared" si="63"/>
        <v>0</v>
      </c>
    </row>
    <row r="75" spans="1:27" ht="28.35" customHeight="1">
      <c r="A75" s="206">
        <v>36</v>
      </c>
      <c r="B75" s="197" t="s">
        <v>405</v>
      </c>
      <c r="C75" s="198" t="s">
        <v>406</v>
      </c>
      <c r="D75" s="199" t="s">
        <v>331</v>
      </c>
      <c r="E75" s="191"/>
      <c r="F75" s="192"/>
      <c r="G75" s="192"/>
      <c r="H75" s="193">
        <f t="shared" si="54"/>
        <v>0</v>
      </c>
      <c r="I75" s="194">
        <f t="shared" si="55"/>
        <v>0</v>
      </c>
      <c r="J75" s="191"/>
      <c r="K75" s="192"/>
      <c r="L75" s="192"/>
      <c r="M75" s="195">
        <f t="shared" si="56"/>
        <v>0</v>
      </c>
      <c r="N75" s="194">
        <f t="shared" si="57"/>
        <v>0</v>
      </c>
      <c r="O75" s="191"/>
      <c r="P75" s="192"/>
      <c r="Q75" s="192"/>
      <c r="R75" s="195">
        <f t="shared" si="58"/>
        <v>0</v>
      </c>
      <c r="S75" s="194">
        <f t="shared" si="59"/>
        <v>0</v>
      </c>
      <c r="T75" s="191"/>
      <c r="U75" s="192"/>
      <c r="V75" s="192"/>
      <c r="W75" s="195">
        <f t="shared" si="60"/>
        <v>0</v>
      </c>
      <c r="X75" s="194">
        <f t="shared" si="61"/>
        <v>0</v>
      </c>
      <c r="Y75" s="183">
        <f t="shared" si="62"/>
        <v>0</v>
      </c>
      <c r="Z75" s="205">
        <f>(VLOOKUP(B:B,[1]AppLists!M:O,3,FALSE))*$AB$2</f>
        <v>57.77</v>
      </c>
      <c r="AA75" s="184">
        <f t="shared" si="63"/>
        <v>0</v>
      </c>
    </row>
    <row r="76" spans="1:27" ht="28.35" customHeight="1">
      <c r="A76" s="215">
        <v>37</v>
      </c>
      <c r="B76" s="197" t="s">
        <v>407</v>
      </c>
      <c r="C76" s="198" t="s">
        <v>408</v>
      </c>
      <c r="D76" s="199" t="s">
        <v>331</v>
      </c>
      <c r="E76" s="191"/>
      <c r="F76" s="192"/>
      <c r="G76" s="192"/>
      <c r="H76" s="193">
        <f t="shared" si="54"/>
        <v>0</v>
      </c>
      <c r="I76" s="194">
        <f t="shared" si="55"/>
        <v>0</v>
      </c>
      <c r="J76" s="191"/>
      <c r="K76" s="192"/>
      <c r="L76" s="192"/>
      <c r="M76" s="195">
        <f t="shared" si="56"/>
        <v>0</v>
      </c>
      <c r="N76" s="194">
        <f t="shared" si="57"/>
        <v>0</v>
      </c>
      <c r="O76" s="191"/>
      <c r="P76" s="192"/>
      <c r="Q76" s="192"/>
      <c r="R76" s="195">
        <f t="shared" si="58"/>
        <v>0</v>
      </c>
      <c r="S76" s="194">
        <f t="shared" si="59"/>
        <v>0</v>
      </c>
      <c r="T76" s="191"/>
      <c r="U76" s="192"/>
      <c r="V76" s="192"/>
      <c r="W76" s="195">
        <f t="shared" si="60"/>
        <v>0</v>
      </c>
      <c r="X76" s="194">
        <f t="shared" si="61"/>
        <v>0</v>
      </c>
      <c r="Y76" s="183">
        <f t="shared" si="62"/>
        <v>0</v>
      </c>
      <c r="Z76" s="205">
        <f>(VLOOKUP(B:B,[1]AppLists!M:O,3,FALSE))*$AB$2</f>
        <v>111.72500000000001</v>
      </c>
      <c r="AA76" s="184">
        <f t="shared" si="63"/>
        <v>0</v>
      </c>
    </row>
    <row r="77" spans="1:27" ht="28.35" customHeight="1">
      <c r="A77" s="215">
        <v>38</v>
      </c>
      <c r="B77" s="197" t="s">
        <v>409</v>
      </c>
      <c r="C77" s="198" t="s">
        <v>410</v>
      </c>
      <c r="D77" s="199" t="s">
        <v>331</v>
      </c>
      <c r="E77" s="191"/>
      <c r="F77" s="192"/>
      <c r="G77" s="192"/>
      <c r="H77" s="193">
        <f t="shared" si="54"/>
        <v>0</v>
      </c>
      <c r="I77" s="194">
        <f t="shared" si="55"/>
        <v>0</v>
      </c>
      <c r="J77" s="191"/>
      <c r="K77" s="192"/>
      <c r="L77" s="192"/>
      <c r="M77" s="195">
        <f t="shared" si="56"/>
        <v>0</v>
      </c>
      <c r="N77" s="194">
        <f t="shared" si="57"/>
        <v>0</v>
      </c>
      <c r="O77" s="191"/>
      <c r="P77" s="192"/>
      <c r="Q77" s="192"/>
      <c r="R77" s="195">
        <f t="shared" si="58"/>
        <v>0</v>
      </c>
      <c r="S77" s="194">
        <f t="shared" si="59"/>
        <v>0</v>
      </c>
      <c r="T77" s="191"/>
      <c r="U77" s="192"/>
      <c r="V77" s="192"/>
      <c r="W77" s="195">
        <f t="shared" si="60"/>
        <v>0</v>
      </c>
      <c r="X77" s="194">
        <f t="shared" si="61"/>
        <v>0</v>
      </c>
      <c r="Y77" s="183">
        <f t="shared" si="62"/>
        <v>0</v>
      </c>
      <c r="Z77" s="205">
        <f>(VLOOKUP(B:B,[1]AppLists!M:O,3,FALSE))*$AB$2</f>
        <v>19.075000000000003</v>
      </c>
      <c r="AA77" s="184">
        <f t="shared" si="63"/>
        <v>0</v>
      </c>
    </row>
    <row r="78" spans="1:27" ht="28.35" customHeight="1">
      <c r="A78" s="206">
        <v>39</v>
      </c>
      <c r="B78" s="197" t="s">
        <v>411</v>
      </c>
      <c r="C78" s="198" t="s">
        <v>412</v>
      </c>
      <c r="D78" s="199" t="s">
        <v>331</v>
      </c>
      <c r="E78" s="191"/>
      <c r="F78" s="192"/>
      <c r="G78" s="192"/>
      <c r="H78" s="193">
        <f t="shared" si="54"/>
        <v>0</v>
      </c>
      <c r="I78" s="194">
        <f t="shared" si="55"/>
        <v>0</v>
      </c>
      <c r="J78" s="191"/>
      <c r="K78" s="192"/>
      <c r="L78" s="192"/>
      <c r="M78" s="195">
        <f t="shared" si="56"/>
        <v>0</v>
      </c>
      <c r="N78" s="194">
        <f t="shared" si="57"/>
        <v>0</v>
      </c>
      <c r="O78" s="191"/>
      <c r="P78" s="192"/>
      <c r="Q78" s="192"/>
      <c r="R78" s="195">
        <f t="shared" si="58"/>
        <v>0</v>
      </c>
      <c r="S78" s="194">
        <f t="shared" si="59"/>
        <v>0</v>
      </c>
      <c r="T78" s="191"/>
      <c r="U78" s="192"/>
      <c r="V78" s="192"/>
      <c r="W78" s="195">
        <f t="shared" si="60"/>
        <v>0</v>
      </c>
      <c r="X78" s="194">
        <f t="shared" si="61"/>
        <v>0</v>
      </c>
      <c r="Y78" s="183">
        <f t="shared" si="62"/>
        <v>0</v>
      </c>
      <c r="Z78" s="205">
        <f>(VLOOKUP(B:B,[1]AppLists!M:O,3,FALSE))*$AB$2</f>
        <v>9.5375000000000014</v>
      </c>
      <c r="AA78" s="184">
        <f t="shared" si="63"/>
        <v>0</v>
      </c>
    </row>
    <row r="79" spans="1:27" ht="28.35" customHeight="1">
      <c r="A79" s="215">
        <v>40</v>
      </c>
      <c r="B79" s="197" t="s">
        <v>413</v>
      </c>
      <c r="C79" s="198" t="s">
        <v>414</v>
      </c>
      <c r="D79" s="199" t="s">
        <v>331</v>
      </c>
      <c r="E79" s="191"/>
      <c r="F79" s="192"/>
      <c r="G79" s="192"/>
      <c r="H79" s="193">
        <f t="shared" si="54"/>
        <v>0</v>
      </c>
      <c r="I79" s="194">
        <f t="shared" si="55"/>
        <v>0</v>
      </c>
      <c r="J79" s="191"/>
      <c r="K79" s="192"/>
      <c r="L79" s="192"/>
      <c r="M79" s="195">
        <f t="shared" si="56"/>
        <v>0</v>
      </c>
      <c r="N79" s="194">
        <f t="shared" si="57"/>
        <v>0</v>
      </c>
      <c r="O79" s="191"/>
      <c r="P79" s="192"/>
      <c r="Q79" s="192"/>
      <c r="R79" s="195">
        <f t="shared" si="58"/>
        <v>0</v>
      </c>
      <c r="S79" s="194">
        <f t="shared" si="59"/>
        <v>0</v>
      </c>
      <c r="T79" s="191"/>
      <c r="U79" s="192"/>
      <c r="V79" s="192"/>
      <c r="W79" s="195">
        <f t="shared" si="60"/>
        <v>0</v>
      </c>
      <c r="X79" s="194">
        <f t="shared" si="61"/>
        <v>0</v>
      </c>
      <c r="Y79" s="183">
        <f t="shared" si="62"/>
        <v>0</v>
      </c>
      <c r="Z79" s="205">
        <f>(VLOOKUP(B:B,[1]AppLists!M:O,3,FALSE))*$AB$2</f>
        <v>19.075000000000003</v>
      </c>
      <c r="AA79" s="184">
        <f t="shared" si="63"/>
        <v>0</v>
      </c>
    </row>
    <row r="80" spans="1:27" ht="28.35" customHeight="1" thickBot="1">
      <c r="A80" s="215">
        <v>41</v>
      </c>
      <c r="B80" s="197" t="s">
        <v>415</v>
      </c>
      <c r="C80" s="198" t="s">
        <v>416</v>
      </c>
      <c r="D80" s="199" t="s">
        <v>331</v>
      </c>
      <c r="E80" s="191"/>
      <c r="F80" s="192"/>
      <c r="G80" s="192"/>
      <c r="H80" s="193">
        <f t="shared" si="54"/>
        <v>0</v>
      </c>
      <c r="I80" s="194">
        <f t="shared" si="55"/>
        <v>0</v>
      </c>
      <c r="J80" s="191"/>
      <c r="K80" s="192"/>
      <c r="L80" s="192"/>
      <c r="M80" s="195">
        <f t="shared" si="56"/>
        <v>0</v>
      </c>
      <c r="N80" s="194">
        <f t="shared" si="57"/>
        <v>0</v>
      </c>
      <c r="O80" s="191"/>
      <c r="P80" s="192"/>
      <c r="Q80" s="192"/>
      <c r="R80" s="195">
        <f t="shared" si="58"/>
        <v>0</v>
      </c>
      <c r="S80" s="194">
        <f t="shared" si="59"/>
        <v>0</v>
      </c>
      <c r="T80" s="191"/>
      <c r="U80" s="192"/>
      <c r="V80" s="192"/>
      <c r="W80" s="195">
        <f t="shared" si="60"/>
        <v>0</v>
      </c>
      <c r="X80" s="194">
        <f t="shared" si="61"/>
        <v>0</v>
      </c>
      <c r="Y80" s="183">
        <f t="shared" si="62"/>
        <v>0</v>
      </c>
      <c r="Z80" s="205">
        <f>(VLOOKUP(B:B,[1]AppLists!M:O,3,FALSE))*$AB$2</f>
        <v>53.410000000000004</v>
      </c>
      <c r="AA80" s="184">
        <f t="shared" si="63"/>
        <v>0</v>
      </c>
    </row>
    <row r="81" spans="1:27" ht="30" customHeight="1" thickBot="1">
      <c r="A81" s="217" t="s">
        <v>417</v>
      </c>
      <c r="B81" s="218"/>
      <c r="C81" s="219"/>
      <c r="D81" s="219"/>
      <c r="E81" s="162"/>
      <c r="F81" s="162"/>
      <c r="G81" s="162"/>
      <c r="H81" s="162"/>
      <c r="I81" s="163"/>
      <c r="J81" s="162"/>
      <c r="K81" s="162"/>
      <c r="L81" s="162"/>
      <c r="M81" s="162"/>
      <c r="N81" s="163"/>
      <c r="O81" s="162"/>
      <c r="P81" s="162"/>
      <c r="Q81" s="162"/>
      <c r="R81" s="162"/>
      <c r="S81" s="163"/>
      <c r="T81" s="162"/>
      <c r="U81" s="162"/>
      <c r="V81" s="162"/>
      <c r="W81" s="162"/>
      <c r="X81" s="163"/>
      <c r="Y81" s="163"/>
      <c r="Z81" s="177"/>
      <c r="AA81" s="178"/>
    </row>
    <row r="82" spans="1:27" ht="28.35" customHeight="1">
      <c r="A82" s="179">
        <v>42</v>
      </c>
      <c r="B82" s="197" t="s">
        <v>418</v>
      </c>
      <c r="C82" s="181" t="s">
        <v>419</v>
      </c>
      <c r="D82" s="199" t="s">
        <v>420</v>
      </c>
      <c r="E82" s="191"/>
      <c r="F82" s="192"/>
      <c r="G82" s="192"/>
      <c r="H82" s="193">
        <f t="shared" ref="H82:H85" si="64">SUM(E82:G82)</f>
        <v>0</v>
      </c>
      <c r="I82" s="194">
        <f t="shared" ref="I82:I85" si="65">H82*Z82</f>
        <v>0</v>
      </c>
      <c r="J82" s="191"/>
      <c r="K82" s="192"/>
      <c r="L82" s="192"/>
      <c r="M82" s="195">
        <f t="shared" ref="M82:M85" si="66">SUM(J82:L82)</f>
        <v>0</v>
      </c>
      <c r="N82" s="194">
        <f t="shared" ref="N82:N85" si="67">M82*Z82</f>
        <v>0</v>
      </c>
      <c r="O82" s="191"/>
      <c r="P82" s="192"/>
      <c r="Q82" s="192"/>
      <c r="R82" s="195">
        <f t="shared" ref="R82:R85" si="68">SUM(O82:Q82)</f>
        <v>0</v>
      </c>
      <c r="S82" s="194">
        <f t="shared" ref="S82:S85" si="69">R82*Z82</f>
        <v>0</v>
      </c>
      <c r="T82" s="191"/>
      <c r="U82" s="192"/>
      <c r="V82" s="192"/>
      <c r="W82" s="195">
        <f t="shared" ref="W82:W85" si="70">SUM(T82:V82)</f>
        <v>0</v>
      </c>
      <c r="X82" s="194">
        <f t="shared" ref="X82:X85" si="71">W82*Z82</f>
        <v>0</v>
      </c>
      <c r="Y82" s="183">
        <f>H82+M82+R82+W82</f>
        <v>0</v>
      </c>
      <c r="Z82" s="205">
        <f>(VLOOKUP(B:B,[1]AppLists!M:O,3,FALSE))*$AB$2</f>
        <v>1021.33</v>
      </c>
      <c r="AA82" s="184">
        <f>Y82*Z82</f>
        <v>0</v>
      </c>
    </row>
    <row r="83" spans="1:27" ht="28.35" customHeight="1">
      <c r="A83" s="206">
        <v>43</v>
      </c>
      <c r="B83" s="197" t="s">
        <v>421</v>
      </c>
      <c r="C83" s="181" t="s">
        <v>422</v>
      </c>
      <c r="D83" s="199" t="s">
        <v>420</v>
      </c>
      <c r="E83" s="191"/>
      <c r="F83" s="192"/>
      <c r="G83" s="192"/>
      <c r="H83" s="193">
        <f t="shared" si="64"/>
        <v>0</v>
      </c>
      <c r="I83" s="194">
        <f t="shared" si="65"/>
        <v>0</v>
      </c>
      <c r="J83" s="191"/>
      <c r="K83" s="192"/>
      <c r="L83" s="192"/>
      <c r="M83" s="195">
        <f t="shared" si="66"/>
        <v>0</v>
      </c>
      <c r="N83" s="194">
        <f t="shared" si="67"/>
        <v>0</v>
      </c>
      <c r="O83" s="191"/>
      <c r="P83" s="192"/>
      <c r="Q83" s="192"/>
      <c r="R83" s="195">
        <f t="shared" si="68"/>
        <v>0</v>
      </c>
      <c r="S83" s="194">
        <f t="shared" si="69"/>
        <v>0</v>
      </c>
      <c r="T83" s="191"/>
      <c r="U83" s="192"/>
      <c r="V83" s="192"/>
      <c r="W83" s="195">
        <f t="shared" si="70"/>
        <v>0</v>
      </c>
      <c r="X83" s="194">
        <f t="shared" si="71"/>
        <v>0</v>
      </c>
      <c r="Y83" s="183">
        <f>H83+M83+R83+W83</f>
        <v>0</v>
      </c>
      <c r="Z83" s="205">
        <f>(VLOOKUP(B:B,[1]AppLists!M:O,3,FALSE))*$AB$2</f>
        <v>1250.23</v>
      </c>
      <c r="AA83" s="184">
        <f>Y83*Z83</f>
        <v>0</v>
      </c>
    </row>
    <row r="84" spans="1:27" ht="28.35" customHeight="1">
      <c r="A84" s="179">
        <v>44</v>
      </c>
      <c r="B84" s="197" t="s">
        <v>423</v>
      </c>
      <c r="C84" s="181" t="s">
        <v>424</v>
      </c>
      <c r="D84" s="199" t="s">
        <v>420</v>
      </c>
      <c r="E84" s="191"/>
      <c r="F84" s="192"/>
      <c r="G84" s="192"/>
      <c r="H84" s="193">
        <f t="shared" si="64"/>
        <v>0</v>
      </c>
      <c r="I84" s="194">
        <f t="shared" si="65"/>
        <v>0</v>
      </c>
      <c r="J84" s="191"/>
      <c r="K84" s="192"/>
      <c r="L84" s="192"/>
      <c r="M84" s="195">
        <f t="shared" si="66"/>
        <v>0</v>
      </c>
      <c r="N84" s="194">
        <f t="shared" si="67"/>
        <v>0</v>
      </c>
      <c r="O84" s="191"/>
      <c r="P84" s="192"/>
      <c r="Q84" s="192"/>
      <c r="R84" s="195">
        <f t="shared" si="68"/>
        <v>0</v>
      </c>
      <c r="S84" s="194">
        <f t="shared" si="69"/>
        <v>0</v>
      </c>
      <c r="T84" s="191"/>
      <c r="U84" s="192"/>
      <c r="V84" s="192"/>
      <c r="W84" s="195">
        <f t="shared" si="70"/>
        <v>0</v>
      </c>
      <c r="X84" s="194">
        <f t="shared" si="71"/>
        <v>0</v>
      </c>
      <c r="Y84" s="183">
        <f>H84+M84+R84+W84</f>
        <v>0</v>
      </c>
      <c r="Z84" s="205">
        <f>(VLOOKUP(B:B,[1]AppLists!M:O,3,FALSE))*$AB$2</f>
        <v>1054.7712000000001</v>
      </c>
      <c r="AA84" s="184">
        <f>Y84*Z84</f>
        <v>0</v>
      </c>
    </row>
    <row r="85" spans="1:27" ht="28.35" customHeight="1" thickBot="1">
      <c r="A85" s="201">
        <v>45</v>
      </c>
      <c r="B85" s="185" t="s">
        <v>425</v>
      </c>
      <c r="C85" s="168" t="s">
        <v>426</v>
      </c>
      <c r="D85" s="187" t="s">
        <v>420</v>
      </c>
      <c r="E85" s="191"/>
      <c r="F85" s="192"/>
      <c r="G85" s="192"/>
      <c r="H85" s="193">
        <f t="shared" si="64"/>
        <v>0</v>
      </c>
      <c r="I85" s="194">
        <f t="shared" si="65"/>
        <v>0</v>
      </c>
      <c r="J85" s="191"/>
      <c r="K85" s="192"/>
      <c r="L85" s="192"/>
      <c r="M85" s="195">
        <f t="shared" si="66"/>
        <v>0</v>
      </c>
      <c r="N85" s="194">
        <f t="shared" si="67"/>
        <v>0</v>
      </c>
      <c r="O85" s="191"/>
      <c r="P85" s="192"/>
      <c r="Q85" s="192"/>
      <c r="R85" s="195">
        <f t="shared" si="68"/>
        <v>0</v>
      </c>
      <c r="S85" s="194">
        <f t="shared" si="69"/>
        <v>0</v>
      </c>
      <c r="T85" s="191"/>
      <c r="U85" s="192"/>
      <c r="V85" s="192"/>
      <c r="W85" s="195">
        <f t="shared" si="70"/>
        <v>0</v>
      </c>
      <c r="X85" s="194">
        <f t="shared" si="71"/>
        <v>0</v>
      </c>
      <c r="Y85" s="173">
        <f>H85+M85+R85+W85</f>
        <v>0</v>
      </c>
      <c r="Z85" s="175">
        <f>(VLOOKUP(B:B,[1]AppLists!M:O,3,FALSE))*$AB$2</f>
        <v>701.851</v>
      </c>
      <c r="AA85" s="176">
        <f>Y85*Z85</f>
        <v>0</v>
      </c>
    </row>
    <row r="86" spans="1:27" ht="30" customHeight="1" thickBot="1">
      <c r="A86" s="160" t="s">
        <v>427</v>
      </c>
      <c r="B86" s="161"/>
      <c r="C86" s="161"/>
      <c r="D86" s="161"/>
      <c r="E86" s="162"/>
      <c r="F86" s="162"/>
      <c r="G86" s="162"/>
      <c r="H86" s="162"/>
      <c r="I86" s="163"/>
      <c r="J86" s="162"/>
      <c r="K86" s="162"/>
      <c r="L86" s="162"/>
      <c r="M86" s="162"/>
      <c r="N86" s="163"/>
      <c r="O86" s="162"/>
      <c r="P86" s="162"/>
      <c r="Q86" s="162"/>
      <c r="R86" s="162"/>
      <c r="S86" s="163"/>
      <c r="T86" s="162"/>
      <c r="U86" s="162"/>
      <c r="V86" s="162"/>
      <c r="W86" s="162"/>
      <c r="X86" s="163"/>
      <c r="Y86" s="163"/>
      <c r="Z86" s="177"/>
      <c r="AA86" s="178"/>
    </row>
    <row r="87" spans="1:27" ht="28.35" customHeight="1">
      <c r="A87" s="207">
        <v>46</v>
      </c>
      <c r="B87" s="208" t="s">
        <v>428</v>
      </c>
      <c r="C87" s="209" t="s">
        <v>429</v>
      </c>
      <c r="D87" s="210" t="s">
        <v>364</v>
      </c>
      <c r="E87" s="191"/>
      <c r="F87" s="192"/>
      <c r="G87" s="192"/>
      <c r="H87" s="193">
        <f t="shared" ref="H87:H88" si="72">SUM(E87:G87)</f>
        <v>0</v>
      </c>
      <c r="I87" s="194">
        <f t="shared" ref="I87:I88" si="73">H87*Z87</f>
        <v>0</v>
      </c>
      <c r="J87" s="191"/>
      <c r="K87" s="192"/>
      <c r="L87" s="192"/>
      <c r="M87" s="195">
        <f t="shared" ref="M87:M88" si="74">SUM(J87:L87)</f>
        <v>0</v>
      </c>
      <c r="N87" s="194">
        <f t="shared" ref="N87:N88" si="75">M87*Z87</f>
        <v>0</v>
      </c>
      <c r="O87" s="191"/>
      <c r="P87" s="192"/>
      <c r="Q87" s="192"/>
      <c r="R87" s="195">
        <f t="shared" ref="R87:R88" si="76">SUM(O87:Q87)</f>
        <v>0</v>
      </c>
      <c r="S87" s="194">
        <f t="shared" ref="S87:S88" si="77">R87*Z87</f>
        <v>0</v>
      </c>
      <c r="T87" s="191"/>
      <c r="U87" s="192"/>
      <c r="V87" s="192"/>
      <c r="W87" s="195">
        <f t="shared" ref="W87:W88" si="78">SUM(T87:V87)</f>
        <v>0</v>
      </c>
      <c r="X87" s="194">
        <f t="shared" ref="X87:X88" si="79">W87*Z87</f>
        <v>0</v>
      </c>
      <c r="Y87" s="183">
        <f>H87+M87+R87+W87</f>
        <v>0</v>
      </c>
      <c r="Z87" s="205">
        <f>(VLOOKUP(B:B,[1]AppLists!M:O,3,FALSE))*$AB$2</f>
        <v>42.510000000000005</v>
      </c>
      <c r="AA87" s="184">
        <f t="shared" ref="AA87:AA88" si="80">Y87*Z87</f>
        <v>0</v>
      </c>
    </row>
    <row r="88" spans="1:27" ht="28.35" customHeight="1" thickBot="1">
      <c r="A88" s="211">
        <v>47</v>
      </c>
      <c r="B88" s="212" t="s">
        <v>430</v>
      </c>
      <c r="C88" s="213" t="s">
        <v>431</v>
      </c>
      <c r="D88" s="214" t="s">
        <v>364</v>
      </c>
      <c r="E88" s="191"/>
      <c r="F88" s="192"/>
      <c r="G88" s="192"/>
      <c r="H88" s="193">
        <f t="shared" si="72"/>
        <v>0</v>
      </c>
      <c r="I88" s="194">
        <f t="shared" si="73"/>
        <v>0</v>
      </c>
      <c r="J88" s="191"/>
      <c r="K88" s="192"/>
      <c r="L88" s="192"/>
      <c r="M88" s="195">
        <f t="shared" si="74"/>
        <v>0</v>
      </c>
      <c r="N88" s="194">
        <f t="shared" si="75"/>
        <v>0</v>
      </c>
      <c r="O88" s="191"/>
      <c r="P88" s="192"/>
      <c r="Q88" s="192"/>
      <c r="R88" s="195">
        <f t="shared" si="76"/>
        <v>0</v>
      </c>
      <c r="S88" s="194">
        <f t="shared" si="77"/>
        <v>0</v>
      </c>
      <c r="T88" s="191"/>
      <c r="U88" s="192"/>
      <c r="V88" s="192"/>
      <c r="W88" s="195">
        <f t="shared" si="78"/>
        <v>0</v>
      </c>
      <c r="X88" s="194">
        <f t="shared" si="79"/>
        <v>0</v>
      </c>
      <c r="Y88" s="183">
        <f t="shared" ref="Y88" si="81">H88+M88+R88+W88</f>
        <v>0</v>
      </c>
      <c r="Z88" s="205">
        <f>(VLOOKUP(B:B,[1]AppLists!M:O,3,FALSE))*$AB$2</f>
        <v>75.973000000000013</v>
      </c>
      <c r="AA88" s="184">
        <f t="shared" si="80"/>
        <v>0</v>
      </c>
    </row>
    <row r="89" spans="1:27" ht="30" customHeight="1" thickBot="1">
      <c r="A89" s="160" t="s">
        <v>432</v>
      </c>
      <c r="B89" s="161"/>
      <c r="C89" s="161"/>
      <c r="D89" s="161"/>
      <c r="E89" s="162"/>
      <c r="F89" s="162"/>
      <c r="G89" s="162"/>
      <c r="H89" s="162"/>
      <c r="I89" s="163"/>
      <c r="J89" s="162"/>
      <c r="K89" s="162"/>
      <c r="L89" s="162"/>
      <c r="M89" s="162"/>
      <c r="N89" s="163"/>
      <c r="O89" s="162"/>
      <c r="P89" s="162"/>
      <c r="Q89" s="162"/>
      <c r="R89" s="162"/>
      <c r="S89" s="163"/>
      <c r="T89" s="162"/>
      <c r="U89" s="162"/>
      <c r="V89" s="162"/>
      <c r="W89" s="162"/>
      <c r="X89" s="163"/>
      <c r="Y89" s="163"/>
      <c r="Z89" s="177"/>
      <c r="AA89" s="178"/>
    </row>
    <row r="90" spans="1:27" ht="28.35" customHeight="1" thickBot="1">
      <c r="A90" s="179">
        <v>48</v>
      </c>
      <c r="B90" s="180" t="s">
        <v>433</v>
      </c>
      <c r="C90" s="181" t="s">
        <v>434</v>
      </c>
      <c r="D90" s="182" t="s">
        <v>364</v>
      </c>
      <c r="E90" s="191"/>
      <c r="F90" s="192"/>
      <c r="G90" s="192">
        <v>0</v>
      </c>
      <c r="H90" s="193">
        <f t="shared" ref="H90" si="82">SUM(E90:G90)</f>
        <v>0</v>
      </c>
      <c r="I90" s="194">
        <f t="shared" ref="I90" si="83">H90*Z90</f>
        <v>0</v>
      </c>
      <c r="J90" s="191"/>
      <c r="K90" s="192"/>
      <c r="L90" s="192"/>
      <c r="M90" s="195">
        <f t="shared" ref="M90" si="84">SUM(J90:L90)</f>
        <v>0</v>
      </c>
      <c r="N90" s="194">
        <f t="shared" ref="N90" si="85">M90*Z90</f>
        <v>0</v>
      </c>
      <c r="O90" s="191"/>
      <c r="P90" s="192"/>
      <c r="Q90" s="192"/>
      <c r="R90" s="195">
        <f t="shared" ref="R90" si="86">SUM(O90:Q90)</f>
        <v>0</v>
      </c>
      <c r="S90" s="194">
        <f t="shared" ref="S90" si="87">R90*Z90</f>
        <v>0</v>
      </c>
      <c r="T90" s="191"/>
      <c r="U90" s="192"/>
      <c r="V90" s="192"/>
      <c r="W90" s="195">
        <f t="shared" ref="W90" si="88">SUM(T90:V90)</f>
        <v>0</v>
      </c>
      <c r="X90" s="194">
        <f t="shared" ref="X90" si="89">W90*Z90</f>
        <v>0</v>
      </c>
      <c r="Y90" s="183">
        <f t="shared" ref="Y90" si="90">H90+M90+R90+W90</f>
        <v>0</v>
      </c>
      <c r="Z90" s="205">
        <f>(VLOOKUP(B:B,[1]AppLists!M:O,3,FALSE))*$AB$2</f>
        <v>16.219200000000001</v>
      </c>
      <c r="AA90" s="184">
        <f t="shared" ref="AA90" si="91">Y90*Z90</f>
        <v>0</v>
      </c>
    </row>
    <row r="91" spans="1:27" ht="30" customHeight="1" thickBot="1">
      <c r="A91" s="160" t="s">
        <v>435</v>
      </c>
      <c r="B91" s="161"/>
      <c r="C91" s="161"/>
      <c r="D91" s="161"/>
      <c r="E91" s="162"/>
      <c r="F91" s="162"/>
      <c r="G91" s="162"/>
      <c r="H91" s="162"/>
      <c r="I91" s="163"/>
      <c r="J91" s="162"/>
      <c r="K91" s="162"/>
      <c r="L91" s="162"/>
      <c r="M91" s="162"/>
      <c r="N91" s="163"/>
      <c r="O91" s="162"/>
      <c r="P91" s="162"/>
      <c r="Q91" s="162"/>
      <c r="R91" s="162"/>
      <c r="S91" s="163"/>
      <c r="T91" s="162"/>
      <c r="U91" s="162"/>
      <c r="V91" s="162"/>
      <c r="W91" s="162"/>
      <c r="X91" s="163"/>
      <c r="Y91" s="163"/>
      <c r="Z91" s="177"/>
      <c r="AA91" s="178"/>
    </row>
    <row r="92" spans="1:27" ht="28.35" customHeight="1">
      <c r="A92" s="179">
        <v>49</v>
      </c>
      <c r="B92" s="180" t="s">
        <v>436</v>
      </c>
      <c r="C92" s="181" t="s">
        <v>437</v>
      </c>
      <c r="D92" s="182" t="s">
        <v>320</v>
      </c>
      <c r="E92" s="191"/>
      <c r="F92" s="192">
        <v>0</v>
      </c>
      <c r="G92" s="192"/>
      <c r="H92" s="193">
        <f t="shared" ref="H92:H109" si="92">SUM(E92:G92)</f>
        <v>0</v>
      </c>
      <c r="I92" s="194">
        <f t="shared" ref="I92:I109" si="93">H92*Z92</f>
        <v>0</v>
      </c>
      <c r="J92" s="191"/>
      <c r="K92" s="192"/>
      <c r="L92" s="192"/>
      <c r="M92" s="195">
        <f t="shared" ref="M92:M109" si="94">SUM(J92:L92)</f>
        <v>0</v>
      </c>
      <c r="N92" s="194">
        <f t="shared" ref="N92:N109" si="95">M92*Z92</f>
        <v>0</v>
      </c>
      <c r="O92" s="191"/>
      <c r="P92" s="192"/>
      <c r="Q92" s="192"/>
      <c r="R92" s="195">
        <f t="shared" ref="R92:R109" si="96">SUM(O92:Q92)</f>
        <v>0</v>
      </c>
      <c r="S92" s="194">
        <f t="shared" ref="S92:S109" si="97">R92*Z92</f>
        <v>0</v>
      </c>
      <c r="T92" s="191"/>
      <c r="U92" s="192"/>
      <c r="V92" s="192"/>
      <c r="W92" s="195">
        <f t="shared" ref="W92:W109" si="98">SUM(T92:V92)</f>
        <v>0</v>
      </c>
      <c r="X92" s="194">
        <f t="shared" ref="X92:X109" si="99">W92*Z92</f>
        <v>0</v>
      </c>
      <c r="Y92" s="183">
        <f t="shared" ref="Y92:Y109" si="100">H92+M92+R92+W92</f>
        <v>0</v>
      </c>
      <c r="Z92" s="205">
        <f>(VLOOKUP(B:B,[1]AppLists!M:O,3,FALSE))*$AB$2</f>
        <v>90.197500000000005</v>
      </c>
      <c r="AA92" s="184">
        <f t="shared" ref="AA92:AA109" si="101">Y92*Z92</f>
        <v>0</v>
      </c>
    </row>
    <row r="93" spans="1:27" ht="28.35" customHeight="1">
      <c r="A93" s="206">
        <v>50</v>
      </c>
      <c r="B93" s="215" t="s">
        <v>438</v>
      </c>
      <c r="C93" s="198" t="s">
        <v>439</v>
      </c>
      <c r="D93" s="195" t="s">
        <v>364</v>
      </c>
      <c r="E93" s="191"/>
      <c r="F93" s="192"/>
      <c r="G93" s="192"/>
      <c r="H93" s="193">
        <f t="shared" si="92"/>
        <v>0</v>
      </c>
      <c r="I93" s="194">
        <f t="shared" si="93"/>
        <v>0</v>
      </c>
      <c r="J93" s="191"/>
      <c r="K93" s="192"/>
      <c r="L93" s="192"/>
      <c r="M93" s="195">
        <f t="shared" si="94"/>
        <v>0</v>
      </c>
      <c r="N93" s="194">
        <f t="shared" si="95"/>
        <v>0</v>
      </c>
      <c r="O93" s="191"/>
      <c r="P93" s="192"/>
      <c r="Q93" s="192"/>
      <c r="R93" s="195">
        <f t="shared" si="96"/>
        <v>0</v>
      </c>
      <c r="S93" s="194">
        <f t="shared" si="97"/>
        <v>0</v>
      </c>
      <c r="T93" s="191"/>
      <c r="U93" s="192"/>
      <c r="V93" s="192"/>
      <c r="W93" s="195">
        <f t="shared" si="98"/>
        <v>0</v>
      </c>
      <c r="X93" s="194">
        <f t="shared" si="99"/>
        <v>0</v>
      </c>
      <c r="Y93" s="183">
        <f t="shared" si="100"/>
        <v>0</v>
      </c>
      <c r="Z93" s="205">
        <f>(VLOOKUP(B:B,[1]AppLists!M:O,3,FALSE))*$AB$2</f>
        <v>136.25</v>
      </c>
      <c r="AA93" s="184">
        <f t="shared" si="101"/>
        <v>0</v>
      </c>
    </row>
    <row r="94" spans="1:27" ht="28.35" customHeight="1">
      <c r="A94" s="206">
        <v>51</v>
      </c>
      <c r="B94" s="180" t="s">
        <v>440</v>
      </c>
      <c r="C94" s="181" t="s">
        <v>441</v>
      </c>
      <c r="D94" s="220" t="s">
        <v>364</v>
      </c>
      <c r="E94" s="191"/>
      <c r="F94" s="192"/>
      <c r="G94" s="192"/>
      <c r="H94" s="193">
        <f t="shared" si="92"/>
        <v>0</v>
      </c>
      <c r="I94" s="194">
        <f t="shared" si="93"/>
        <v>0</v>
      </c>
      <c r="J94" s="191"/>
      <c r="K94" s="192"/>
      <c r="L94" s="192"/>
      <c r="M94" s="195">
        <f t="shared" si="94"/>
        <v>0</v>
      </c>
      <c r="N94" s="194">
        <f t="shared" si="95"/>
        <v>0</v>
      </c>
      <c r="O94" s="191"/>
      <c r="P94" s="192"/>
      <c r="Q94" s="192"/>
      <c r="R94" s="195">
        <f t="shared" si="96"/>
        <v>0</v>
      </c>
      <c r="S94" s="194">
        <f t="shared" si="97"/>
        <v>0</v>
      </c>
      <c r="T94" s="191"/>
      <c r="U94" s="192"/>
      <c r="V94" s="192"/>
      <c r="W94" s="195">
        <f t="shared" si="98"/>
        <v>0</v>
      </c>
      <c r="X94" s="194">
        <f t="shared" si="99"/>
        <v>0</v>
      </c>
      <c r="Y94" s="183">
        <f t="shared" si="100"/>
        <v>0</v>
      </c>
      <c r="Z94" s="205">
        <f>(VLOOKUP(B:B,[1]AppLists!M:O,3,FALSE))*$AB$2</f>
        <v>32.045999999999999</v>
      </c>
      <c r="AA94" s="184">
        <f t="shared" si="101"/>
        <v>0</v>
      </c>
    </row>
    <row r="95" spans="1:27" ht="28.35" customHeight="1">
      <c r="A95" s="206">
        <v>52</v>
      </c>
      <c r="B95" s="197" t="s">
        <v>442</v>
      </c>
      <c r="C95" s="198" t="s">
        <v>443</v>
      </c>
      <c r="D95" s="199" t="s">
        <v>324</v>
      </c>
      <c r="E95" s="191"/>
      <c r="F95" s="192"/>
      <c r="G95" s="192"/>
      <c r="H95" s="193">
        <f t="shared" si="92"/>
        <v>0</v>
      </c>
      <c r="I95" s="194">
        <f t="shared" si="93"/>
        <v>0</v>
      </c>
      <c r="J95" s="191"/>
      <c r="K95" s="192"/>
      <c r="L95" s="192"/>
      <c r="M95" s="195">
        <f t="shared" si="94"/>
        <v>0</v>
      </c>
      <c r="N95" s="194">
        <f t="shared" si="95"/>
        <v>0</v>
      </c>
      <c r="O95" s="191"/>
      <c r="P95" s="192"/>
      <c r="Q95" s="192"/>
      <c r="R95" s="195">
        <f t="shared" si="96"/>
        <v>0</v>
      </c>
      <c r="S95" s="194">
        <f t="shared" si="97"/>
        <v>0</v>
      </c>
      <c r="T95" s="191"/>
      <c r="U95" s="192"/>
      <c r="V95" s="192"/>
      <c r="W95" s="195">
        <f t="shared" si="98"/>
        <v>0</v>
      </c>
      <c r="X95" s="194">
        <f t="shared" si="99"/>
        <v>0</v>
      </c>
      <c r="Y95" s="183">
        <f t="shared" si="100"/>
        <v>0</v>
      </c>
      <c r="Z95" s="205">
        <f>(VLOOKUP(B:B,[1]AppLists!M:O,3,FALSE))*$AB$2</f>
        <v>43.6</v>
      </c>
      <c r="AA95" s="184">
        <f t="shared" si="101"/>
        <v>0</v>
      </c>
    </row>
    <row r="96" spans="1:27" ht="28.35" customHeight="1">
      <c r="A96" s="206">
        <v>53</v>
      </c>
      <c r="B96" s="197" t="s">
        <v>444</v>
      </c>
      <c r="C96" s="198" t="s">
        <v>445</v>
      </c>
      <c r="D96" s="199" t="s">
        <v>446</v>
      </c>
      <c r="E96" s="191"/>
      <c r="F96" s="192"/>
      <c r="G96" s="192"/>
      <c r="H96" s="193">
        <f t="shared" si="92"/>
        <v>0</v>
      </c>
      <c r="I96" s="194">
        <f t="shared" si="93"/>
        <v>0</v>
      </c>
      <c r="J96" s="191"/>
      <c r="K96" s="192"/>
      <c r="L96" s="192"/>
      <c r="M96" s="195">
        <f t="shared" si="94"/>
        <v>0</v>
      </c>
      <c r="N96" s="194">
        <f t="shared" si="95"/>
        <v>0</v>
      </c>
      <c r="O96" s="191"/>
      <c r="P96" s="192"/>
      <c r="Q96" s="192"/>
      <c r="R96" s="195">
        <f t="shared" si="96"/>
        <v>0</v>
      </c>
      <c r="S96" s="194">
        <f t="shared" si="97"/>
        <v>0</v>
      </c>
      <c r="T96" s="191"/>
      <c r="U96" s="192"/>
      <c r="V96" s="192"/>
      <c r="W96" s="195">
        <f t="shared" si="98"/>
        <v>0</v>
      </c>
      <c r="X96" s="194">
        <f t="shared" si="99"/>
        <v>0</v>
      </c>
      <c r="Y96" s="183">
        <f t="shared" si="100"/>
        <v>0</v>
      </c>
      <c r="Z96" s="205">
        <f>(VLOOKUP(B:B,[1]AppLists!M:O,3,FALSE))*$AB$2</f>
        <v>25.07</v>
      </c>
      <c r="AA96" s="184">
        <f t="shared" si="101"/>
        <v>0</v>
      </c>
    </row>
    <row r="97" spans="1:27" ht="28.35" customHeight="1">
      <c r="A97" s="206">
        <v>54</v>
      </c>
      <c r="B97" s="197" t="s">
        <v>447</v>
      </c>
      <c r="C97" s="198" t="s">
        <v>448</v>
      </c>
      <c r="D97" s="199" t="s">
        <v>449</v>
      </c>
      <c r="E97" s="191"/>
      <c r="F97" s="192"/>
      <c r="G97" s="192"/>
      <c r="H97" s="193">
        <f t="shared" si="92"/>
        <v>0</v>
      </c>
      <c r="I97" s="194">
        <f t="shared" si="93"/>
        <v>0</v>
      </c>
      <c r="J97" s="191"/>
      <c r="K97" s="192"/>
      <c r="L97" s="192"/>
      <c r="M97" s="195">
        <f t="shared" si="94"/>
        <v>0</v>
      </c>
      <c r="N97" s="194">
        <f t="shared" si="95"/>
        <v>0</v>
      </c>
      <c r="O97" s="191"/>
      <c r="P97" s="192"/>
      <c r="Q97" s="192"/>
      <c r="R97" s="195">
        <f t="shared" si="96"/>
        <v>0</v>
      </c>
      <c r="S97" s="194">
        <f t="shared" si="97"/>
        <v>0</v>
      </c>
      <c r="T97" s="191"/>
      <c r="U97" s="192"/>
      <c r="V97" s="192"/>
      <c r="W97" s="195">
        <f t="shared" si="98"/>
        <v>0</v>
      </c>
      <c r="X97" s="194">
        <f t="shared" si="99"/>
        <v>0</v>
      </c>
      <c r="Y97" s="183">
        <f t="shared" si="100"/>
        <v>0</v>
      </c>
      <c r="Z97" s="205">
        <f>(VLOOKUP(B:B,[1]AppLists!M:O,3,FALSE))*$AB$2</f>
        <v>8.3930000000000007</v>
      </c>
      <c r="AA97" s="184">
        <f t="shared" si="101"/>
        <v>0</v>
      </c>
    </row>
    <row r="98" spans="1:27" ht="28.35" customHeight="1">
      <c r="A98" s="206">
        <v>55</v>
      </c>
      <c r="B98" s="197" t="s">
        <v>450</v>
      </c>
      <c r="C98" s="198" t="s">
        <v>451</v>
      </c>
      <c r="D98" s="199" t="s">
        <v>339</v>
      </c>
      <c r="E98" s="191"/>
      <c r="F98" s="192"/>
      <c r="G98" s="192"/>
      <c r="H98" s="193">
        <f t="shared" si="92"/>
        <v>0</v>
      </c>
      <c r="I98" s="194">
        <f t="shared" si="93"/>
        <v>0</v>
      </c>
      <c r="J98" s="191"/>
      <c r="K98" s="192"/>
      <c r="L98" s="192"/>
      <c r="M98" s="195">
        <f t="shared" si="94"/>
        <v>0</v>
      </c>
      <c r="N98" s="194">
        <f t="shared" si="95"/>
        <v>0</v>
      </c>
      <c r="O98" s="191"/>
      <c r="P98" s="192"/>
      <c r="Q98" s="192"/>
      <c r="R98" s="195">
        <f t="shared" si="96"/>
        <v>0</v>
      </c>
      <c r="S98" s="194">
        <f t="shared" si="97"/>
        <v>0</v>
      </c>
      <c r="T98" s="191"/>
      <c r="U98" s="192"/>
      <c r="V98" s="192"/>
      <c r="W98" s="195">
        <f t="shared" si="98"/>
        <v>0</v>
      </c>
      <c r="X98" s="194">
        <f t="shared" si="99"/>
        <v>0</v>
      </c>
      <c r="Y98" s="183">
        <f t="shared" si="100"/>
        <v>0</v>
      </c>
      <c r="Z98" s="205">
        <f>(VLOOKUP(B:B,[1]AppLists!M:O,3,FALSE))*$AB$2</f>
        <v>39.229100000000003</v>
      </c>
      <c r="AA98" s="184">
        <f t="shared" si="101"/>
        <v>0</v>
      </c>
    </row>
    <row r="99" spans="1:27" ht="28.35" customHeight="1">
      <c r="A99" s="206">
        <v>56</v>
      </c>
      <c r="B99" s="197" t="s">
        <v>452</v>
      </c>
      <c r="C99" s="198" t="s">
        <v>453</v>
      </c>
      <c r="D99" s="199" t="s">
        <v>320</v>
      </c>
      <c r="E99" s="191"/>
      <c r="F99" s="192">
        <v>0</v>
      </c>
      <c r="G99" s="192"/>
      <c r="H99" s="193">
        <f t="shared" si="92"/>
        <v>0</v>
      </c>
      <c r="I99" s="194">
        <f t="shared" si="93"/>
        <v>0</v>
      </c>
      <c r="J99" s="191"/>
      <c r="K99" s="192"/>
      <c r="L99" s="192"/>
      <c r="M99" s="195">
        <f t="shared" si="94"/>
        <v>0</v>
      </c>
      <c r="N99" s="194">
        <f t="shared" si="95"/>
        <v>0</v>
      </c>
      <c r="O99" s="191"/>
      <c r="P99" s="192"/>
      <c r="Q99" s="192"/>
      <c r="R99" s="195">
        <f t="shared" si="96"/>
        <v>0</v>
      </c>
      <c r="S99" s="194">
        <f t="shared" si="97"/>
        <v>0</v>
      </c>
      <c r="T99" s="191"/>
      <c r="U99" s="192"/>
      <c r="V99" s="192"/>
      <c r="W99" s="195">
        <f t="shared" si="98"/>
        <v>0</v>
      </c>
      <c r="X99" s="194">
        <f t="shared" si="99"/>
        <v>0</v>
      </c>
      <c r="Y99" s="183">
        <f t="shared" si="100"/>
        <v>0</v>
      </c>
      <c r="Z99" s="205">
        <f>(VLOOKUP(B:B,[1]AppLists!M:O,3,FALSE))*$AB$2</f>
        <v>128.89250000000001</v>
      </c>
      <c r="AA99" s="184">
        <f t="shared" si="101"/>
        <v>0</v>
      </c>
    </row>
    <row r="100" spans="1:27" ht="28.35" customHeight="1">
      <c r="A100" s="206">
        <v>57</v>
      </c>
      <c r="B100" s="197" t="s">
        <v>454</v>
      </c>
      <c r="C100" s="198" t="s">
        <v>455</v>
      </c>
      <c r="D100" s="199" t="s">
        <v>364</v>
      </c>
      <c r="E100" s="191"/>
      <c r="F100" s="192"/>
      <c r="G100" s="192"/>
      <c r="H100" s="193">
        <f t="shared" si="92"/>
        <v>0</v>
      </c>
      <c r="I100" s="194">
        <f t="shared" si="93"/>
        <v>0</v>
      </c>
      <c r="J100" s="191"/>
      <c r="K100" s="192"/>
      <c r="L100" s="192"/>
      <c r="M100" s="195">
        <f t="shared" si="94"/>
        <v>0</v>
      </c>
      <c r="N100" s="194">
        <f t="shared" si="95"/>
        <v>0</v>
      </c>
      <c r="O100" s="191"/>
      <c r="P100" s="192"/>
      <c r="Q100" s="192"/>
      <c r="R100" s="195">
        <f t="shared" si="96"/>
        <v>0</v>
      </c>
      <c r="S100" s="194">
        <f t="shared" si="97"/>
        <v>0</v>
      </c>
      <c r="T100" s="191"/>
      <c r="U100" s="192"/>
      <c r="V100" s="192"/>
      <c r="W100" s="195">
        <f t="shared" si="98"/>
        <v>0</v>
      </c>
      <c r="X100" s="194">
        <f t="shared" si="99"/>
        <v>0</v>
      </c>
      <c r="Y100" s="183">
        <f t="shared" si="100"/>
        <v>0</v>
      </c>
      <c r="Z100" s="205">
        <f>(VLOOKUP(B:B,[1]AppLists!M:O,3,FALSE))*$AB$2</f>
        <v>26.029199999999999</v>
      </c>
      <c r="AA100" s="184">
        <f t="shared" si="101"/>
        <v>0</v>
      </c>
    </row>
    <row r="101" spans="1:27" ht="28.35" customHeight="1">
      <c r="A101" s="206">
        <v>58</v>
      </c>
      <c r="B101" s="197" t="s">
        <v>456</v>
      </c>
      <c r="C101" s="198" t="s">
        <v>457</v>
      </c>
      <c r="D101" s="199" t="s">
        <v>320</v>
      </c>
      <c r="E101" s="191"/>
      <c r="F101" s="192"/>
      <c r="G101" s="192"/>
      <c r="H101" s="193">
        <f t="shared" si="92"/>
        <v>0</v>
      </c>
      <c r="I101" s="194">
        <f t="shared" si="93"/>
        <v>0</v>
      </c>
      <c r="J101" s="191"/>
      <c r="K101" s="192"/>
      <c r="L101" s="192"/>
      <c r="M101" s="195">
        <f t="shared" si="94"/>
        <v>0</v>
      </c>
      <c r="N101" s="194">
        <f t="shared" si="95"/>
        <v>0</v>
      </c>
      <c r="O101" s="191"/>
      <c r="P101" s="192"/>
      <c r="Q101" s="192"/>
      <c r="R101" s="195">
        <f t="shared" si="96"/>
        <v>0</v>
      </c>
      <c r="S101" s="194">
        <f t="shared" si="97"/>
        <v>0</v>
      </c>
      <c r="T101" s="191"/>
      <c r="U101" s="192"/>
      <c r="V101" s="192"/>
      <c r="W101" s="195">
        <f t="shared" si="98"/>
        <v>0</v>
      </c>
      <c r="X101" s="194">
        <f t="shared" si="99"/>
        <v>0</v>
      </c>
      <c r="Y101" s="183">
        <f t="shared" si="100"/>
        <v>0</v>
      </c>
      <c r="Z101" s="205">
        <f>(VLOOKUP(B:B,[1]AppLists!M:O,3,FALSE))*$AB$2</f>
        <v>282.31</v>
      </c>
      <c r="AA101" s="184">
        <f t="shared" si="101"/>
        <v>0</v>
      </c>
    </row>
    <row r="102" spans="1:27" ht="28.35" customHeight="1">
      <c r="A102" s="206">
        <v>59</v>
      </c>
      <c r="B102" s="197" t="s">
        <v>458</v>
      </c>
      <c r="C102" s="198" t="s">
        <v>459</v>
      </c>
      <c r="D102" s="199" t="s">
        <v>320</v>
      </c>
      <c r="E102" s="191"/>
      <c r="F102" s="192">
        <v>0</v>
      </c>
      <c r="G102" s="192"/>
      <c r="H102" s="193">
        <f t="shared" si="92"/>
        <v>0</v>
      </c>
      <c r="I102" s="194">
        <f t="shared" si="93"/>
        <v>0</v>
      </c>
      <c r="J102" s="191"/>
      <c r="K102" s="192"/>
      <c r="L102" s="192"/>
      <c r="M102" s="195">
        <f t="shared" si="94"/>
        <v>0</v>
      </c>
      <c r="N102" s="194">
        <f t="shared" si="95"/>
        <v>0</v>
      </c>
      <c r="O102" s="191"/>
      <c r="P102" s="192"/>
      <c r="Q102" s="192"/>
      <c r="R102" s="195">
        <f t="shared" si="96"/>
        <v>0</v>
      </c>
      <c r="S102" s="194">
        <f t="shared" si="97"/>
        <v>0</v>
      </c>
      <c r="T102" s="191"/>
      <c r="U102" s="192"/>
      <c r="V102" s="192"/>
      <c r="W102" s="195">
        <f t="shared" si="98"/>
        <v>0</v>
      </c>
      <c r="X102" s="194">
        <f t="shared" si="99"/>
        <v>0</v>
      </c>
      <c r="Y102" s="183">
        <f t="shared" si="100"/>
        <v>0</v>
      </c>
      <c r="Z102" s="205">
        <f>(VLOOKUP(B:B,[1]AppLists!M:O,3,FALSE))*$AB$2</f>
        <v>91.56</v>
      </c>
      <c r="AA102" s="184">
        <f t="shared" si="101"/>
        <v>0</v>
      </c>
    </row>
    <row r="103" spans="1:27" ht="28.35" customHeight="1">
      <c r="A103" s="206">
        <v>60</v>
      </c>
      <c r="B103" s="197" t="s">
        <v>460</v>
      </c>
      <c r="C103" s="198" t="s">
        <v>461</v>
      </c>
      <c r="D103" s="199" t="s">
        <v>420</v>
      </c>
      <c r="E103" s="191"/>
      <c r="F103" s="192"/>
      <c r="G103" s="192"/>
      <c r="H103" s="193">
        <f t="shared" si="92"/>
        <v>0</v>
      </c>
      <c r="I103" s="194">
        <f t="shared" si="93"/>
        <v>0</v>
      </c>
      <c r="J103" s="191"/>
      <c r="K103" s="192"/>
      <c r="L103" s="192"/>
      <c r="M103" s="195">
        <f t="shared" si="94"/>
        <v>0</v>
      </c>
      <c r="N103" s="194">
        <f t="shared" si="95"/>
        <v>0</v>
      </c>
      <c r="O103" s="191"/>
      <c r="P103" s="192"/>
      <c r="Q103" s="192"/>
      <c r="R103" s="195">
        <f t="shared" si="96"/>
        <v>0</v>
      </c>
      <c r="S103" s="194">
        <f t="shared" si="97"/>
        <v>0</v>
      </c>
      <c r="T103" s="191"/>
      <c r="U103" s="192"/>
      <c r="V103" s="192"/>
      <c r="W103" s="195">
        <f t="shared" si="98"/>
        <v>0</v>
      </c>
      <c r="X103" s="194">
        <f t="shared" si="99"/>
        <v>0</v>
      </c>
      <c r="Y103" s="183">
        <f t="shared" si="100"/>
        <v>0</v>
      </c>
      <c r="Z103" s="205">
        <f>(VLOOKUP(B:B,[1]AppLists!M:O,3,FALSE))*$AB$2</f>
        <v>2002.8750000000002</v>
      </c>
      <c r="AA103" s="184">
        <f t="shared" si="101"/>
        <v>0</v>
      </c>
    </row>
    <row r="104" spans="1:27" ht="28.35" customHeight="1">
      <c r="A104" s="206">
        <v>61</v>
      </c>
      <c r="B104" s="197" t="s">
        <v>462</v>
      </c>
      <c r="C104" s="198" t="s">
        <v>463</v>
      </c>
      <c r="D104" s="199" t="s">
        <v>364</v>
      </c>
      <c r="E104" s="191"/>
      <c r="F104" s="192"/>
      <c r="G104" s="192"/>
      <c r="H104" s="193">
        <f t="shared" si="92"/>
        <v>0</v>
      </c>
      <c r="I104" s="194">
        <f t="shared" si="93"/>
        <v>0</v>
      </c>
      <c r="J104" s="191"/>
      <c r="K104" s="192"/>
      <c r="L104" s="192"/>
      <c r="M104" s="195">
        <f t="shared" si="94"/>
        <v>0</v>
      </c>
      <c r="N104" s="194">
        <f t="shared" si="95"/>
        <v>0</v>
      </c>
      <c r="O104" s="191"/>
      <c r="P104" s="192"/>
      <c r="Q104" s="192"/>
      <c r="R104" s="195">
        <f t="shared" si="96"/>
        <v>0</v>
      </c>
      <c r="S104" s="194">
        <f t="shared" si="97"/>
        <v>0</v>
      </c>
      <c r="T104" s="191"/>
      <c r="U104" s="192"/>
      <c r="V104" s="192"/>
      <c r="W104" s="195">
        <f t="shared" si="98"/>
        <v>0</v>
      </c>
      <c r="X104" s="194">
        <f t="shared" si="99"/>
        <v>0</v>
      </c>
      <c r="Y104" s="183">
        <f t="shared" si="100"/>
        <v>0</v>
      </c>
      <c r="Z104" s="205">
        <f>(VLOOKUP(B:B,[1]AppLists!M:O,3,FALSE))*$AB$2</f>
        <v>152.60000000000002</v>
      </c>
      <c r="AA104" s="184">
        <f t="shared" si="101"/>
        <v>0</v>
      </c>
    </row>
    <row r="105" spans="1:27" ht="28.35" customHeight="1">
      <c r="A105" s="206">
        <v>62</v>
      </c>
      <c r="B105" s="197" t="s">
        <v>464</v>
      </c>
      <c r="C105" s="198" t="s">
        <v>465</v>
      </c>
      <c r="D105" s="221" t="s">
        <v>364</v>
      </c>
      <c r="E105" s="191"/>
      <c r="F105" s="192"/>
      <c r="G105" s="192"/>
      <c r="H105" s="193">
        <f t="shared" si="92"/>
        <v>0</v>
      </c>
      <c r="I105" s="194">
        <f t="shared" si="93"/>
        <v>0</v>
      </c>
      <c r="J105" s="191"/>
      <c r="K105" s="192"/>
      <c r="L105" s="192"/>
      <c r="M105" s="195">
        <f t="shared" si="94"/>
        <v>0</v>
      </c>
      <c r="N105" s="194">
        <f t="shared" si="95"/>
        <v>0</v>
      </c>
      <c r="O105" s="191"/>
      <c r="P105" s="192"/>
      <c r="Q105" s="192"/>
      <c r="R105" s="195">
        <f t="shared" si="96"/>
        <v>0</v>
      </c>
      <c r="S105" s="194">
        <f t="shared" si="97"/>
        <v>0</v>
      </c>
      <c r="T105" s="191"/>
      <c r="U105" s="192"/>
      <c r="V105" s="192"/>
      <c r="W105" s="195">
        <f t="shared" si="98"/>
        <v>0</v>
      </c>
      <c r="X105" s="194">
        <f t="shared" si="99"/>
        <v>0</v>
      </c>
      <c r="Y105" s="183">
        <f t="shared" si="100"/>
        <v>0</v>
      </c>
      <c r="Z105" s="205">
        <f>(VLOOKUP(B:B,[1]AppLists!M:O,3,FALSE))*$AB$2</f>
        <v>115.54</v>
      </c>
      <c r="AA105" s="184">
        <f t="shared" si="101"/>
        <v>0</v>
      </c>
    </row>
    <row r="106" spans="1:27" ht="28.35" customHeight="1">
      <c r="A106" s="206">
        <v>63</v>
      </c>
      <c r="B106" s="197" t="s">
        <v>466</v>
      </c>
      <c r="C106" s="198" t="s">
        <v>467</v>
      </c>
      <c r="D106" s="199" t="s">
        <v>354</v>
      </c>
      <c r="E106" s="191"/>
      <c r="F106" s="192"/>
      <c r="G106" s="192"/>
      <c r="H106" s="193">
        <f t="shared" si="92"/>
        <v>0</v>
      </c>
      <c r="I106" s="194">
        <f t="shared" si="93"/>
        <v>0</v>
      </c>
      <c r="J106" s="191"/>
      <c r="K106" s="192"/>
      <c r="L106" s="192"/>
      <c r="M106" s="195">
        <f t="shared" si="94"/>
        <v>0</v>
      </c>
      <c r="N106" s="194">
        <f t="shared" si="95"/>
        <v>0</v>
      </c>
      <c r="O106" s="191"/>
      <c r="P106" s="192"/>
      <c r="Q106" s="192"/>
      <c r="R106" s="195">
        <f t="shared" si="96"/>
        <v>0</v>
      </c>
      <c r="S106" s="194">
        <f t="shared" si="97"/>
        <v>0</v>
      </c>
      <c r="T106" s="191"/>
      <c r="U106" s="192"/>
      <c r="V106" s="192"/>
      <c r="W106" s="195">
        <f t="shared" si="98"/>
        <v>0</v>
      </c>
      <c r="X106" s="194">
        <f t="shared" si="99"/>
        <v>0</v>
      </c>
      <c r="Y106" s="183">
        <f t="shared" si="100"/>
        <v>0</v>
      </c>
      <c r="Z106" s="205">
        <f>(VLOOKUP(B:B,[1]AppLists!M:O,3,FALSE))*$AB$2</f>
        <v>52.080200000000005</v>
      </c>
      <c r="AA106" s="184">
        <f t="shared" si="101"/>
        <v>0</v>
      </c>
    </row>
    <row r="107" spans="1:27" ht="28.35" customHeight="1">
      <c r="A107" s="206">
        <v>64</v>
      </c>
      <c r="B107" s="197" t="s">
        <v>468</v>
      </c>
      <c r="C107" s="198" t="s">
        <v>469</v>
      </c>
      <c r="D107" s="199" t="s">
        <v>339</v>
      </c>
      <c r="E107" s="191"/>
      <c r="F107" s="192"/>
      <c r="G107" s="192"/>
      <c r="H107" s="193">
        <f t="shared" si="92"/>
        <v>0</v>
      </c>
      <c r="I107" s="194">
        <f t="shared" si="93"/>
        <v>0</v>
      </c>
      <c r="J107" s="191"/>
      <c r="K107" s="192"/>
      <c r="L107" s="192"/>
      <c r="M107" s="195">
        <f t="shared" si="94"/>
        <v>0</v>
      </c>
      <c r="N107" s="194">
        <f t="shared" si="95"/>
        <v>0</v>
      </c>
      <c r="O107" s="191"/>
      <c r="P107" s="192"/>
      <c r="Q107" s="192"/>
      <c r="R107" s="195">
        <f t="shared" si="96"/>
        <v>0</v>
      </c>
      <c r="S107" s="194">
        <f t="shared" si="97"/>
        <v>0</v>
      </c>
      <c r="T107" s="191"/>
      <c r="U107" s="192"/>
      <c r="V107" s="192"/>
      <c r="W107" s="195">
        <f t="shared" si="98"/>
        <v>0</v>
      </c>
      <c r="X107" s="194">
        <f t="shared" si="99"/>
        <v>0</v>
      </c>
      <c r="Y107" s="183">
        <f t="shared" si="100"/>
        <v>0</v>
      </c>
      <c r="Z107" s="205">
        <f>(VLOOKUP(B:B,[1]AppLists!M:O,3,FALSE))*$AB$2</f>
        <v>107.91000000000001</v>
      </c>
      <c r="AA107" s="184">
        <f t="shared" si="101"/>
        <v>0</v>
      </c>
    </row>
    <row r="108" spans="1:27" ht="28.35" customHeight="1">
      <c r="A108" s="206">
        <v>65</v>
      </c>
      <c r="B108" s="197" t="s">
        <v>470</v>
      </c>
      <c r="C108" s="198" t="s">
        <v>471</v>
      </c>
      <c r="D108" s="199" t="s">
        <v>331</v>
      </c>
      <c r="E108" s="191"/>
      <c r="F108" s="192"/>
      <c r="G108" s="192"/>
      <c r="H108" s="193">
        <f t="shared" si="92"/>
        <v>0</v>
      </c>
      <c r="I108" s="194">
        <f t="shared" si="93"/>
        <v>0</v>
      </c>
      <c r="J108" s="191"/>
      <c r="K108" s="192"/>
      <c r="L108" s="192"/>
      <c r="M108" s="195">
        <f t="shared" si="94"/>
        <v>0</v>
      </c>
      <c r="N108" s="194">
        <f t="shared" si="95"/>
        <v>0</v>
      </c>
      <c r="O108" s="191"/>
      <c r="P108" s="192"/>
      <c r="Q108" s="192"/>
      <c r="R108" s="195">
        <f t="shared" si="96"/>
        <v>0</v>
      </c>
      <c r="S108" s="194">
        <f t="shared" si="97"/>
        <v>0</v>
      </c>
      <c r="T108" s="191"/>
      <c r="U108" s="192"/>
      <c r="V108" s="192"/>
      <c r="W108" s="195">
        <f t="shared" si="98"/>
        <v>0</v>
      </c>
      <c r="X108" s="194">
        <f t="shared" si="99"/>
        <v>0</v>
      </c>
      <c r="Y108" s="183">
        <f t="shared" si="100"/>
        <v>0</v>
      </c>
      <c r="Z108" s="205">
        <f>(VLOOKUP(B:B,[1]AppLists!M:O,3,FALSE))*$AB$2</f>
        <v>146.60500000000002</v>
      </c>
      <c r="AA108" s="184">
        <f t="shared" si="101"/>
        <v>0</v>
      </c>
    </row>
    <row r="109" spans="1:27" ht="28.35" customHeight="1" thickBot="1">
      <c r="A109" s="206">
        <v>66</v>
      </c>
      <c r="B109" s="185" t="s">
        <v>472</v>
      </c>
      <c r="C109" s="186" t="s">
        <v>473</v>
      </c>
      <c r="D109" s="187" t="s">
        <v>364</v>
      </c>
      <c r="E109" s="191"/>
      <c r="F109" s="192"/>
      <c r="G109" s="192"/>
      <c r="H109" s="193">
        <f t="shared" si="92"/>
        <v>0</v>
      </c>
      <c r="I109" s="194">
        <f t="shared" si="93"/>
        <v>0</v>
      </c>
      <c r="J109" s="191"/>
      <c r="K109" s="192"/>
      <c r="L109" s="192"/>
      <c r="M109" s="195">
        <f t="shared" si="94"/>
        <v>0</v>
      </c>
      <c r="N109" s="194">
        <f t="shared" si="95"/>
        <v>0</v>
      </c>
      <c r="O109" s="191"/>
      <c r="P109" s="192"/>
      <c r="Q109" s="192"/>
      <c r="R109" s="195">
        <f t="shared" si="96"/>
        <v>0</v>
      </c>
      <c r="S109" s="194">
        <f t="shared" si="97"/>
        <v>0</v>
      </c>
      <c r="T109" s="191"/>
      <c r="U109" s="192"/>
      <c r="V109" s="192"/>
      <c r="W109" s="195">
        <f t="shared" si="98"/>
        <v>0</v>
      </c>
      <c r="X109" s="194">
        <f t="shared" si="99"/>
        <v>0</v>
      </c>
      <c r="Y109" s="183">
        <f t="shared" si="100"/>
        <v>0</v>
      </c>
      <c r="Z109" s="205">
        <f>(VLOOKUP(B:B,[1]AppLists!M:O,3,FALSE))*$AB$2</f>
        <v>24.721200000000003</v>
      </c>
      <c r="AA109" s="184">
        <f t="shared" si="101"/>
        <v>0</v>
      </c>
    </row>
    <row r="110" spans="1:27" ht="30" customHeight="1" thickBot="1">
      <c r="A110" s="160" t="s">
        <v>474</v>
      </c>
      <c r="B110" s="161"/>
      <c r="C110" s="161"/>
      <c r="D110" s="161"/>
      <c r="E110" s="162"/>
      <c r="F110" s="162"/>
      <c r="G110" s="162"/>
      <c r="H110" s="162"/>
      <c r="I110" s="163"/>
      <c r="J110" s="162"/>
      <c r="K110" s="162"/>
      <c r="L110" s="162"/>
      <c r="M110" s="162"/>
      <c r="N110" s="163"/>
      <c r="O110" s="162"/>
      <c r="P110" s="162"/>
      <c r="Q110" s="162"/>
      <c r="R110" s="162"/>
      <c r="S110" s="163"/>
      <c r="T110" s="162"/>
      <c r="U110" s="162"/>
      <c r="V110" s="162"/>
      <c r="W110" s="162"/>
      <c r="X110" s="163"/>
      <c r="Y110" s="163"/>
      <c r="Z110" s="177"/>
      <c r="AA110" s="178"/>
    </row>
    <row r="111" spans="1:27" ht="28.35" customHeight="1" thickBot="1">
      <c r="A111" s="222">
        <v>67</v>
      </c>
      <c r="B111" s="223" t="s">
        <v>475</v>
      </c>
      <c r="C111" s="224" t="s">
        <v>476</v>
      </c>
      <c r="D111" s="225" t="s">
        <v>420</v>
      </c>
      <c r="E111" s="191"/>
      <c r="F111" s="192"/>
      <c r="G111" s="192">
        <v>2</v>
      </c>
      <c r="H111" s="193">
        <v>2</v>
      </c>
      <c r="I111" s="194">
        <f t="shared" ref="I111:I127" si="102">H111*Z111</f>
        <v>82186</v>
      </c>
      <c r="J111" s="191"/>
      <c r="K111" s="192"/>
      <c r="L111" s="192"/>
      <c r="M111" s="195">
        <f t="shared" ref="M111:M127" si="103">SUM(J111:L111)</f>
        <v>0</v>
      </c>
      <c r="N111" s="194">
        <f t="shared" ref="N111:N127" si="104">M111*Z111</f>
        <v>0</v>
      </c>
      <c r="O111" s="191"/>
      <c r="P111" s="192"/>
      <c r="Q111" s="192"/>
      <c r="R111" s="195">
        <f t="shared" ref="R111:R127" si="105">SUM(O111:Q111)</f>
        <v>0</v>
      </c>
      <c r="S111" s="194">
        <f t="shared" ref="S111:S127" si="106">R111*Z111</f>
        <v>0</v>
      </c>
      <c r="T111" s="191"/>
      <c r="U111" s="192"/>
      <c r="V111" s="192"/>
      <c r="W111" s="195">
        <f t="shared" ref="W111:W127" si="107">SUM(T111:V111)</f>
        <v>0</v>
      </c>
      <c r="X111" s="194">
        <f t="shared" ref="X111:X127" si="108">W111*Z111</f>
        <v>0</v>
      </c>
      <c r="Y111" s="226">
        <f t="shared" ref="Y111:Y127" si="109">H111+M111+R111+W111</f>
        <v>2</v>
      </c>
      <c r="Z111" s="227">
        <f>(VLOOKUP(B:B,[1]AppLists!M:O,3,FALSE))*$AB$2</f>
        <v>41093</v>
      </c>
      <c r="AA111" s="228">
        <f t="shared" ref="AA111:AA127" si="110">Y111*Z111</f>
        <v>82186</v>
      </c>
    </row>
    <row r="112" spans="1:27" ht="28.35" customHeight="1">
      <c r="A112" s="222">
        <v>67</v>
      </c>
      <c r="B112" s="223" t="s">
        <v>475</v>
      </c>
      <c r="C112" s="224" t="s">
        <v>1642</v>
      </c>
      <c r="D112" s="225" t="s">
        <v>420</v>
      </c>
      <c r="E112" s="191"/>
      <c r="F112" s="192"/>
      <c r="G112" s="192">
        <v>1</v>
      </c>
      <c r="H112" s="193">
        <v>1</v>
      </c>
      <c r="I112" s="194">
        <f t="shared" ref="I112" si="111">H112*Z112</f>
        <v>30000</v>
      </c>
      <c r="J112" s="191"/>
      <c r="K112" s="192"/>
      <c r="L112" s="192"/>
      <c r="M112" s="195">
        <f t="shared" ref="M112" si="112">SUM(J112:L112)</f>
        <v>0</v>
      </c>
      <c r="N112" s="194">
        <f t="shared" ref="N112" si="113">M112*Z112</f>
        <v>0</v>
      </c>
      <c r="O112" s="191"/>
      <c r="P112" s="192"/>
      <c r="Q112" s="192"/>
      <c r="R112" s="195">
        <f t="shared" ref="R112" si="114">SUM(O112:Q112)</f>
        <v>0</v>
      </c>
      <c r="S112" s="194">
        <f t="shared" ref="S112" si="115">R112*Z112</f>
        <v>0</v>
      </c>
      <c r="T112" s="191"/>
      <c r="U112" s="192"/>
      <c r="V112" s="192"/>
      <c r="W112" s="195">
        <f t="shared" ref="W112" si="116">SUM(T112:V112)</f>
        <v>0</v>
      </c>
      <c r="X112" s="194">
        <f t="shared" ref="X112" si="117">W112*Z112</f>
        <v>0</v>
      </c>
      <c r="Y112" s="226">
        <f t="shared" ref="Y112" si="118">H112+M112+R112+W112</f>
        <v>1</v>
      </c>
      <c r="Z112" s="227">
        <v>30000</v>
      </c>
      <c r="AA112" s="228">
        <f t="shared" ref="AA112" si="119">Y112*Z112</f>
        <v>30000</v>
      </c>
    </row>
    <row r="113" spans="1:27" ht="28.35" customHeight="1">
      <c r="A113" s="206">
        <v>68</v>
      </c>
      <c r="B113" s="215" t="s">
        <v>477</v>
      </c>
      <c r="C113" s="198" t="s">
        <v>478</v>
      </c>
      <c r="D113" s="229" t="s">
        <v>364</v>
      </c>
      <c r="E113" s="191"/>
      <c r="F113" s="192"/>
      <c r="G113" s="192"/>
      <c r="H113" s="193">
        <f t="shared" ref="H113:H127" si="120">SUM(E113:G113)</f>
        <v>0</v>
      </c>
      <c r="I113" s="194">
        <f t="shared" si="102"/>
        <v>0</v>
      </c>
      <c r="J113" s="191"/>
      <c r="K113" s="192"/>
      <c r="L113" s="192"/>
      <c r="M113" s="195">
        <f t="shared" si="103"/>
        <v>0</v>
      </c>
      <c r="N113" s="194">
        <f t="shared" si="104"/>
        <v>0</v>
      </c>
      <c r="O113" s="191"/>
      <c r="P113" s="192"/>
      <c r="Q113" s="192"/>
      <c r="R113" s="195">
        <f t="shared" si="105"/>
        <v>0</v>
      </c>
      <c r="S113" s="194">
        <f t="shared" si="106"/>
        <v>0</v>
      </c>
      <c r="T113" s="191"/>
      <c r="U113" s="192"/>
      <c r="V113" s="192"/>
      <c r="W113" s="195">
        <f t="shared" si="107"/>
        <v>0</v>
      </c>
      <c r="X113" s="194">
        <f t="shared" si="108"/>
        <v>0</v>
      </c>
      <c r="Y113" s="194">
        <f t="shared" si="109"/>
        <v>0</v>
      </c>
      <c r="Z113" s="200">
        <f>(VLOOKUP(B:B,[1]AppLists!M:O,3,FALSE))*$AB$2</f>
        <v>22.8355</v>
      </c>
      <c r="AA113" s="230">
        <f t="shared" si="110"/>
        <v>0</v>
      </c>
    </row>
    <row r="114" spans="1:27" ht="28.35" customHeight="1">
      <c r="A114" s="206">
        <v>69</v>
      </c>
      <c r="B114" s="215" t="s">
        <v>479</v>
      </c>
      <c r="C114" s="198" t="s">
        <v>480</v>
      </c>
      <c r="D114" s="229" t="s">
        <v>364</v>
      </c>
      <c r="E114" s="191"/>
      <c r="F114" s="192"/>
      <c r="G114" s="192"/>
      <c r="H114" s="193">
        <f t="shared" si="120"/>
        <v>0</v>
      </c>
      <c r="I114" s="194">
        <f t="shared" si="102"/>
        <v>0</v>
      </c>
      <c r="J114" s="191"/>
      <c r="K114" s="192"/>
      <c r="L114" s="192"/>
      <c r="M114" s="195">
        <f t="shared" si="103"/>
        <v>0</v>
      </c>
      <c r="N114" s="194">
        <f t="shared" si="104"/>
        <v>0</v>
      </c>
      <c r="O114" s="191"/>
      <c r="P114" s="192"/>
      <c r="Q114" s="192"/>
      <c r="R114" s="195">
        <f t="shared" si="105"/>
        <v>0</v>
      </c>
      <c r="S114" s="194">
        <f t="shared" si="106"/>
        <v>0</v>
      </c>
      <c r="T114" s="191"/>
      <c r="U114" s="192"/>
      <c r="V114" s="192"/>
      <c r="W114" s="195">
        <f t="shared" si="107"/>
        <v>0</v>
      </c>
      <c r="X114" s="194">
        <f t="shared" si="108"/>
        <v>0</v>
      </c>
      <c r="Y114" s="194">
        <f t="shared" si="109"/>
        <v>0</v>
      </c>
      <c r="Z114" s="200">
        <f>(VLOOKUP(B:B,[1]AppLists!M:O,3,FALSE))*$AB$2</f>
        <v>2855.8</v>
      </c>
      <c r="AA114" s="230">
        <f t="shared" si="110"/>
        <v>0</v>
      </c>
    </row>
    <row r="115" spans="1:27" ht="28.35" customHeight="1">
      <c r="A115" s="206">
        <v>70</v>
      </c>
      <c r="B115" s="215" t="s">
        <v>481</v>
      </c>
      <c r="C115" s="198" t="s">
        <v>482</v>
      </c>
      <c r="D115" s="195" t="s">
        <v>364</v>
      </c>
      <c r="E115" s="191"/>
      <c r="F115" s="192">
        <v>0</v>
      </c>
      <c r="G115" s="192">
        <v>30</v>
      </c>
      <c r="H115" s="193">
        <f t="shared" si="120"/>
        <v>30</v>
      </c>
      <c r="I115" s="194">
        <f t="shared" si="102"/>
        <v>8698.2000000000007</v>
      </c>
      <c r="J115" s="191"/>
      <c r="K115" s="192"/>
      <c r="L115" s="192"/>
      <c r="M115" s="195">
        <f t="shared" si="103"/>
        <v>0</v>
      </c>
      <c r="N115" s="194">
        <f t="shared" si="104"/>
        <v>0</v>
      </c>
      <c r="O115" s="191"/>
      <c r="P115" s="192"/>
      <c r="Q115" s="192"/>
      <c r="R115" s="195">
        <f t="shared" si="105"/>
        <v>0</v>
      </c>
      <c r="S115" s="194">
        <f t="shared" si="106"/>
        <v>0</v>
      </c>
      <c r="T115" s="191"/>
      <c r="U115" s="192"/>
      <c r="V115" s="192"/>
      <c r="W115" s="195">
        <f t="shared" si="107"/>
        <v>0</v>
      </c>
      <c r="X115" s="194">
        <f t="shared" si="108"/>
        <v>0</v>
      </c>
      <c r="Y115" s="194">
        <f t="shared" si="109"/>
        <v>30</v>
      </c>
      <c r="Z115" s="200">
        <f>(VLOOKUP(B:B,[1]AppLists!M:O,3,FALSE))*$AB$2</f>
        <v>289.94</v>
      </c>
      <c r="AA115" s="230">
        <f t="shared" si="110"/>
        <v>8698.2000000000007</v>
      </c>
    </row>
    <row r="116" spans="1:27" ht="28.35" customHeight="1">
      <c r="A116" s="206">
        <v>70</v>
      </c>
      <c r="B116" s="215"/>
      <c r="C116" s="198" t="s">
        <v>1636</v>
      </c>
      <c r="D116" s="195" t="s">
        <v>364</v>
      </c>
      <c r="E116" s="191"/>
      <c r="F116" s="192">
        <v>0</v>
      </c>
      <c r="G116" s="192">
        <v>0</v>
      </c>
      <c r="H116" s="193">
        <f t="shared" ref="H116" si="121">SUM(E116:G116)</f>
        <v>0</v>
      </c>
      <c r="I116" s="194">
        <f t="shared" ref="I116" si="122">H116*Z116</f>
        <v>0</v>
      </c>
      <c r="J116" s="191"/>
      <c r="K116" s="192"/>
      <c r="L116" s="192"/>
      <c r="M116" s="195">
        <f t="shared" ref="M116" si="123">SUM(J116:L116)</f>
        <v>0</v>
      </c>
      <c r="N116" s="194">
        <f t="shared" ref="N116" si="124">M116*Z116</f>
        <v>0</v>
      </c>
      <c r="O116" s="191"/>
      <c r="P116" s="192"/>
      <c r="Q116" s="192"/>
      <c r="R116" s="195">
        <f t="shared" ref="R116" si="125">SUM(O116:Q116)</f>
        <v>0</v>
      </c>
      <c r="S116" s="194">
        <f t="shared" ref="S116" si="126">R116*Z116</f>
        <v>0</v>
      </c>
      <c r="T116" s="191"/>
      <c r="U116" s="192"/>
      <c r="V116" s="192"/>
      <c r="W116" s="195">
        <f t="shared" ref="W116" si="127">SUM(T116:V116)</f>
        <v>0</v>
      </c>
      <c r="X116" s="194">
        <f t="shared" ref="X116" si="128">W116*Z116</f>
        <v>0</v>
      </c>
      <c r="Y116" s="194">
        <f t="shared" ref="Y116" si="129">H116+M116+R116+W116</f>
        <v>0</v>
      </c>
      <c r="Z116" s="200">
        <v>1500</v>
      </c>
      <c r="AA116" s="230">
        <f t="shared" ref="AA116" si="130">Y116*Z116</f>
        <v>0</v>
      </c>
    </row>
    <row r="117" spans="1:27" ht="28.35" customHeight="1">
      <c r="A117" s="206">
        <v>71</v>
      </c>
      <c r="B117" s="215" t="s">
        <v>483</v>
      </c>
      <c r="C117" s="198" t="s">
        <v>484</v>
      </c>
      <c r="D117" s="195" t="s">
        <v>420</v>
      </c>
      <c r="E117" s="191"/>
      <c r="F117" s="192"/>
      <c r="G117" s="192">
        <v>4</v>
      </c>
      <c r="H117" s="193">
        <f t="shared" si="120"/>
        <v>4</v>
      </c>
      <c r="I117" s="194">
        <f t="shared" si="102"/>
        <v>172000</v>
      </c>
      <c r="J117" s="191"/>
      <c r="K117" s="192"/>
      <c r="L117" s="192"/>
      <c r="M117" s="195">
        <f t="shared" si="103"/>
        <v>0</v>
      </c>
      <c r="N117" s="194">
        <f t="shared" si="104"/>
        <v>0</v>
      </c>
      <c r="O117" s="191"/>
      <c r="P117" s="192"/>
      <c r="Q117" s="192"/>
      <c r="R117" s="195">
        <f t="shared" si="105"/>
        <v>0</v>
      </c>
      <c r="S117" s="194">
        <f t="shared" si="106"/>
        <v>0</v>
      </c>
      <c r="T117" s="191"/>
      <c r="U117" s="192"/>
      <c r="V117" s="192"/>
      <c r="W117" s="195">
        <f t="shared" si="107"/>
        <v>0</v>
      </c>
      <c r="X117" s="194">
        <f t="shared" si="108"/>
        <v>0</v>
      </c>
      <c r="Y117" s="194">
        <f t="shared" si="109"/>
        <v>4</v>
      </c>
      <c r="Z117" s="200">
        <v>43000</v>
      </c>
      <c r="AA117" s="230">
        <f t="shared" si="110"/>
        <v>172000</v>
      </c>
    </row>
    <row r="118" spans="1:27" ht="28.35" customHeight="1">
      <c r="A118" s="206">
        <v>72</v>
      </c>
      <c r="B118" s="215" t="s">
        <v>485</v>
      </c>
      <c r="C118" s="198" t="s">
        <v>486</v>
      </c>
      <c r="D118" s="195" t="s">
        <v>420</v>
      </c>
      <c r="E118" s="191"/>
      <c r="F118" s="192"/>
      <c r="G118" s="192">
        <v>0</v>
      </c>
      <c r="H118" s="193">
        <f t="shared" si="120"/>
        <v>0</v>
      </c>
      <c r="I118" s="194">
        <f t="shared" si="102"/>
        <v>0</v>
      </c>
      <c r="J118" s="191"/>
      <c r="K118" s="192"/>
      <c r="L118" s="192"/>
      <c r="M118" s="195">
        <f t="shared" si="103"/>
        <v>0</v>
      </c>
      <c r="N118" s="194">
        <f t="shared" si="104"/>
        <v>0</v>
      </c>
      <c r="O118" s="191"/>
      <c r="P118" s="192"/>
      <c r="Q118" s="192"/>
      <c r="R118" s="195">
        <f t="shared" si="105"/>
        <v>0</v>
      </c>
      <c r="S118" s="194">
        <f t="shared" si="106"/>
        <v>0</v>
      </c>
      <c r="T118" s="191"/>
      <c r="U118" s="192"/>
      <c r="V118" s="192"/>
      <c r="W118" s="195">
        <f t="shared" si="107"/>
        <v>0</v>
      </c>
      <c r="X118" s="194">
        <f t="shared" si="108"/>
        <v>0</v>
      </c>
      <c r="Y118" s="194">
        <f t="shared" si="109"/>
        <v>0</v>
      </c>
      <c r="Z118" s="200">
        <f>(VLOOKUP(B:B,[1]AppLists!M:O,3,FALSE))*$AB$2</f>
        <v>141.48200000000003</v>
      </c>
      <c r="AA118" s="230">
        <f t="shared" si="110"/>
        <v>0</v>
      </c>
    </row>
    <row r="119" spans="1:27" ht="28.35" customHeight="1">
      <c r="A119" s="206">
        <v>73</v>
      </c>
      <c r="B119" s="215" t="s">
        <v>487</v>
      </c>
      <c r="C119" s="198" t="s">
        <v>488</v>
      </c>
      <c r="D119" s="195" t="s">
        <v>420</v>
      </c>
      <c r="E119" s="191"/>
      <c r="F119" s="192"/>
      <c r="G119" s="192"/>
      <c r="H119" s="193">
        <f t="shared" si="120"/>
        <v>0</v>
      </c>
      <c r="I119" s="194">
        <f t="shared" si="102"/>
        <v>0</v>
      </c>
      <c r="J119" s="191"/>
      <c r="K119" s="192"/>
      <c r="L119" s="192"/>
      <c r="M119" s="195">
        <f t="shared" si="103"/>
        <v>0</v>
      </c>
      <c r="N119" s="194">
        <f t="shared" si="104"/>
        <v>0</v>
      </c>
      <c r="O119" s="191"/>
      <c r="P119" s="192"/>
      <c r="Q119" s="192"/>
      <c r="R119" s="195">
        <f t="shared" si="105"/>
        <v>0</v>
      </c>
      <c r="S119" s="194">
        <f t="shared" si="106"/>
        <v>0</v>
      </c>
      <c r="T119" s="191"/>
      <c r="U119" s="192"/>
      <c r="V119" s="192"/>
      <c r="W119" s="195">
        <f t="shared" si="107"/>
        <v>0</v>
      </c>
      <c r="X119" s="194">
        <f t="shared" si="108"/>
        <v>0</v>
      </c>
      <c r="Y119" s="194">
        <f t="shared" si="109"/>
        <v>0</v>
      </c>
      <c r="Z119" s="200">
        <f>(VLOOKUP(B:B,[1]AppLists!M:O,3,FALSE))*$AB$2</f>
        <v>34724.130000000005</v>
      </c>
      <c r="AA119" s="230">
        <f t="shared" si="110"/>
        <v>0</v>
      </c>
    </row>
    <row r="120" spans="1:27" ht="28.35" customHeight="1">
      <c r="A120" s="206">
        <v>74</v>
      </c>
      <c r="B120" s="215" t="s">
        <v>489</v>
      </c>
      <c r="C120" s="198" t="s">
        <v>490</v>
      </c>
      <c r="D120" s="195" t="s">
        <v>420</v>
      </c>
      <c r="E120" s="191"/>
      <c r="F120" s="192"/>
      <c r="G120" s="192"/>
      <c r="H120" s="193">
        <f t="shared" si="120"/>
        <v>0</v>
      </c>
      <c r="I120" s="194">
        <f t="shared" si="102"/>
        <v>0</v>
      </c>
      <c r="J120" s="191"/>
      <c r="K120" s="192"/>
      <c r="L120" s="192"/>
      <c r="M120" s="195">
        <f t="shared" si="103"/>
        <v>0</v>
      </c>
      <c r="N120" s="194">
        <f t="shared" si="104"/>
        <v>0</v>
      </c>
      <c r="O120" s="191"/>
      <c r="P120" s="192"/>
      <c r="Q120" s="192"/>
      <c r="R120" s="195">
        <f t="shared" si="105"/>
        <v>0</v>
      </c>
      <c r="S120" s="194">
        <f t="shared" si="106"/>
        <v>0</v>
      </c>
      <c r="T120" s="191"/>
      <c r="U120" s="192"/>
      <c r="V120" s="192"/>
      <c r="W120" s="195">
        <f t="shared" si="107"/>
        <v>0</v>
      </c>
      <c r="X120" s="194">
        <f t="shared" si="108"/>
        <v>0</v>
      </c>
      <c r="Y120" s="194">
        <f t="shared" si="109"/>
        <v>0</v>
      </c>
      <c r="Z120" s="200">
        <f>(VLOOKUP(B:B,[1]AppLists!M:O,3,FALSE))*$AB$2</f>
        <v>8379.92</v>
      </c>
      <c r="AA120" s="230">
        <f t="shared" si="110"/>
        <v>0</v>
      </c>
    </row>
    <row r="121" spans="1:27" ht="28.35" customHeight="1">
      <c r="A121" s="206">
        <v>75</v>
      </c>
      <c r="B121" s="197" t="s">
        <v>491</v>
      </c>
      <c r="C121" s="198" t="s">
        <v>492</v>
      </c>
      <c r="D121" s="199" t="s">
        <v>420</v>
      </c>
      <c r="E121" s="191"/>
      <c r="F121" s="192">
        <v>0</v>
      </c>
      <c r="G121" s="192"/>
      <c r="H121" s="193">
        <f t="shared" si="120"/>
        <v>0</v>
      </c>
      <c r="I121" s="194">
        <f t="shared" si="102"/>
        <v>0</v>
      </c>
      <c r="J121" s="191"/>
      <c r="K121" s="192"/>
      <c r="L121" s="192"/>
      <c r="M121" s="195">
        <f t="shared" si="103"/>
        <v>0</v>
      </c>
      <c r="N121" s="194">
        <f t="shared" si="104"/>
        <v>0</v>
      </c>
      <c r="O121" s="191"/>
      <c r="P121" s="192"/>
      <c r="Q121" s="192"/>
      <c r="R121" s="195">
        <f t="shared" si="105"/>
        <v>0</v>
      </c>
      <c r="S121" s="194">
        <f t="shared" si="106"/>
        <v>0</v>
      </c>
      <c r="T121" s="191"/>
      <c r="U121" s="192"/>
      <c r="V121" s="192"/>
      <c r="W121" s="195">
        <f t="shared" si="107"/>
        <v>0</v>
      </c>
      <c r="X121" s="194">
        <f t="shared" si="108"/>
        <v>0</v>
      </c>
      <c r="Y121" s="194">
        <f t="shared" si="109"/>
        <v>0</v>
      </c>
      <c r="Z121" s="200">
        <f>(VLOOKUP(B:B,[1]AppLists!M:O,3,FALSE))*$AB$2</f>
        <v>759.73</v>
      </c>
      <c r="AA121" s="230">
        <f t="shared" si="110"/>
        <v>0</v>
      </c>
    </row>
    <row r="122" spans="1:27" ht="28.35" customHeight="1">
      <c r="A122" s="179">
        <v>76</v>
      </c>
      <c r="B122" s="207" t="s">
        <v>493</v>
      </c>
      <c r="C122" s="181" t="s">
        <v>494</v>
      </c>
      <c r="D122" s="220" t="s">
        <v>420</v>
      </c>
      <c r="E122" s="191"/>
      <c r="F122" s="192">
        <v>0</v>
      </c>
      <c r="G122" s="192"/>
      <c r="H122" s="193">
        <f t="shared" si="120"/>
        <v>0</v>
      </c>
      <c r="I122" s="194">
        <f t="shared" si="102"/>
        <v>0</v>
      </c>
      <c r="J122" s="191"/>
      <c r="K122" s="192"/>
      <c r="L122" s="192"/>
      <c r="M122" s="195">
        <f t="shared" si="103"/>
        <v>0</v>
      </c>
      <c r="N122" s="194">
        <f t="shared" si="104"/>
        <v>0</v>
      </c>
      <c r="O122" s="191"/>
      <c r="P122" s="192"/>
      <c r="Q122" s="192"/>
      <c r="R122" s="195">
        <f t="shared" si="105"/>
        <v>0</v>
      </c>
      <c r="S122" s="194">
        <f t="shared" si="106"/>
        <v>0</v>
      </c>
      <c r="T122" s="191"/>
      <c r="U122" s="192"/>
      <c r="V122" s="192"/>
      <c r="W122" s="195">
        <f t="shared" si="107"/>
        <v>0</v>
      </c>
      <c r="X122" s="194">
        <f t="shared" si="108"/>
        <v>0</v>
      </c>
      <c r="Y122" s="183">
        <f t="shared" si="109"/>
        <v>0</v>
      </c>
      <c r="Z122" s="205"/>
      <c r="AA122" s="184">
        <f t="shared" si="110"/>
        <v>0</v>
      </c>
    </row>
    <row r="123" spans="1:27" ht="28.35" customHeight="1">
      <c r="A123" s="206">
        <v>77</v>
      </c>
      <c r="B123" s="207" t="s">
        <v>493</v>
      </c>
      <c r="C123" s="181" t="s">
        <v>495</v>
      </c>
      <c r="D123" s="195" t="s">
        <v>364</v>
      </c>
      <c r="E123" s="191"/>
      <c r="F123" s="192">
        <v>0</v>
      </c>
      <c r="G123" s="192"/>
      <c r="H123" s="193">
        <f t="shared" si="120"/>
        <v>0</v>
      </c>
      <c r="I123" s="194">
        <f t="shared" si="102"/>
        <v>0</v>
      </c>
      <c r="J123" s="191"/>
      <c r="K123" s="192"/>
      <c r="L123" s="192"/>
      <c r="M123" s="195">
        <f t="shared" si="103"/>
        <v>0</v>
      </c>
      <c r="N123" s="194">
        <f t="shared" si="104"/>
        <v>0</v>
      </c>
      <c r="O123" s="191"/>
      <c r="P123" s="192"/>
      <c r="Q123" s="192"/>
      <c r="R123" s="195">
        <f t="shared" si="105"/>
        <v>0</v>
      </c>
      <c r="S123" s="194">
        <f t="shared" si="106"/>
        <v>0</v>
      </c>
      <c r="T123" s="191"/>
      <c r="U123" s="192"/>
      <c r="V123" s="192"/>
      <c r="W123" s="195">
        <f t="shared" si="107"/>
        <v>0</v>
      </c>
      <c r="X123" s="194">
        <f t="shared" si="108"/>
        <v>0</v>
      </c>
      <c r="Y123" s="194">
        <f t="shared" si="109"/>
        <v>0</v>
      </c>
      <c r="Z123" s="200"/>
      <c r="AA123" s="230">
        <f t="shared" si="110"/>
        <v>0</v>
      </c>
    </row>
    <row r="124" spans="1:27" ht="28.35" customHeight="1">
      <c r="A124" s="206">
        <v>78</v>
      </c>
      <c r="B124" s="207" t="s">
        <v>493</v>
      </c>
      <c r="C124" s="181" t="s">
        <v>496</v>
      </c>
      <c r="D124" s="195" t="s">
        <v>420</v>
      </c>
      <c r="E124" s="191"/>
      <c r="F124" s="192"/>
      <c r="G124" s="192"/>
      <c r="H124" s="193">
        <f t="shared" si="120"/>
        <v>0</v>
      </c>
      <c r="I124" s="194">
        <f t="shared" si="102"/>
        <v>0</v>
      </c>
      <c r="J124" s="191"/>
      <c r="K124" s="192"/>
      <c r="L124" s="192"/>
      <c r="M124" s="195">
        <f t="shared" si="103"/>
        <v>0</v>
      </c>
      <c r="N124" s="194">
        <f t="shared" si="104"/>
        <v>0</v>
      </c>
      <c r="O124" s="191"/>
      <c r="P124" s="192"/>
      <c r="Q124" s="192"/>
      <c r="R124" s="195">
        <f t="shared" si="105"/>
        <v>0</v>
      </c>
      <c r="S124" s="194">
        <f t="shared" si="106"/>
        <v>0</v>
      </c>
      <c r="T124" s="191"/>
      <c r="U124" s="192"/>
      <c r="V124" s="192"/>
      <c r="W124" s="195">
        <f t="shared" si="107"/>
        <v>0</v>
      </c>
      <c r="X124" s="194">
        <f t="shared" si="108"/>
        <v>0</v>
      </c>
      <c r="Y124" s="194">
        <f t="shared" si="109"/>
        <v>0</v>
      </c>
      <c r="Z124" s="200"/>
      <c r="AA124" s="230">
        <f t="shared" si="110"/>
        <v>0</v>
      </c>
    </row>
    <row r="125" spans="1:27" ht="28.35" customHeight="1">
      <c r="A125" s="206">
        <v>79</v>
      </c>
      <c r="B125" s="207" t="s">
        <v>493</v>
      </c>
      <c r="C125" s="198" t="s">
        <v>497</v>
      </c>
      <c r="D125" s="195" t="s">
        <v>420</v>
      </c>
      <c r="E125" s="191"/>
      <c r="F125" s="192"/>
      <c r="G125" s="192">
        <v>3</v>
      </c>
      <c r="H125" s="193">
        <f t="shared" si="120"/>
        <v>3</v>
      </c>
      <c r="I125" s="194">
        <f t="shared" si="102"/>
        <v>27000</v>
      </c>
      <c r="J125" s="191"/>
      <c r="K125" s="192"/>
      <c r="L125" s="192"/>
      <c r="M125" s="195">
        <f t="shared" si="103"/>
        <v>0</v>
      </c>
      <c r="N125" s="194">
        <f t="shared" si="104"/>
        <v>0</v>
      </c>
      <c r="O125" s="191"/>
      <c r="P125" s="192"/>
      <c r="Q125" s="192"/>
      <c r="R125" s="195">
        <f t="shared" si="105"/>
        <v>0</v>
      </c>
      <c r="S125" s="194">
        <f t="shared" si="106"/>
        <v>0</v>
      </c>
      <c r="T125" s="191"/>
      <c r="U125" s="192"/>
      <c r="V125" s="192"/>
      <c r="W125" s="195">
        <f t="shared" si="107"/>
        <v>0</v>
      </c>
      <c r="X125" s="194">
        <f t="shared" si="108"/>
        <v>0</v>
      </c>
      <c r="Y125" s="194">
        <f t="shared" si="109"/>
        <v>3</v>
      </c>
      <c r="Z125" s="200">
        <v>9000</v>
      </c>
      <c r="AA125" s="230">
        <f t="shared" si="110"/>
        <v>27000</v>
      </c>
    </row>
    <row r="126" spans="1:27" ht="28.35" customHeight="1">
      <c r="A126" s="206">
        <v>80</v>
      </c>
      <c r="B126" s="207" t="s">
        <v>493</v>
      </c>
      <c r="C126" s="198" t="s">
        <v>498</v>
      </c>
      <c r="D126" s="195" t="s">
        <v>420</v>
      </c>
      <c r="E126" s="191"/>
      <c r="F126" s="192"/>
      <c r="G126" s="192"/>
      <c r="H126" s="193">
        <f t="shared" si="120"/>
        <v>0</v>
      </c>
      <c r="I126" s="194">
        <f t="shared" si="102"/>
        <v>0</v>
      </c>
      <c r="J126" s="191"/>
      <c r="K126" s="192"/>
      <c r="L126" s="192"/>
      <c r="M126" s="195">
        <f t="shared" si="103"/>
        <v>0</v>
      </c>
      <c r="N126" s="194">
        <f t="shared" si="104"/>
        <v>0</v>
      </c>
      <c r="O126" s="191"/>
      <c r="P126" s="192"/>
      <c r="Q126" s="192"/>
      <c r="R126" s="195">
        <f t="shared" si="105"/>
        <v>0</v>
      </c>
      <c r="S126" s="194">
        <f t="shared" si="106"/>
        <v>0</v>
      </c>
      <c r="T126" s="191"/>
      <c r="U126" s="192"/>
      <c r="V126" s="192"/>
      <c r="W126" s="195">
        <f t="shared" si="107"/>
        <v>0</v>
      </c>
      <c r="X126" s="194">
        <f t="shared" si="108"/>
        <v>0</v>
      </c>
      <c r="Y126" s="194">
        <f t="shared" si="109"/>
        <v>0</v>
      </c>
      <c r="Z126" s="200"/>
      <c r="AA126" s="230">
        <f t="shared" si="110"/>
        <v>0</v>
      </c>
    </row>
    <row r="127" spans="1:27" ht="28.35" customHeight="1">
      <c r="A127" s="206">
        <v>81</v>
      </c>
      <c r="B127" s="207" t="s">
        <v>493</v>
      </c>
      <c r="C127" s="198" t="s">
        <v>499</v>
      </c>
      <c r="D127" s="195" t="s">
        <v>420</v>
      </c>
      <c r="E127" s="191"/>
      <c r="F127" s="192">
        <v>0</v>
      </c>
      <c r="G127" s="192"/>
      <c r="H127" s="193">
        <f t="shared" si="120"/>
        <v>0</v>
      </c>
      <c r="I127" s="194">
        <f t="shared" si="102"/>
        <v>0</v>
      </c>
      <c r="J127" s="191"/>
      <c r="K127" s="192"/>
      <c r="L127" s="192"/>
      <c r="M127" s="195">
        <f t="shared" si="103"/>
        <v>0</v>
      </c>
      <c r="N127" s="194">
        <f t="shared" si="104"/>
        <v>0</v>
      </c>
      <c r="O127" s="191"/>
      <c r="P127" s="192"/>
      <c r="Q127" s="192"/>
      <c r="R127" s="195">
        <f t="shared" si="105"/>
        <v>0</v>
      </c>
      <c r="S127" s="194">
        <f t="shared" si="106"/>
        <v>0</v>
      </c>
      <c r="T127" s="191"/>
      <c r="U127" s="192"/>
      <c r="V127" s="192"/>
      <c r="W127" s="195">
        <f t="shared" si="107"/>
        <v>0</v>
      </c>
      <c r="X127" s="194">
        <f t="shared" si="108"/>
        <v>0</v>
      </c>
      <c r="Y127" s="194">
        <f t="shared" si="109"/>
        <v>0</v>
      </c>
      <c r="Z127" s="200"/>
      <c r="AA127" s="230">
        <f t="shared" si="110"/>
        <v>0</v>
      </c>
    </row>
    <row r="128" spans="1:27" ht="28.35" customHeight="1">
      <c r="A128" s="206">
        <v>69</v>
      </c>
      <c r="B128" s="215"/>
      <c r="C128" s="198" t="s">
        <v>1635</v>
      </c>
      <c r="D128" s="229" t="s">
        <v>364</v>
      </c>
      <c r="E128" s="191"/>
      <c r="F128" s="192"/>
      <c r="G128" s="192">
        <v>8</v>
      </c>
      <c r="H128" s="193">
        <f t="shared" ref="H128" si="131">SUM(E128:G128)</f>
        <v>8</v>
      </c>
      <c r="I128" s="194">
        <f t="shared" ref="I128" si="132">H128*Z128</f>
        <v>40000</v>
      </c>
      <c r="J128" s="191"/>
      <c r="K128" s="192"/>
      <c r="L128" s="192"/>
      <c r="M128" s="195">
        <f t="shared" ref="M128" si="133">SUM(J128:L128)</f>
        <v>0</v>
      </c>
      <c r="N128" s="194">
        <f t="shared" ref="N128" si="134">M128*Z128</f>
        <v>0</v>
      </c>
      <c r="O128" s="191"/>
      <c r="P128" s="192"/>
      <c r="Q128" s="192"/>
      <c r="R128" s="195">
        <f t="shared" ref="R128" si="135">SUM(O128:Q128)</f>
        <v>0</v>
      </c>
      <c r="S128" s="194">
        <f t="shared" ref="S128" si="136">R128*Z128</f>
        <v>0</v>
      </c>
      <c r="T128" s="191"/>
      <c r="U128" s="192"/>
      <c r="V128" s="192"/>
      <c r="W128" s="195">
        <f t="shared" ref="W128" si="137">SUM(T128:V128)</f>
        <v>0</v>
      </c>
      <c r="X128" s="194">
        <f t="shared" ref="X128" si="138">W128*Z128</f>
        <v>0</v>
      </c>
      <c r="Y128" s="194">
        <f t="shared" ref="Y128" si="139">H128+M128+R128+W128</f>
        <v>8</v>
      </c>
      <c r="Z128" s="200">
        <v>5000</v>
      </c>
      <c r="AA128" s="230">
        <f t="shared" ref="AA128" si="140">Y128*Z128</f>
        <v>40000</v>
      </c>
    </row>
    <row r="129" spans="1:27" ht="28.35" customHeight="1">
      <c r="A129" s="206">
        <v>69</v>
      </c>
      <c r="B129" s="215"/>
      <c r="C129" s="198" t="s">
        <v>1501</v>
      </c>
      <c r="D129" s="229" t="s">
        <v>364</v>
      </c>
      <c r="E129" s="191"/>
      <c r="F129" s="192"/>
      <c r="G129" s="192">
        <v>10</v>
      </c>
      <c r="H129" s="193">
        <f t="shared" ref="H129:H130" si="141">SUM(E129:G129)</f>
        <v>10</v>
      </c>
      <c r="I129" s="194">
        <f t="shared" ref="I129:I130" si="142">H129*Z129</f>
        <v>20000</v>
      </c>
      <c r="J129" s="191"/>
      <c r="K129" s="192"/>
      <c r="L129" s="192"/>
      <c r="M129" s="195">
        <f t="shared" ref="M129:M130" si="143">SUM(J129:L129)</f>
        <v>0</v>
      </c>
      <c r="N129" s="194">
        <f t="shared" ref="N129:N130" si="144">M129*Z129</f>
        <v>0</v>
      </c>
      <c r="O129" s="191"/>
      <c r="P129" s="192"/>
      <c r="Q129" s="192"/>
      <c r="R129" s="195">
        <f t="shared" ref="R129:R130" si="145">SUM(O129:Q129)</f>
        <v>0</v>
      </c>
      <c r="S129" s="194">
        <f t="shared" ref="S129:S130" si="146">R129*Z129</f>
        <v>0</v>
      </c>
      <c r="T129" s="191"/>
      <c r="U129" s="192"/>
      <c r="V129" s="192"/>
      <c r="W129" s="195">
        <f t="shared" ref="W129:W130" si="147">SUM(T129:V129)</f>
        <v>0</v>
      </c>
      <c r="X129" s="194">
        <f t="shared" ref="X129:X130" si="148">W129*Z129</f>
        <v>0</v>
      </c>
      <c r="Y129" s="194">
        <f t="shared" ref="Y129:Y130" si="149">H129+M129+R129+W129</f>
        <v>10</v>
      </c>
      <c r="Z129" s="200">
        <v>2000</v>
      </c>
      <c r="AA129" s="230">
        <f t="shared" ref="AA129:AA130" si="150">Y129*Z129</f>
        <v>20000</v>
      </c>
    </row>
    <row r="130" spans="1:27" ht="28.35" customHeight="1">
      <c r="A130" s="206">
        <v>72</v>
      </c>
      <c r="B130" s="215"/>
      <c r="C130" s="198" t="s">
        <v>486</v>
      </c>
      <c r="D130" s="195" t="s">
        <v>420</v>
      </c>
      <c r="E130" s="191"/>
      <c r="F130" s="192"/>
      <c r="G130" s="192">
        <v>5</v>
      </c>
      <c r="H130" s="193">
        <f t="shared" si="141"/>
        <v>5</v>
      </c>
      <c r="I130" s="194">
        <f t="shared" si="142"/>
        <v>7500</v>
      </c>
      <c r="J130" s="191"/>
      <c r="K130" s="192"/>
      <c r="L130" s="192"/>
      <c r="M130" s="195">
        <f t="shared" si="143"/>
        <v>0</v>
      </c>
      <c r="N130" s="194">
        <f t="shared" si="144"/>
        <v>0</v>
      </c>
      <c r="O130" s="191"/>
      <c r="P130" s="192"/>
      <c r="Q130" s="192"/>
      <c r="R130" s="195">
        <f t="shared" si="145"/>
        <v>0</v>
      </c>
      <c r="S130" s="194">
        <f t="shared" si="146"/>
        <v>0</v>
      </c>
      <c r="T130" s="191"/>
      <c r="U130" s="192"/>
      <c r="V130" s="192"/>
      <c r="W130" s="195">
        <f t="shared" si="147"/>
        <v>0</v>
      </c>
      <c r="X130" s="194">
        <f t="shared" si="148"/>
        <v>0</v>
      </c>
      <c r="Y130" s="194">
        <f t="shared" si="149"/>
        <v>5</v>
      </c>
      <c r="Z130" s="200">
        <v>1500</v>
      </c>
      <c r="AA130" s="230">
        <f t="shared" si="150"/>
        <v>7500</v>
      </c>
    </row>
    <row r="131" spans="1:27" ht="28.35" customHeight="1" thickBot="1">
      <c r="A131" s="206">
        <v>72</v>
      </c>
      <c r="B131" s="215"/>
      <c r="C131" s="198" t="s">
        <v>1437</v>
      </c>
      <c r="D131" s="195" t="s">
        <v>420</v>
      </c>
      <c r="E131" s="191"/>
      <c r="F131" s="192"/>
      <c r="G131" s="192">
        <v>1</v>
      </c>
      <c r="H131" s="193">
        <f t="shared" ref="H131" si="151">SUM(E131:G131)</f>
        <v>1</v>
      </c>
      <c r="I131" s="194">
        <f t="shared" ref="I131" si="152">H131*Z131</f>
        <v>30000</v>
      </c>
      <c r="J131" s="191"/>
      <c r="K131" s="192"/>
      <c r="L131" s="192"/>
      <c r="M131" s="195">
        <f t="shared" ref="M131" si="153">SUM(J131:L131)</f>
        <v>0</v>
      </c>
      <c r="N131" s="194">
        <f t="shared" ref="N131" si="154">M131*Z131</f>
        <v>0</v>
      </c>
      <c r="O131" s="191"/>
      <c r="P131" s="192"/>
      <c r="Q131" s="192"/>
      <c r="R131" s="195">
        <f t="shared" ref="R131" si="155">SUM(O131:Q131)</f>
        <v>0</v>
      </c>
      <c r="S131" s="194">
        <f t="shared" ref="S131" si="156">R131*Z131</f>
        <v>0</v>
      </c>
      <c r="T131" s="191"/>
      <c r="U131" s="192"/>
      <c r="V131" s="192"/>
      <c r="W131" s="195">
        <f t="shared" ref="W131" si="157">SUM(T131:V131)</f>
        <v>0</v>
      </c>
      <c r="X131" s="194">
        <f t="shared" ref="X131" si="158">W131*Z131</f>
        <v>0</v>
      </c>
      <c r="Y131" s="194">
        <f t="shared" ref="Y131" si="159">H131+M131+R131+W131</f>
        <v>1</v>
      </c>
      <c r="Z131" s="200">
        <v>30000</v>
      </c>
      <c r="AA131" s="230">
        <f t="shared" ref="AA131" si="160">Y131*Z131</f>
        <v>30000</v>
      </c>
    </row>
    <row r="132" spans="1:27" ht="30" customHeight="1" thickBot="1">
      <c r="A132" s="160" t="s">
        <v>500</v>
      </c>
      <c r="B132" s="161"/>
      <c r="C132" s="161"/>
      <c r="D132" s="161"/>
      <c r="E132" s="162"/>
      <c r="F132" s="162"/>
      <c r="G132" s="162"/>
      <c r="H132" s="162"/>
      <c r="I132" s="163"/>
      <c r="J132" s="162"/>
      <c r="K132" s="162"/>
      <c r="L132" s="162"/>
      <c r="M132" s="162"/>
      <c r="N132" s="163"/>
      <c r="O132" s="162"/>
      <c r="P132" s="162"/>
      <c r="Q132" s="162"/>
      <c r="R132" s="162"/>
      <c r="S132" s="163"/>
      <c r="T132" s="162"/>
      <c r="U132" s="162"/>
      <c r="V132" s="162"/>
      <c r="W132" s="162"/>
      <c r="X132" s="163"/>
      <c r="Y132" s="163"/>
      <c r="Z132" s="177"/>
      <c r="AA132" s="178"/>
    </row>
    <row r="133" spans="1:27" ht="28.35" customHeight="1">
      <c r="A133" s="179">
        <v>82</v>
      </c>
      <c r="B133" s="180" t="s">
        <v>501</v>
      </c>
      <c r="C133" s="181" t="s">
        <v>502</v>
      </c>
      <c r="D133" s="182" t="s">
        <v>334</v>
      </c>
      <c r="E133" s="191"/>
      <c r="F133" s="192"/>
      <c r="G133" s="192"/>
      <c r="H133" s="193">
        <f t="shared" ref="H133:H189" si="161">SUM(E133:G133)</f>
        <v>0</v>
      </c>
      <c r="I133" s="194">
        <f t="shared" ref="I133:I189" si="162">H133*Z133</f>
        <v>0</v>
      </c>
      <c r="J133" s="191"/>
      <c r="K133" s="192"/>
      <c r="L133" s="192"/>
      <c r="M133" s="195">
        <f t="shared" ref="M133:M189" si="163">SUM(J133:L133)</f>
        <v>0</v>
      </c>
      <c r="N133" s="194">
        <f t="shared" ref="N133:N189" si="164">M133*Z133</f>
        <v>0</v>
      </c>
      <c r="O133" s="191"/>
      <c r="P133" s="192"/>
      <c r="Q133" s="192"/>
      <c r="R133" s="195">
        <f t="shared" ref="R133:R189" si="165">SUM(O133:Q133)</f>
        <v>0</v>
      </c>
      <c r="S133" s="194">
        <f t="shared" ref="S133:S189" si="166">R133*Z133</f>
        <v>0</v>
      </c>
      <c r="T133" s="191"/>
      <c r="U133" s="192"/>
      <c r="V133" s="192"/>
      <c r="W133" s="195">
        <f t="shared" ref="W133:W189" si="167">SUM(T133:V133)</f>
        <v>0</v>
      </c>
      <c r="X133" s="194">
        <f t="shared" ref="X133:X189" si="168">W133*Z133</f>
        <v>0</v>
      </c>
      <c r="Y133" s="183">
        <f t="shared" ref="Y133:Y189" si="169">H133+M133+R133+W133</f>
        <v>0</v>
      </c>
      <c r="Z133" s="205">
        <f>(VLOOKUP(B:B,[1]AppLists!M:O,3,FALSE))*$AB$2</f>
        <v>26.912100000000002</v>
      </c>
      <c r="AA133" s="184">
        <f t="shared" ref="AA133:AA189" si="170">Y133*Z133</f>
        <v>0</v>
      </c>
    </row>
    <row r="134" spans="1:27" ht="28.35" customHeight="1">
      <c r="A134" s="179">
        <v>83</v>
      </c>
      <c r="B134" s="197" t="s">
        <v>503</v>
      </c>
      <c r="C134" s="198" t="s">
        <v>504</v>
      </c>
      <c r="D134" s="199" t="s">
        <v>334</v>
      </c>
      <c r="E134" s="191"/>
      <c r="F134" s="192">
        <v>0</v>
      </c>
      <c r="G134" s="192"/>
      <c r="H134" s="193">
        <f t="shared" si="161"/>
        <v>0</v>
      </c>
      <c r="I134" s="194">
        <f t="shared" si="162"/>
        <v>0</v>
      </c>
      <c r="J134" s="191"/>
      <c r="K134" s="192"/>
      <c r="L134" s="192"/>
      <c r="M134" s="195">
        <f t="shared" si="163"/>
        <v>0</v>
      </c>
      <c r="N134" s="194">
        <f t="shared" si="164"/>
        <v>0</v>
      </c>
      <c r="O134" s="191"/>
      <c r="P134" s="192"/>
      <c r="Q134" s="192"/>
      <c r="R134" s="195">
        <f t="shared" si="165"/>
        <v>0</v>
      </c>
      <c r="S134" s="194">
        <f t="shared" si="166"/>
        <v>0</v>
      </c>
      <c r="T134" s="191"/>
      <c r="U134" s="192"/>
      <c r="V134" s="192"/>
      <c r="W134" s="195">
        <f t="shared" si="167"/>
        <v>0</v>
      </c>
      <c r="X134" s="194">
        <f t="shared" si="168"/>
        <v>0</v>
      </c>
      <c r="Y134" s="183">
        <f t="shared" si="169"/>
        <v>0</v>
      </c>
      <c r="Z134" s="205">
        <f>(VLOOKUP(B:B,[1]AppLists!M:O,3,FALSE))*$AB$2</f>
        <v>7.9352000000000009</v>
      </c>
      <c r="AA134" s="184">
        <f t="shared" si="170"/>
        <v>0</v>
      </c>
    </row>
    <row r="135" spans="1:27" ht="28.35" customHeight="1">
      <c r="A135" s="179">
        <v>84</v>
      </c>
      <c r="B135" s="197" t="s">
        <v>505</v>
      </c>
      <c r="C135" s="198" t="s">
        <v>506</v>
      </c>
      <c r="D135" s="199" t="s">
        <v>334</v>
      </c>
      <c r="E135" s="191"/>
      <c r="F135" s="192">
        <v>0</v>
      </c>
      <c r="G135" s="192"/>
      <c r="H135" s="193">
        <f t="shared" si="161"/>
        <v>0</v>
      </c>
      <c r="I135" s="194">
        <f t="shared" si="162"/>
        <v>0</v>
      </c>
      <c r="J135" s="191"/>
      <c r="K135" s="192"/>
      <c r="L135" s="192"/>
      <c r="M135" s="195">
        <f t="shared" si="163"/>
        <v>0</v>
      </c>
      <c r="N135" s="194">
        <f t="shared" si="164"/>
        <v>0</v>
      </c>
      <c r="O135" s="191"/>
      <c r="P135" s="192"/>
      <c r="Q135" s="192"/>
      <c r="R135" s="195">
        <f t="shared" si="165"/>
        <v>0</v>
      </c>
      <c r="S135" s="194">
        <f t="shared" si="166"/>
        <v>0</v>
      </c>
      <c r="T135" s="191"/>
      <c r="U135" s="192"/>
      <c r="V135" s="192"/>
      <c r="W135" s="195">
        <f t="shared" si="167"/>
        <v>0</v>
      </c>
      <c r="X135" s="194">
        <f t="shared" si="168"/>
        <v>0</v>
      </c>
      <c r="Y135" s="183">
        <f t="shared" si="169"/>
        <v>0</v>
      </c>
      <c r="Z135" s="205">
        <f>(VLOOKUP(B:B,[1]AppLists!M:O,3,FALSE))*$AB$2</f>
        <v>14.039200000000001</v>
      </c>
      <c r="AA135" s="184">
        <f t="shared" si="170"/>
        <v>0</v>
      </c>
    </row>
    <row r="136" spans="1:27" ht="28.35" customHeight="1">
      <c r="A136" s="179">
        <v>85</v>
      </c>
      <c r="B136" s="197" t="s">
        <v>507</v>
      </c>
      <c r="C136" s="198" t="s">
        <v>508</v>
      </c>
      <c r="D136" s="199" t="s">
        <v>334</v>
      </c>
      <c r="E136" s="191"/>
      <c r="F136" s="192">
        <v>0</v>
      </c>
      <c r="G136" s="192"/>
      <c r="H136" s="193">
        <f t="shared" si="161"/>
        <v>0</v>
      </c>
      <c r="I136" s="194">
        <f t="shared" si="162"/>
        <v>0</v>
      </c>
      <c r="J136" s="191"/>
      <c r="K136" s="192"/>
      <c r="L136" s="192"/>
      <c r="M136" s="195">
        <f t="shared" si="163"/>
        <v>0</v>
      </c>
      <c r="N136" s="194">
        <f t="shared" si="164"/>
        <v>0</v>
      </c>
      <c r="O136" s="191"/>
      <c r="P136" s="192"/>
      <c r="Q136" s="192"/>
      <c r="R136" s="195">
        <f t="shared" si="165"/>
        <v>0</v>
      </c>
      <c r="S136" s="194">
        <f t="shared" si="166"/>
        <v>0</v>
      </c>
      <c r="T136" s="191"/>
      <c r="U136" s="192"/>
      <c r="V136" s="192"/>
      <c r="W136" s="195">
        <f t="shared" si="167"/>
        <v>0</v>
      </c>
      <c r="X136" s="194">
        <f t="shared" si="168"/>
        <v>0</v>
      </c>
      <c r="Y136" s="183">
        <f t="shared" si="169"/>
        <v>0</v>
      </c>
      <c r="Z136" s="205">
        <f>(VLOOKUP(B:B,[1]AppLists!M:O,3,FALSE))*$AB$2</f>
        <v>21.538400000000003</v>
      </c>
      <c r="AA136" s="184">
        <f t="shared" si="170"/>
        <v>0</v>
      </c>
    </row>
    <row r="137" spans="1:27" ht="28.35" customHeight="1">
      <c r="A137" s="179">
        <v>86</v>
      </c>
      <c r="B137" s="197" t="s">
        <v>509</v>
      </c>
      <c r="C137" s="198" t="s">
        <v>510</v>
      </c>
      <c r="D137" s="199" t="s">
        <v>334</v>
      </c>
      <c r="E137" s="191"/>
      <c r="F137" s="192">
        <v>0</v>
      </c>
      <c r="G137" s="192"/>
      <c r="H137" s="193">
        <f t="shared" si="161"/>
        <v>0</v>
      </c>
      <c r="I137" s="194">
        <f t="shared" si="162"/>
        <v>0</v>
      </c>
      <c r="J137" s="191"/>
      <c r="K137" s="192"/>
      <c r="L137" s="192"/>
      <c r="M137" s="195">
        <f t="shared" si="163"/>
        <v>0</v>
      </c>
      <c r="N137" s="194">
        <f t="shared" si="164"/>
        <v>0</v>
      </c>
      <c r="O137" s="191"/>
      <c r="P137" s="192"/>
      <c r="Q137" s="192"/>
      <c r="R137" s="195">
        <f t="shared" si="165"/>
        <v>0</v>
      </c>
      <c r="S137" s="194">
        <f t="shared" si="166"/>
        <v>0</v>
      </c>
      <c r="T137" s="191"/>
      <c r="U137" s="192"/>
      <c r="V137" s="192"/>
      <c r="W137" s="195">
        <f t="shared" si="167"/>
        <v>0</v>
      </c>
      <c r="X137" s="194">
        <f t="shared" si="168"/>
        <v>0</v>
      </c>
      <c r="Y137" s="183">
        <f t="shared" si="169"/>
        <v>0</v>
      </c>
      <c r="Z137" s="205">
        <f>(VLOOKUP(B:B,[1]AppLists!M:O,3,FALSE))*$AB$2</f>
        <v>41.42</v>
      </c>
      <c r="AA137" s="184">
        <f t="shared" si="170"/>
        <v>0</v>
      </c>
    </row>
    <row r="138" spans="1:27" ht="28.35" customHeight="1">
      <c r="A138" s="179">
        <v>87</v>
      </c>
      <c r="B138" s="197" t="s">
        <v>511</v>
      </c>
      <c r="C138" s="198" t="s">
        <v>512</v>
      </c>
      <c r="D138" s="199" t="s">
        <v>364</v>
      </c>
      <c r="E138" s="191"/>
      <c r="F138" s="192">
        <v>0</v>
      </c>
      <c r="G138" s="192"/>
      <c r="H138" s="193">
        <f t="shared" si="161"/>
        <v>0</v>
      </c>
      <c r="I138" s="194">
        <f t="shared" si="162"/>
        <v>0</v>
      </c>
      <c r="J138" s="191"/>
      <c r="K138" s="192"/>
      <c r="L138" s="192"/>
      <c r="M138" s="195">
        <f t="shared" si="163"/>
        <v>0</v>
      </c>
      <c r="N138" s="194">
        <f t="shared" si="164"/>
        <v>0</v>
      </c>
      <c r="O138" s="191"/>
      <c r="P138" s="192"/>
      <c r="Q138" s="192"/>
      <c r="R138" s="195">
        <f t="shared" si="165"/>
        <v>0</v>
      </c>
      <c r="S138" s="194">
        <f t="shared" si="166"/>
        <v>0</v>
      </c>
      <c r="T138" s="191"/>
      <c r="U138" s="192"/>
      <c r="V138" s="192"/>
      <c r="W138" s="195">
        <f t="shared" si="167"/>
        <v>0</v>
      </c>
      <c r="X138" s="194">
        <f t="shared" si="168"/>
        <v>0</v>
      </c>
      <c r="Y138" s="183">
        <f t="shared" si="169"/>
        <v>0</v>
      </c>
      <c r="Z138" s="205">
        <f>(VLOOKUP(B:B,[1]AppLists!M:O,3,FALSE))*$AB$2</f>
        <v>18.3992</v>
      </c>
      <c r="AA138" s="184">
        <f t="shared" si="170"/>
        <v>0</v>
      </c>
    </row>
    <row r="139" spans="1:27" ht="28.35" customHeight="1">
      <c r="A139" s="179">
        <v>88</v>
      </c>
      <c r="B139" s="197" t="s">
        <v>513</v>
      </c>
      <c r="C139" s="198" t="s">
        <v>514</v>
      </c>
      <c r="D139" s="199" t="s">
        <v>364</v>
      </c>
      <c r="E139" s="191"/>
      <c r="F139" s="192">
        <v>0</v>
      </c>
      <c r="G139" s="192"/>
      <c r="H139" s="193">
        <f t="shared" si="161"/>
        <v>0</v>
      </c>
      <c r="I139" s="194">
        <f t="shared" si="162"/>
        <v>0</v>
      </c>
      <c r="J139" s="191"/>
      <c r="K139" s="192"/>
      <c r="L139" s="192"/>
      <c r="M139" s="195">
        <f t="shared" si="163"/>
        <v>0</v>
      </c>
      <c r="N139" s="194">
        <f t="shared" si="164"/>
        <v>0</v>
      </c>
      <c r="O139" s="191"/>
      <c r="P139" s="192"/>
      <c r="Q139" s="192"/>
      <c r="R139" s="195">
        <f t="shared" si="165"/>
        <v>0</v>
      </c>
      <c r="S139" s="194">
        <f t="shared" si="166"/>
        <v>0</v>
      </c>
      <c r="T139" s="191"/>
      <c r="U139" s="192"/>
      <c r="V139" s="192"/>
      <c r="W139" s="195">
        <f t="shared" si="167"/>
        <v>0</v>
      </c>
      <c r="X139" s="194">
        <f t="shared" si="168"/>
        <v>0</v>
      </c>
      <c r="Y139" s="183">
        <f t="shared" si="169"/>
        <v>0</v>
      </c>
      <c r="Z139" s="205">
        <f>(VLOOKUP(B:B,[1]AppLists!M:O,3,FALSE))*$AB$2</f>
        <v>73.138999999999996</v>
      </c>
      <c r="AA139" s="184">
        <f t="shared" si="170"/>
        <v>0</v>
      </c>
    </row>
    <row r="140" spans="1:27" ht="28.35" customHeight="1">
      <c r="A140" s="179">
        <v>89</v>
      </c>
      <c r="B140" s="197" t="s">
        <v>515</v>
      </c>
      <c r="C140" s="198" t="s">
        <v>516</v>
      </c>
      <c r="D140" s="199" t="s">
        <v>364</v>
      </c>
      <c r="E140" s="191"/>
      <c r="F140" s="192">
        <v>0</v>
      </c>
      <c r="G140" s="192"/>
      <c r="H140" s="193">
        <f t="shared" si="161"/>
        <v>0</v>
      </c>
      <c r="I140" s="194">
        <f t="shared" si="162"/>
        <v>0</v>
      </c>
      <c r="J140" s="191"/>
      <c r="K140" s="192"/>
      <c r="L140" s="192"/>
      <c r="M140" s="195">
        <f t="shared" si="163"/>
        <v>0</v>
      </c>
      <c r="N140" s="194">
        <f t="shared" si="164"/>
        <v>0</v>
      </c>
      <c r="O140" s="191"/>
      <c r="P140" s="192"/>
      <c r="Q140" s="192"/>
      <c r="R140" s="195">
        <f t="shared" si="165"/>
        <v>0</v>
      </c>
      <c r="S140" s="194">
        <f t="shared" si="166"/>
        <v>0</v>
      </c>
      <c r="T140" s="191"/>
      <c r="U140" s="192"/>
      <c r="V140" s="192"/>
      <c r="W140" s="195">
        <f t="shared" si="167"/>
        <v>0</v>
      </c>
      <c r="X140" s="194">
        <f t="shared" si="168"/>
        <v>0</v>
      </c>
      <c r="Y140" s="183">
        <f t="shared" si="169"/>
        <v>0</v>
      </c>
      <c r="Z140" s="205">
        <f>(VLOOKUP(B:B,[1]AppLists!M:O,3,FALSE))*$AB$2</f>
        <v>71.940000000000012</v>
      </c>
      <c r="AA140" s="184">
        <f t="shared" si="170"/>
        <v>0</v>
      </c>
    </row>
    <row r="141" spans="1:27" ht="28.35" customHeight="1">
      <c r="A141" s="179">
        <v>90</v>
      </c>
      <c r="B141" s="197" t="s">
        <v>517</v>
      </c>
      <c r="C141" s="198" t="s">
        <v>518</v>
      </c>
      <c r="D141" s="199" t="s">
        <v>334</v>
      </c>
      <c r="E141" s="191"/>
      <c r="F141" s="192"/>
      <c r="G141" s="192"/>
      <c r="H141" s="193">
        <f t="shared" si="161"/>
        <v>0</v>
      </c>
      <c r="I141" s="194">
        <f t="shared" si="162"/>
        <v>0</v>
      </c>
      <c r="J141" s="191"/>
      <c r="K141" s="192"/>
      <c r="L141" s="192"/>
      <c r="M141" s="195">
        <f t="shared" si="163"/>
        <v>0</v>
      </c>
      <c r="N141" s="194">
        <f t="shared" si="164"/>
        <v>0</v>
      </c>
      <c r="O141" s="191"/>
      <c r="P141" s="192"/>
      <c r="Q141" s="192"/>
      <c r="R141" s="195">
        <f t="shared" si="165"/>
        <v>0</v>
      </c>
      <c r="S141" s="194">
        <f t="shared" si="166"/>
        <v>0</v>
      </c>
      <c r="T141" s="191"/>
      <c r="U141" s="192"/>
      <c r="V141" s="192"/>
      <c r="W141" s="195">
        <f t="shared" si="167"/>
        <v>0</v>
      </c>
      <c r="X141" s="194">
        <f t="shared" si="168"/>
        <v>0</v>
      </c>
      <c r="Y141" s="183">
        <f t="shared" si="169"/>
        <v>0</v>
      </c>
      <c r="Z141" s="205">
        <f>(VLOOKUP(B:B,[1]AppLists!M:O,3,FALSE))*$AB$2</f>
        <v>427.75960000000003</v>
      </c>
      <c r="AA141" s="184">
        <f t="shared" si="170"/>
        <v>0</v>
      </c>
    </row>
    <row r="142" spans="1:27" ht="28.35" customHeight="1">
      <c r="A142" s="179">
        <v>91</v>
      </c>
      <c r="B142" s="197" t="s">
        <v>519</v>
      </c>
      <c r="C142" s="198" t="s">
        <v>520</v>
      </c>
      <c r="D142" s="199" t="s">
        <v>334</v>
      </c>
      <c r="E142" s="191"/>
      <c r="F142" s="192">
        <v>0</v>
      </c>
      <c r="G142" s="192"/>
      <c r="H142" s="193">
        <f t="shared" si="161"/>
        <v>0</v>
      </c>
      <c r="I142" s="194">
        <f t="shared" si="162"/>
        <v>0</v>
      </c>
      <c r="J142" s="191"/>
      <c r="K142" s="192"/>
      <c r="L142" s="192"/>
      <c r="M142" s="195">
        <f t="shared" si="163"/>
        <v>0</v>
      </c>
      <c r="N142" s="194">
        <f t="shared" si="164"/>
        <v>0</v>
      </c>
      <c r="O142" s="191"/>
      <c r="P142" s="192"/>
      <c r="Q142" s="192"/>
      <c r="R142" s="195">
        <f t="shared" si="165"/>
        <v>0</v>
      </c>
      <c r="S142" s="194">
        <f t="shared" si="166"/>
        <v>0</v>
      </c>
      <c r="T142" s="191"/>
      <c r="U142" s="192"/>
      <c r="V142" s="192"/>
      <c r="W142" s="195">
        <f t="shared" si="167"/>
        <v>0</v>
      </c>
      <c r="X142" s="194">
        <f t="shared" si="168"/>
        <v>0</v>
      </c>
      <c r="Y142" s="183">
        <f t="shared" si="169"/>
        <v>0</v>
      </c>
      <c r="Z142" s="205">
        <f>(VLOOKUP(B:B,[1]AppLists!M:O,3,FALSE))*$AB$2</f>
        <v>542.98350000000005</v>
      </c>
      <c r="AA142" s="184">
        <f t="shared" si="170"/>
        <v>0</v>
      </c>
    </row>
    <row r="143" spans="1:27" ht="28.35" customHeight="1">
      <c r="A143" s="179">
        <v>92</v>
      </c>
      <c r="B143" s="197" t="s">
        <v>521</v>
      </c>
      <c r="C143" s="198" t="s">
        <v>522</v>
      </c>
      <c r="D143" s="199" t="s">
        <v>334</v>
      </c>
      <c r="E143" s="191"/>
      <c r="F143" s="192">
        <v>0</v>
      </c>
      <c r="G143" s="192"/>
      <c r="H143" s="193">
        <f t="shared" si="161"/>
        <v>0</v>
      </c>
      <c r="I143" s="194">
        <f t="shared" si="162"/>
        <v>0</v>
      </c>
      <c r="J143" s="191"/>
      <c r="K143" s="192"/>
      <c r="L143" s="192"/>
      <c r="M143" s="195">
        <f t="shared" si="163"/>
        <v>0</v>
      </c>
      <c r="N143" s="194">
        <f t="shared" si="164"/>
        <v>0</v>
      </c>
      <c r="O143" s="191"/>
      <c r="P143" s="192"/>
      <c r="Q143" s="192"/>
      <c r="R143" s="195">
        <f t="shared" si="165"/>
        <v>0</v>
      </c>
      <c r="S143" s="194">
        <f t="shared" si="166"/>
        <v>0</v>
      </c>
      <c r="T143" s="191"/>
      <c r="U143" s="192"/>
      <c r="V143" s="192"/>
      <c r="W143" s="195">
        <f t="shared" si="167"/>
        <v>0</v>
      </c>
      <c r="X143" s="194">
        <f t="shared" si="168"/>
        <v>0</v>
      </c>
      <c r="Y143" s="183">
        <f t="shared" si="169"/>
        <v>0</v>
      </c>
      <c r="Z143" s="205">
        <f>(VLOOKUP(B:B,[1]AppLists!M:O,3,FALSE))*$AB$2</f>
        <v>773.90000000000009</v>
      </c>
      <c r="AA143" s="184">
        <f t="shared" si="170"/>
        <v>0</v>
      </c>
    </row>
    <row r="144" spans="1:27" ht="28.35" customHeight="1">
      <c r="A144" s="179">
        <v>93</v>
      </c>
      <c r="B144" s="197" t="s">
        <v>523</v>
      </c>
      <c r="C144" s="198" t="s">
        <v>524</v>
      </c>
      <c r="D144" s="199" t="s">
        <v>364</v>
      </c>
      <c r="E144" s="191"/>
      <c r="F144" s="192">
        <v>0</v>
      </c>
      <c r="G144" s="192"/>
      <c r="H144" s="193">
        <f t="shared" si="161"/>
        <v>0</v>
      </c>
      <c r="I144" s="194">
        <f t="shared" si="162"/>
        <v>0</v>
      </c>
      <c r="J144" s="191"/>
      <c r="K144" s="192"/>
      <c r="L144" s="192"/>
      <c r="M144" s="195">
        <f t="shared" si="163"/>
        <v>0</v>
      </c>
      <c r="N144" s="194">
        <f t="shared" si="164"/>
        <v>0</v>
      </c>
      <c r="O144" s="191"/>
      <c r="P144" s="192"/>
      <c r="Q144" s="192"/>
      <c r="R144" s="195">
        <f t="shared" si="165"/>
        <v>0</v>
      </c>
      <c r="S144" s="194">
        <f t="shared" si="166"/>
        <v>0</v>
      </c>
      <c r="T144" s="191"/>
      <c r="U144" s="192"/>
      <c r="V144" s="192"/>
      <c r="W144" s="195">
        <f t="shared" si="167"/>
        <v>0</v>
      </c>
      <c r="X144" s="194">
        <f t="shared" si="168"/>
        <v>0</v>
      </c>
      <c r="Y144" s="183">
        <f t="shared" si="169"/>
        <v>0</v>
      </c>
      <c r="Z144" s="205">
        <f>(VLOOKUP(B:B,[1]AppLists!M:O,3,FALSE))*$AB$2</f>
        <v>31.958800000000004</v>
      </c>
      <c r="AA144" s="184">
        <f t="shared" si="170"/>
        <v>0</v>
      </c>
    </row>
    <row r="145" spans="1:27" ht="28.35" customHeight="1">
      <c r="A145" s="179">
        <v>94</v>
      </c>
      <c r="B145" s="197" t="s">
        <v>525</v>
      </c>
      <c r="C145" s="198" t="s">
        <v>526</v>
      </c>
      <c r="D145" s="199" t="s">
        <v>334</v>
      </c>
      <c r="E145" s="191"/>
      <c r="F145" s="192"/>
      <c r="G145" s="192"/>
      <c r="H145" s="193">
        <f t="shared" si="161"/>
        <v>0</v>
      </c>
      <c r="I145" s="194">
        <f t="shared" si="162"/>
        <v>0</v>
      </c>
      <c r="J145" s="191"/>
      <c r="K145" s="192"/>
      <c r="L145" s="192"/>
      <c r="M145" s="195">
        <f t="shared" si="163"/>
        <v>0</v>
      </c>
      <c r="N145" s="194">
        <f t="shared" si="164"/>
        <v>0</v>
      </c>
      <c r="O145" s="191"/>
      <c r="P145" s="192"/>
      <c r="Q145" s="192"/>
      <c r="R145" s="195">
        <f t="shared" si="165"/>
        <v>0</v>
      </c>
      <c r="S145" s="194">
        <f t="shared" si="166"/>
        <v>0</v>
      </c>
      <c r="T145" s="191"/>
      <c r="U145" s="192"/>
      <c r="V145" s="192"/>
      <c r="W145" s="195">
        <f t="shared" si="167"/>
        <v>0</v>
      </c>
      <c r="X145" s="194">
        <f t="shared" si="168"/>
        <v>0</v>
      </c>
      <c r="Y145" s="183">
        <f t="shared" si="169"/>
        <v>0</v>
      </c>
      <c r="Z145" s="205">
        <f>(VLOOKUP(B:B,[1]AppLists!M:O,3,FALSE))*$AB$2</f>
        <v>344.44</v>
      </c>
      <c r="AA145" s="184">
        <f t="shared" si="170"/>
        <v>0</v>
      </c>
    </row>
    <row r="146" spans="1:27" ht="28.35" customHeight="1">
      <c r="A146" s="179">
        <v>95</v>
      </c>
      <c r="B146" s="197" t="s">
        <v>527</v>
      </c>
      <c r="C146" s="198" t="s">
        <v>528</v>
      </c>
      <c r="D146" s="199" t="s">
        <v>334</v>
      </c>
      <c r="E146" s="191"/>
      <c r="F146" s="192"/>
      <c r="G146" s="192"/>
      <c r="H146" s="193">
        <f t="shared" si="161"/>
        <v>0</v>
      </c>
      <c r="I146" s="194">
        <f t="shared" si="162"/>
        <v>0</v>
      </c>
      <c r="J146" s="191"/>
      <c r="K146" s="192"/>
      <c r="L146" s="192"/>
      <c r="M146" s="195">
        <f t="shared" si="163"/>
        <v>0</v>
      </c>
      <c r="N146" s="194">
        <f t="shared" si="164"/>
        <v>0</v>
      </c>
      <c r="O146" s="191"/>
      <c r="P146" s="192"/>
      <c r="Q146" s="192"/>
      <c r="R146" s="195">
        <f t="shared" si="165"/>
        <v>0</v>
      </c>
      <c r="S146" s="194">
        <f t="shared" si="166"/>
        <v>0</v>
      </c>
      <c r="T146" s="191"/>
      <c r="U146" s="192"/>
      <c r="V146" s="192"/>
      <c r="W146" s="195">
        <f t="shared" si="167"/>
        <v>0</v>
      </c>
      <c r="X146" s="194">
        <f t="shared" si="168"/>
        <v>0</v>
      </c>
      <c r="Y146" s="183">
        <f t="shared" si="169"/>
        <v>0</v>
      </c>
      <c r="Z146" s="205">
        <f>(VLOOKUP(B:B,[1]AppLists!M:O,3,FALSE))*$AB$2</f>
        <v>430.55</v>
      </c>
      <c r="AA146" s="184">
        <f t="shared" si="170"/>
        <v>0</v>
      </c>
    </row>
    <row r="147" spans="1:27" ht="28.35" customHeight="1">
      <c r="A147" s="179">
        <v>96</v>
      </c>
      <c r="B147" s="197" t="s">
        <v>529</v>
      </c>
      <c r="C147" s="198" t="s">
        <v>530</v>
      </c>
      <c r="D147" s="199" t="s">
        <v>364</v>
      </c>
      <c r="E147" s="191"/>
      <c r="F147" s="192"/>
      <c r="G147" s="192"/>
      <c r="H147" s="193">
        <f t="shared" si="161"/>
        <v>0</v>
      </c>
      <c r="I147" s="194">
        <f t="shared" si="162"/>
        <v>0</v>
      </c>
      <c r="J147" s="191"/>
      <c r="K147" s="192"/>
      <c r="L147" s="192"/>
      <c r="M147" s="195">
        <f t="shared" si="163"/>
        <v>0</v>
      </c>
      <c r="N147" s="194">
        <f t="shared" si="164"/>
        <v>0</v>
      </c>
      <c r="O147" s="191"/>
      <c r="P147" s="192"/>
      <c r="Q147" s="192"/>
      <c r="R147" s="195">
        <f t="shared" si="165"/>
        <v>0</v>
      </c>
      <c r="S147" s="194">
        <f t="shared" si="166"/>
        <v>0</v>
      </c>
      <c r="T147" s="191"/>
      <c r="U147" s="192"/>
      <c r="V147" s="192"/>
      <c r="W147" s="195">
        <f t="shared" si="167"/>
        <v>0</v>
      </c>
      <c r="X147" s="194">
        <f t="shared" si="168"/>
        <v>0</v>
      </c>
      <c r="Y147" s="183">
        <f t="shared" si="169"/>
        <v>0</v>
      </c>
      <c r="Z147" s="205">
        <f>(VLOOKUP(B:B,[1]AppLists!M:O,3,FALSE))*$AB$2</f>
        <v>11.641200000000001</v>
      </c>
      <c r="AA147" s="184">
        <f t="shared" si="170"/>
        <v>0</v>
      </c>
    </row>
    <row r="148" spans="1:27" ht="28.35" customHeight="1">
      <c r="A148" s="179">
        <v>97</v>
      </c>
      <c r="B148" s="197" t="s">
        <v>531</v>
      </c>
      <c r="C148" s="198" t="s">
        <v>532</v>
      </c>
      <c r="D148" s="199" t="s">
        <v>334</v>
      </c>
      <c r="E148" s="191"/>
      <c r="F148" s="192"/>
      <c r="G148" s="192"/>
      <c r="H148" s="193">
        <f t="shared" si="161"/>
        <v>0</v>
      </c>
      <c r="I148" s="194">
        <f t="shared" si="162"/>
        <v>0</v>
      </c>
      <c r="J148" s="191"/>
      <c r="K148" s="192"/>
      <c r="L148" s="192"/>
      <c r="M148" s="195">
        <f t="shared" si="163"/>
        <v>0</v>
      </c>
      <c r="N148" s="194">
        <f t="shared" si="164"/>
        <v>0</v>
      </c>
      <c r="O148" s="191"/>
      <c r="P148" s="192"/>
      <c r="Q148" s="192"/>
      <c r="R148" s="195">
        <f t="shared" si="165"/>
        <v>0</v>
      </c>
      <c r="S148" s="194">
        <f t="shared" si="166"/>
        <v>0</v>
      </c>
      <c r="T148" s="191"/>
      <c r="U148" s="192"/>
      <c r="V148" s="192"/>
      <c r="W148" s="195">
        <f t="shared" si="167"/>
        <v>0</v>
      </c>
      <c r="X148" s="194">
        <f t="shared" si="168"/>
        <v>0</v>
      </c>
      <c r="Y148" s="183">
        <f t="shared" si="169"/>
        <v>0</v>
      </c>
      <c r="Z148" s="205">
        <f>(VLOOKUP(B:B,[1]AppLists!M:O,3,FALSE))*$AB$2</f>
        <v>82.709199999999996</v>
      </c>
      <c r="AA148" s="184">
        <f t="shared" si="170"/>
        <v>0</v>
      </c>
    </row>
    <row r="149" spans="1:27" ht="28.35" customHeight="1">
      <c r="A149" s="179">
        <v>98</v>
      </c>
      <c r="B149" s="197" t="s">
        <v>533</v>
      </c>
      <c r="C149" s="198" t="s">
        <v>534</v>
      </c>
      <c r="D149" s="199" t="s">
        <v>364</v>
      </c>
      <c r="E149" s="191"/>
      <c r="F149" s="192">
        <v>0</v>
      </c>
      <c r="G149" s="192"/>
      <c r="H149" s="193">
        <f t="shared" si="161"/>
        <v>0</v>
      </c>
      <c r="I149" s="194">
        <f t="shared" si="162"/>
        <v>0</v>
      </c>
      <c r="J149" s="191"/>
      <c r="K149" s="192"/>
      <c r="L149" s="192"/>
      <c r="M149" s="195">
        <f t="shared" si="163"/>
        <v>0</v>
      </c>
      <c r="N149" s="194">
        <f t="shared" si="164"/>
        <v>0</v>
      </c>
      <c r="O149" s="191"/>
      <c r="P149" s="192"/>
      <c r="Q149" s="192"/>
      <c r="R149" s="195">
        <f t="shared" si="165"/>
        <v>0</v>
      </c>
      <c r="S149" s="194">
        <f t="shared" si="166"/>
        <v>0</v>
      </c>
      <c r="T149" s="191"/>
      <c r="U149" s="192"/>
      <c r="V149" s="192"/>
      <c r="W149" s="195">
        <f t="shared" si="167"/>
        <v>0</v>
      </c>
      <c r="X149" s="194">
        <f t="shared" si="168"/>
        <v>0</v>
      </c>
      <c r="Y149" s="183">
        <f t="shared" si="169"/>
        <v>0</v>
      </c>
      <c r="Z149" s="205">
        <f>(VLOOKUP(B:B,[1]AppLists!M:O,3,FALSE))*$AB$2</f>
        <v>74.000100000000003</v>
      </c>
      <c r="AA149" s="184">
        <f t="shared" si="170"/>
        <v>0</v>
      </c>
    </row>
    <row r="150" spans="1:27" ht="28.35" customHeight="1">
      <c r="A150" s="179">
        <v>99</v>
      </c>
      <c r="B150" s="197" t="s">
        <v>535</v>
      </c>
      <c r="C150" s="198" t="s">
        <v>536</v>
      </c>
      <c r="D150" s="199" t="s">
        <v>537</v>
      </c>
      <c r="E150" s="191"/>
      <c r="F150" s="192"/>
      <c r="G150" s="192"/>
      <c r="H150" s="193">
        <f t="shared" si="161"/>
        <v>0</v>
      </c>
      <c r="I150" s="194">
        <f t="shared" si="162"/>
        <v>0</v>
      </c>
      <c r="J150" s="191"/>
      <c r="K150" s="192"/>
      <c r="L150" s="192"/>
      <c r="M150" s="195">
        <f t="shared" si="163"/>
        <v>0</v>
      </c>
      <c r="N150" s="194">
        <f t="shared" si="164"/>
        <v>0</v>
      </c>
      <c r="O150" s="191"/>
      <c r="P150" s="192"/>
      <c r="Q150" s="192"/>
      <c r="R150" s="195">
        <f t="shared" si="165"/>
        <v>0</v>
      </c>
      <c r="S150" s="194">
        <f t="shared" si="166"/>
        <v>0</v>
      </c>
      <c r="T150" s="191"/>
      <c r="U150" s="192"/>
      <c r="V150" s="192"/>
      <c r="W150" s="195">
        <f t="shared" si="167"/>
        <v>0</v>
      </c>
      <c r="X150" s="194">
        <f t="shared" si="168"/>
        <v>0</v>
      </c>
      <c r="Y150" s="183">
        <f t="shared" si="169"/>
        <v>0</v>
      </c>
      <c r="Z150" s="205">
        <f>(VLOOKUP(B:B,[1]AppLists!M:O,3,FALSE))*$AB$2</f>
        <v>13.080000000000002</v>
      </c>
      <c r="AA150" s="184">
        <f t="shared" si="170"/>
        <v>0</v>
      </c>
    </row>
    <row r="151" spans="1:27" ht="28.35" customHeight="1">
      <c r="A151" s="179">
        <v>100</v>
      </c>
      <c r="B151" s="197" t="s">
        <v>538</v>
      </c>
      <c r="C151" s="198" t="s">
        <v>539</v>
      </c>
      <c r="D151" s="199" t="s">
        <v>537</v>
      </c>
      <c r="E151" s="191"/>
      <c r="F151" s="192"/>
      <c r="G151" s="192"/>
      <c r="H151" s="193">
        <f t="shared" si="161"/>
        <v>0</v>
      </c>
      <c r="I151" s="194">
        <f t="shared" si="162"/>
        <v>0</v>
      </c>
      <c r="J151" s="191"/>
      <c r="K151" s="192"/>
      <c r="L151" s="192"/>
      <c r="M151" s="195">
        <f t="shared" si="163"/>
        <v>0</v>
      </c>
      <c r="N151" s="194">
        <f t="shared" si="164"/>
        <v>0</v>
      </c>
      <c r="O151" s="191"/>
      <c r="P151" s="192"/>
      <c r="Q151" s="192"/>
      <c r="R151" s="195">
        <f t="shared" si="165"/>
        <v>0</v>
      </c>
      <c r="S151" s="194">
        <f t="shared" si="166"/>
        <v>0</v>
      </c>
      <c r="T151" s="191"/>
      <c r="U151" s="192"/>
      <c r="V151" s="192"/>
      <c r="W151" s="195">
        <f t="shared" si="167"/>
        <v>0</v>
      </c>
      <c r="X151" s="194">
        <f t="shared" si="168"/>
        <v>0</v>
      </c>
      <c r="Y151" s="183">
        <f t="shared" si="169"/>
        <v>0</v>
      </c>
      <c r="Z151" s="205">
        <f>(VLOOKUP(B:B,[1]AppLists!M:O,3,FALSE))*$AB$2</f>
        <v>17.440000000000001</v>
      </c>
      <c r="AA151" s="184">
        <f t="shared" si="170"/>
        <v>0</v>
      </c>
    </row>
    <row r="152" spans="1:27" ht="28.35" customHeight="1">
      <c r="A152" s="179">
        <v>101</v>
      </c>
      <c r="B152" s="197" t="s">
        <v>540</v>
      </c>
      <c r="C152" s="198" t="s">
        <v>541</v>
      </c>
      <c r="D152" s="199" t="s">
        <v>354</v>
      </c>
      <c r="E152" s="191"/>
      <c r="F152" s="192"/>
      <c r="G152" s="192"/>
      <c r="H152" s="193">
        <f t="shared" si="161"/>
        <v>0</v>
      </c>
      <c r="I152" s="194">
        <f t="shared" si="162"/>
        <v>0</v>
      </c>
      <c r="J152" s="191"/>
      <c r="K152" s="192"/>
      <c r="L152" s="192"/>
      <c r="M152" s="195">
        <f t="shared" si="163"/>
        <v>0</v>
      </c>
      <c r="N152" s="194">
        <f t="shared" si="164"/>
        <v>0</v>
      </c>
      <c r="O152" s="191"/>
      <c r="P152" s="192"/>
      <c r="Q152" s="192"/>
      <c r="R152" s="195">
        <f t="shared" si="165"/>
        <v>0</v>
      </c>
      <c r="S152" s="194">
        <f t="shared" si="166"/>
        <v>0</v>
      </c>
      <c r="T152" s="191"/>
      <c r="U152" s="192"/>
      <c r="V152" s="192"/>
      <c r="W152" s="195">
        <f t="shared" si="167"/>
        <v>0</v>
      </c>
      <c r="X152" s="194">
        <f t="shared" si="168"/>
        <v>0</v>
      </c>
      <c r="Y152" s="183">
        <f t="shared" si="169"/>
        <v>0</v>
      </c>
      <c r="Z152" s="205">
        <f>(VLOOKUP(B:B,[1]AppLists!M:O,3,FALSE))*$AB$2</f>
        <v>265.46950000000004</v>
      </c>
      <c r="AA152" s="184">
        <f t="shared" si="170"/>
        <v>0</v>
      </c>
    </row>
    <row r="153" spans="1:27" ht="28.35" customHeight="1">
      <c r="A153" s="179">
        <v>102</v>
      </c>
      <c r="B153" s="197" t="s">
        <v>542</v>
      </c>
      <c r="C153" s="198" t="s">
        <v>543</v>
      </c>
      <c r="D153" s="199" t="s">
        <v>354</v>
      </c>
      <c r="E153" s="191"/>
      <c r="F153" s="192"/>
      <c r="G153" s="192"/>
      <c r="H153" s="193">
        <f t="shared" si="161"/>
        <v>0</v>
      </c>
      <c r="I153" s="194">
        <f t="shared" si="162"/>
        <v>0</v>
      </c>
      <c r="J153" s="191"/>
      <c r="K153" s="192"/>
      <c r="L153" s="192"/>
      <c r="M153" s="195">
        <f t="shared" si="163"/>
        <v>0</v>
      </c>
      <c r="N153" s="194">
        <f t="shared" si="164"/>
        <v>0</v>
      </c>
      <c r="O153" s="191"/>
      <c r="P153" s="192"/>
      <c r="Q153" s="192"/>
      <c r="R153" s="195">
        <f t="shared" si="165"/>
        <v>0</v>
      </c>
      <c r="S153" s="194">
        <f t="shared" si="166"/>
        <v>0</v>
      </c>
      <c r="T153" s="191"/>
      <c r="U153" s="192"/>
      <c r="V153" s="192"/>
      <c r="W153" s="195">
        <f t="shared" si="167"/>
        <v>0</v>
      </c>
      <c r="X153" s="194">
        <f t="shared" si="168"/>
        <v>0</v>
      </c>
      <c r="Y153" s="183">
        <f t="shared" si="169"/>
        <v>0</v>
      </c>
      <c r="Z153" s="205">
        <f>(VLOOKUP(B:B,[1]AppLists!M:O,3,FALSE))*$AB$2</f>
        <v>305.20000000000005</v>
      </c>
      <c r="AA153" s="184">
        <f t="shared" si="170"/>
        <v>0</v>
      </c>
    </row>
    <row r="154" spans="1:27" ht="28.35" customHeight="1">
      <c r="A154" s="179">
        <v>103</v>
      </c>
      <c r="B154" s="197" t="s">
        <v>544</v>
      </c>
      <c r="C154" s="198" t="s">
        <v>545</v>
      </c>
      <c r="D154" s="199" t="s">
        <v>339</v>
      </c>
      <c r="E154" s="191"/>
      <c r="F154" s="192"/>
      <c r="G154" s="192"/>
      <c r="H154" s="193">
        <f t="shared" si="161"/>
        <v>0</v>
      </c>
      <c r="I154" s="194">
        <f t="shared" si="162"/>
        <v>0</v>
      </c>
      <c r="J154" s="191"/>
      <c r="K154" s="192"/>
      <c r="L154" s="192"/>
      <c r="M154" s="195">
        <f t="shared" si="163"/>
        <v>0</v>
      </c>
      <c r="N154" s="194">
        <f t="shared" si="164"/>
        <v>0</v>
      </c>
      <c r="O154" s="191"/>
      <c r="P154" s="192"/>
      <c r="Q154" s="192"/>
      <c r="R154" s="195">
        <f t="shared" si="165"/>
        <v>0</v>
      </c>
      <c r="S154" s="194">
        <f t="shared" si="166"/>
        <v>0</v>
      </c>
      <c r="T154" s="191"/>
      <c r="U154" s="192"/>
      <c r="V154" s="192"/>
      <c r="W154" s="195">
        <f t="shared" si="167"/>
        <v>0</v>
      </c>
      <c r="X154" s="194">
        <f t="shared" si="168"/>
        <v>0</v>
      </c>
      <c r="Y154" s="183">
        <f t="shared" si="169"/>
        <v>0</v>
      </c>
      <c r="Z154" s="205">
        <f>(VLOOKUP(B:B,[1]AppLists!M:O,3,FALSE))*$AB$2</f>
        <v>179.30500000000001</v>
      </c>
      <c r="AA154" s="184">
        <f t="shared" si="170"/>
        <v>0</v>
      </c>
    </row>
    <row r="155" spans="1:27" ht="28.35" customHeight="1">
      <c r="A155" s="179">
        <v>104</v>
      </c>
      <c r="B155" s="197" t="s">
        <v>546</v>
      </c>
      <c r="C155" s="198" t="s">
        <v>547</v>
      </c>
      <c r="D155" s="199" t="s">
        <v>339</v>
      </c>
      <c r="E155" s="191"/>
      <c r="F155" s="192"/>
      <c r="G155" s="192"/>
      <c r="H155" s="193">
        <f t="shared" si="161"/>
        <v>0</v>
      </c>
      <c r="I155" s="194">
        <f t="shared" si="162"/>
        <v>0</v>
      </c>
      <c r="J155" s="191"/>
      <c r="K155" s="192"/>
      <c r="L155" s="192"/>
      <c r="M155" s="195">
        <f t="shared" si="163"/>
        <v>0</v>
      </c>
      <c r="N155" s="194">
        <f t="shared" si="164"/>
        <v>0</v>
      </c>
      <c r="O155" s="191"/>
      <c r="P155" s="192"/>
      <c r="Q155" s="192"/>
      <c r="R155" s="195">
        <f t="shared" si="165"/>
        <v>0</v>
      </c>
      <c r="S155" s="194">
        <f t="shared" si="166"/>
        <v>0</v>
      </c>
      <c r="T155" s="191"/>
      <c r="U155" s="192"/>
      <c r="V155" s="192"/>
      <c r="W155" s="195">
        <f t="shared" si="167"/>
        <v>0</v>
      </c>
      <c r="X155" s="194">
        <f t="shared" si="168"/>
        <v>0</v>
      </c>
      <c r="Y155" s="183">
        <f t="shared" si="169"/>
        <v>0</v>
      </c>
      <c r="Z155" s="205">
        <f>(VLOOKUP(B:B,[1]AppLists!M:O,3,FALSE))*$AB$2</f>
        <v>223.995</v>
      </c>
      <c r="AA155" s="184">
        <f t="shared" si="170"/>
        <v>0</v>
      </c>
    </row>
    <row r="156" spans="1:27" ht="28.35" customHeight="1">
      <c r="A156" s="179">
        <v>105</v>
      </c>
      <c r="B156" s="197" t="s">
        <v>548</v>
      </c>
      <c r="C156" s="198" t="s">
        <v>549</v>
      </c>
      <c r="D156" s="199" t="s">
        <v>334</v>
      </c>
      <c r="E156" s="191"/>
      <c r="F156" s="192"/>
      <c r="G156" s="192"/>
      <c r="H156" s="193">
        <f t="shared" si="161"/>
        <v>0</v>
      </c>
      <c r="I156" s="194">
        <f t="shared" si="162"/>
        <v>0</v>
      </c>
      <c r="J156" s="191"/>
      <c r="K156" s="192"/>
      <c r="L156" s="192"/>
      <c r="M156" s="195">
        <f t="shared" si="163"/>
        <v>0</v>
      </c>
      <c r="N156" s="194">
        <f t="shared" si="164"/>
        <v>0</v>
      </c>
      <c r="O156" s="191"/>
      <c r="P156" s="192"/>
      <c r="Q156" s="192"/>
      <c r="R156" s="195">
        <f t="shared" si="165"/>
        <v>0</v>
      </c>
      <c r="S156" s="194">
        <f t="shared" si="166"/>
        <v>0</v>
      </c>
      <c r="T156" s="191"/>
      <c r="U156" s="192"/>
      <c r="V156" s="192"/>
      <c r="W156" s="195">
        <f t="shared" si="167"/>
        <v>0</v>
      </c>
      <c r="X156" s="194">
        <f t="shared" si="168"/>
        <v>0</v>
      </c>
      <c r="Y156" s="183">
        <f t="shared" si="169"/>
        <v>0</v>
      </c>
      <c r="Z156" s="205">
        <f>(VLOOKUP(B:B,[1]AppLists!M:O,3,FALSE))*$AB$2</f>
        <v>782.62</v>
      </c>
      <c r="AA156" s="184">
        <f t="shared" si="170"/>
        <v>0</v>
      </c>
    </row>
    <row r="157" spans="1:27" ht="28.35" customHeight="1">
      <c r="A157" s="179">
        <v>106</v>
      </c>
      <c r="B157" s="197" t="s">
        <v>550</v>
      </c>
      <c r="C157" s="198" t="s">
        <v>551</v>
      </c>
      <c r="D157" s="199" t="s">
        <v>339</v>
      </c>
      <c r="E157" s="191"/>
      <c r="F157" s="192"/>
      <c r="G157" s="192"/>
      <c r="H157" s="193">
        <f t="shared" si="161"/>
        <v>0</v>
      </c>
      <c r="I157" s="194">
        <f t="shared" si="162"/>
        <v>0</v>
      </c>
      <c r="J157" s="191"/>
      <c r="K157" s="192"/>
      <c r="L157" s="192"/>
      <c r="M157" s="195">
        <f t="shared" si="163"/>
        <v>0</v>
      </c>
      <c r="N157" s="194">
        <f t="shared" si="164"/>
        <v>0</v>
      </c>
      <c r="O157" s="191"/>
      <c r="P157" s="192"/>
      <c r="Q157" s="192"/>
      <c r="R157" s="195">
        <f t="shared" si="165"/>
        <v>0</v>
      </c>
      <c r="S157" s="194">
        <f t="shared" si="166"/>
        <v>0</v>
      </c>
      <c r="T157" s="191"/>
      <c r="U157" s="192"/>
      <c r="V157" s="192"/>
      <c r="W157" s="195">
        <f t="shared" si="167"/>
        <v>0</v>
      </c>
      <c r="X157" s="194">
        <f t="shared" si="168"/>
        <v>0</v>
      </c>
      <c r="Y157" s="183">
        <f t="shared" si="169"/>
        <v>0</v>
      </c>
      <c r="Z157" s="205">
        <f>(VLOOKUP(B:B,[1]AppLists!M:O,3,FALSE))*$AB$2</f>
        <v>227.81000000000003</v>
      </c>
      <c r="AA157" s="184">
        <f t="shared" si="170"/>
        <v>0</v>
      </c>
    </row>
    <row r="158" spans="1:27" ht="28.35" customHeight="1">
      <c r="A158" s="179">
        <v>107</v>
      </c>
      <c r="B158" s="197" t="s">
        <v>552</v>
      </c>
      <c r="C158" s="198" t="s">
        <v>553</v>
      </c>
      <c r="D158" s="199" t="s">
        <v>339</v>
      </c>
      <c r="E158" s="191"/>
      <c r="F158" s="192"/>
      <c r="G158" s="192"/>
      <c r="H158" s="193">
        <f t="shared" si="161"/>
        <v>0</v>
      </c>
      <c r="I158" s="194">
        <f t="shared" si="162"/>
        <v>0</v>
      </c>
      <c r="J158" s="191"/>
      <c r="K158" s="192"/>
      <c r="L158" s="192"/>
      <c r="M158" s="195">
        <f t="shared" si="163"/>
        <v>0</v>
      </c>
      <c r="N158" s="194">
        <f t="shared" si="164"/>
        <v>0</v>
      </c>
      <c r="O158" s="191"/>
      <c r="P158" s="192"/>
      <c r="Q158" s="192"/>
      <c r="R158" s="195">
        <f t="shared" si="165"/>
        <v>0</v>
      </c>
      <c r="S158" s="194">
        <f t="shared" si="166"/>
        <v>0</v>
      </c>
      <c r="T158" s="191"/>
      <c r="U158" s="192"/>
      <c r="V158" s="192"/>
      <c r="W158" s="195">
        <f t="shared" si="167"/>
        <v>0</v>
      </c>
      <c r="X158" s="194">
        <f t="shared" si="168"/>
        <v>0</v>
      </c>
      <c r="Y158" s="183">
        <f t="shared" si="169"/>
        <v>0</v>
      </c>
      <c r="Z158" s="205">
        <f>(VLOOKUP(B:B,[1]AppLists!M:O,3,FALSE))*$AB$2</f>
        <v>293.07920000000001</v>
      </c>
      <c r="AA158" s="184">
        <f t="shared" si="170"/>
        <v>0</v>
      </c>
    </row>
    <row r="159" spans="1:27" ht="28.35" customHeight="1">
      <c r="A159" s="179">
        <v>108</v>
      </c>
      <c r="B159" s="197" t="s">
        <v>554</v>
      </c>
      <c r="C159" s="198" t="s">
        <v>555</v>
      </c>
      <c r="D159" s="199" t="s">
        <v>334</v>
      </c>
      <c r="E159" s="191"/>
      <c r="F159" s="192"/>
      <c r="G159" s="192"/>
      <c r="H159" s="193">
        <f t="shared" si="161"/>
        <v>0</v>
      </c>
      <c r="I159" s="194">
        <f t="shared" si="162"/>
        <v>0</v>
      </c>
      <c r="J159" s="191"/>
      <c r="K159" s="192"/>
      <c r="L159" s="192"/>
      <c r="M159" s="195">
        <f t="shared" si="163"/>
        <v>0</v>
      </c>
      <c r="N159" s="194">
        <f t="shared" si="164"/>
        <v>0</v>
      </c>
      <c r="O159" s="191"/>
      <c r="P159" s="192"/>
      <c r="Q159" s="192"/>
      <c r="R159" s="195">
        <f t="shared" si="165"/>
        <v>0</v>
      </c>
      <c r="S159" s="194">
        <f t="shared" si="166"/>
        <v>0</v>
      </c>
      <c r="T159" s="191"/>
      <c r="U159" s="192"/>
      <c r="V159" s="192"/>
      <c r="W159" s="195">
        <f t="shared" si="167"/>
        <v>0</v>
      </c>
      <c r="X159" s="194">
        <f t="shared" si="168"/>
        <v>0</v>
      </c>
      <c r="Y159" s="183">
        <f t="shared" si="169"/>
        <v>0</v>
      </c>
      <c r="Z159" s="205">
        <f>(VLOOKUP(B:B,[1]AppLists!M:O,3,FALSE))*$AB$2</f>
        <v>54.369200000000006</v>
      </c>
      <c r="AA159" s="184">
        <f t="shared" si="170"/>
        <v>0</v>
      </c>
    </row>
    <row r="160" spans="1:27" ht="28.35" customHeight="1">
      <c r="A160" s="179">
        <v>109</v>
      </c>
      <c r="B160" s="197" t="s">
        <v>556</v>
      </c>
      <c r="C160" s="198" t="s">
        <v>557</v>
      </c>
      <c r="D160" s="199" t="s">
        <v>364</v>
      </c>
      <c r="E160" s="191"/>
      <c r="F160" s="192"/>
      <c r="G160" s="192"/>
      <c r="H160" s="193">
        <f t="shared" si="161"/>
        <v>0</v>
      </c>
      <c r="I160" s="194">
        <f t="shared" si="162"/>
        <v>0</v>
      </c>
      <c r="J160" s="191"/>
      <c r="K160" s="192"/>
      <c r="L160" s="192"/>
      <c r="M160" s="195">
        <f t="shared" si="163"/>
        <v>0</v>
      </c>
      <c r="N160" s="194">
        <f t="shared" si="164"/>
        <v>0</v>
      </c>
      <c r="O160" s="191"/>
      <c r="P160" s="192"/>
      <c r="Q160" s="192"/>
      <c r="R160" s="195">
        <f t="shared" si="165"/>
        <v>0</v>
      </c>
      <c r="S160" s="194">
        <f t="shared" si="166"/>
        <v>0</v>
      </c>
      <c r="T160" s="191"/>
      <c r="U160" s="192"/>
      <c r="V160" s="192"/>
      <c r="W160" s="195">
        <f t="shared" si="167"/>
        <v>0</v>
      </c>
      <c r="X160" s="194">
        <f t="shared" si="168"/>
        <v>0</v>
      </c>
      <c r="Y160" s="183">
        <f t="shared" si="169"/>
        <v>0</v>
      </c>
      <c r="Z160" s="205">
        <f>(VLOOKUP(B:B,[1]AppLists!M:O,3,FALSE))*$AB$2</f>
        <v>43.6</v>
      </c>
      <c r="AA160" s="184">
        <f t="shared" si="170"/>
        <v>0</v>
      </c>
    </row>
    <row r="161" spans="1:27" ht="28.35" customHeight="1">
      <c r="A161" s="179">
        <v>110</v>
      </c>
      <c r="B161" s="197" t="s">
        <v>558</v>
      </c>
      <c r="C161" s="198" t="s">
        <v>559</v>
      </c>
      <c r="D161" s="199" t="s">
        <v>537</v>
      </c>
      <c r="E161" s="191"/>
      <c r="F161" s="192"/>
      <c r="G161" s="192"/>
      <c r="H161" s="193">
        <f t="shared" si="161"/>
        <v>0</v>
      </c>
      <c r="I161" s="194">
        <f t="shared" si="162"/>
        <v>0</v>
      </c>
      <c r="J161" s="191"/>
      <c r="K161" s="192"/>
      <c r="L161" s="192"/>
      <c r="M161" s="195">
        <f t="shared" si="163"/>
        <v>0</v>
      </c>
      <c r="N161" s="194">
        <f t="shared" si="164"/>
        <v>0</v>
      </c>
      <c r="O161" s="191"/>
      <c r="P161" s="192"/>
      <c r="Q161" s="192"/>
      <c r="R161" s="195">
        <f t="shared" si="165"/>
        <v>0</v>
      </c>
      <c r="S161" s="194">
        <f t="shared" si="166"/>
        <v>0</v>
      </c>
      <c r="T161" s="191"/>
      <c r="U161" s="192"/>
      <c r="V161" s="192"/>
      <c r="W161" s="195">
        <f t="shared" si="167"/>
        <v>0</v>
      </c>
      <c r="X161" s="194">
        <f t="shared" si="168"/>
        <v>0</v>
      </c>
      <c r="Y161" s="183">
        <f t="shared" si="169"/>
        <v>0</v>
      </c>
      <c r="Z161" s="205">
        <f>(VLOOKUP(B:B,[1]AppLists!M:O,3,FALSE))*$AB$2</f>
        <v>39.021999999999998</v>
      </c>
      <c r="AA161" s="184">
        <f t="shared" si="170"/>
        <v>0</v>
      </c>
    </row>
    <row r="162" spans="1:27" ht="28.35" customHeight="1">
      <c r="A162" s="179">
        <v>111</v>
      </c>
      <c r="B162" s="197" t="s">
        <v>560</v>
      </c>
      <c r="C162" s="198" t="s">
        <v>561</v>
      </c>
      <c r="D162" s="199" t="s">
        <v>364</v>
      </c>
      <c r="E162" s="191"/>
      <c r="F162" s="192"/>
      <c r="G162" s="192"/>
      <c r="H162" s="193">
        <f t="shared" si="161"/>
        <v>0</v>
      </c>
      <c r="I162" s="194">
        <f t="shared" si="162"/>
        <v>0</v>
      </c>
      <c r="J162" s="191"/>
      <c r="K162" s="192"/>
      <c r="L162" s="192"/>
      <c r="M162" s="195">
        <f t="shared" si="163"/>
        <v>0</v>
      </c>
      <c r="N162" s="194">
        <f t="shared" si="164"/>
        <v>0</v>
      </c>
      <c r="O162" s="191"/>
      <c r="P162" s="192"/>
      <c r="Q162" s="192"/>
      <c r="R162" s="195">
        <f t="shared" si="165"/>
        <v>0</v>
      </c>
      <c r="S162" s="194">
        <f t="shared" si="166"/>
        <v>0</v>
      </c>
      <c r="T162" s="191"/>
      <c r="U162" s="192"/>
      <c r="V162" s="192"/>
      <c r="W162" s="195">
        <f t="shared" si="167"/>
        <v>0</v>
      </c>
      <c r="X162" s="194">
        <f t="shared" si="168"/>
        <v>0</v>
      </c>
      <c r="Y162" s="183">
        <f t="shared" si="169"/>
        <v>0</v>
      </c>
      <c r="Z162" s="205">
        <f>(VLOOKUP(B:B,[1]AppLists!M:O,3,FALSE))*$AB$2</f>
        <v>10.801900000000002</v>
      </c>
      <c r="AA162" s="184">
        <f t="shared" si="170"/>
        <v>0</v>
      </c>
    </row>
    <row r="163" spans="1:27" ht="28.35" customHeight="1">
      <c r="A163" s="179">
        <v>112</v>
      </c>
      <c r="B163" s="197" t="s">
        <v>562</v>
      </c>
      <c r="C163" s="198" t="s">
        <v>563</v>
      </c>
      <c r="D163" s="199" t="s">
        <v>364</v>
      </c>
      <c r="E163" s="191"/>
      <c r="F163" s="192"/>
      <c r="G163" s="192"/>
      <c r="H163" s="193">
        <f t="shared" si="161"/>
        <v>0</v>
      </c>
      <c r="I163" s="194">
        <f t="shared" si="162"/>
        <v>0</v>
      </c>
      <c r="J163" s="191"/>
      <c r="K163" s="192"/>
      <c r="L163" s="192"/>
      <c r="M163" s="195">
        <f t="shared" si="163"/>
        <v>0</v>
      </c>
      <c r="N163" s="194">
        <f t="shared" si="164"/>
        <v>0</v>
      </c>
      <c r="O163" s="191"/>
      <c r="P163" s="192"/>
      <c r="Q163" s="192"/>
      <c r="R163" s="195">
        <f t="shared" si="165"/>
        <v>0</v>
      </c>
      <c r="S163" s="194">
        <f t="shared" si="166"/>
        <v>0</v>
      </c>
      <c r="T163" s="191"/>
      <c r="U163" s="192"/>
      <c r="V163" s="192"/>
      <c r="W163" s="195">
        <f t="shared" si="167"/>
        <v>0</v>
      </c>
      <c r="X163" s="194">
        <f t="shared" si="168"/>
        <v>0</v>
      </c>
      <c r="Y163" s="183">
        <f t="shared" si="169"/>
        <v>0</v>
      </c>
      <c r="Z163" s="205">
        <f>(VLOOKUP(B:B,[1]AppLists!M:O,3,FALSE))*$AB$2</f>
        <v>10.801900000000002</v>
      </c>
      <c r="AA163" s="184">
        <f t="shared" si="170"/>
        <v>0</v>
      </c>
    </row>
    <row r="164" spans="1:27" ht="28.35" customHeight="1">
      <c r="A164" s="179">
        <v>113</v>
      </c>
      <c r="B164" s="197" t="s">
        <v>564</v>
      </c>
      <c r="C164" s="198" t="s">
        <v>565</v>
      </c>
      <c r="D164" s="199" t="s">
        <v>364</v>
      </c>
      <c r="E164" s="191"/>
      <c r="F164" s="192"/>
      <c r="G164" s="192"/>
      <c r="H164" s="193">
        <f t="shared" si="161"/>
        <v>0</v>
      </c>
      <c r="I164" s="194">
        <f t="shared" si="162"/>
        <v>0</v>
      </c>
      <c r="J164" s="191"/>
      <c r="K164" s="192"/>
      <c r="L164" s="192"/>
      <c r="M164" s="195">
        <f t="shared" si="163"/>
        <v>0</v>
      </c>
      <c r="N164" s="194">
        <f t="shared" si="164"/>
        <v>0</v>
      </c>
      <c r="O164" s="191"/>
      <c r="P164" s="192"/>
      <c r="Q164" s="192"/>
      <c r="R164" s="195">
        <f t="shared" si="165"/>
        <v>0</v>
      </c>
      <c r="S164" s="194">
        <f t="shared" si="166"/>
        <v>0</v>
      </c>
      <c r="T164" s="191"/>
      <c r="U164" s="192"/>
      <c r="V164" s="192"/>
      <c r="W164" s="195">
        <f t="shared" si="167"/>
        <v>0</v>
      </c>
      <c r="X164" s="194">
        <f t="shared" si="168"/>
        <v>0</v>
      </c>
      <c r="Y164" s="183">
        <f t="shared" si="169"/>
        <v>0</v>
      </c>
      <c r="Z164" s="205">
        <f>(VLOOKUP(B:B,[1]AppLists!M:O,3,FALSE))*$AB$2</f>
        <v>10.801900000000002</v>
      </c>
      <c r="AA164" s="184">
        <f t="shared" si="170"/>
        <v>0</v>
      </c>
    </row>
    <row r="165" spans="1:27" ht="28.35" customHeight="1">
      <c r="A165" s="179">
        <v>114</v>
      </c>
      <c r="B165" s="197" t="s">
        <v>566</v>
      </c>
      <c r="C165" s="198" t="s">
        <v>567</v>
      </c>
      <c r="D165" s="199" t="s">
        <v>364</v>
      </c>
      <c r="E165" s="191"/>
      <c r="F165" s="192"/>
      <c r="G165" s="192"/>
      <c r="H165" s="193">
        <f t="shared" si="161"/>
        <v>0</v>
      </c>
      <c r="I165" s="194">
        <f t="shared" si="162"/>
        <v>0</v>
      </c>
      <c r="J165" s="191"/>
      <c r="K165" s="192"/>
      <c r="L165" s="192"/>
      <c r="M165" s="195">
        <f t="shared" si="163"/>
        <v>0</v>
      </c>
      <c r="N165" s="194">
        <f t="shared" si="164"/>
        <v>0</v>
      </c>
      <c r="O165" s="191"/>
      <c r="P165" s="192"/>
      <c r="Q165" s="192"/>
      <c r="R165" s="195">
        <f t="shared" si="165"/>
        <v>0</v>
      </c>
      <c r="S165" s="194">
        <f t="shared" si="166"/>
        <v>0</v>
      </c>
      <c r="T165" s="191"/>
      <c r="U165" s="192"/>
      <c r="V165" s="192"/>
      <c r="W165" s="195">
        <f t="shared" si="167"/>
        <v>0</v>
      </c>
      <c r="X165" s="194">
        <f t="shared" si="168"/>
        <v>0</v>
      </c>
      <c r="Y165" s="183">
        <f t="shared" si="169"/>
        <v>0</v>
      </c>
      <c r="Z165" s="205">
        <f>(VLOOKUP(B:B,[1]AppLists!M:O,3,FALSE))*$AB$2</f>
        <v>10.1152</v>
      </c>
      <c r="AA165" s="184">
        <f t="shared" si="170"/>
        <v>0</v>
      </c>
    </row>
    <row r="166" spans="1:27" ht="28.35" customHeight="1">
      <c r="A166" s="179">
        <v>115</v>
      </c>
      <c r="B166" s="197" t="s">
        <v>568</v>
      </c>
      <c r="C166" s="198" t="s">
        <v>569</v>
      </c>
      <c r="D166" s="199" t="s">
        <v>364</v>
      </c>
      <c r="E166" s="191"/>
      <c r="F166" s="192"/>
      <c r="G166" s="192"/>
      <c r="H166" s="193">
        <f t="shared" si="161"/>
        <v>0</v>
      </c>
      <c r="I166" s="194">
        <f t="shared" si="162"/>
        <v>0</v>
      </c>
      <c r="J166" s="191"/>
      <c r="K166" s="192"/>
      <c r="L166" s="192"/>
      <c r="M166" s="195">
        <f t="shared" si="163"/>
        <v>0</v>
      </c>
      <c r="N166" s="194">
        <f t="shared" si="164"/>
        <v>0</v>
      </c>
      <c r="O166" s="191"/>
      <c r="P166" s="192"/>
      <c r="Q166" s="192"/>
      <c r="R166" s="195">
        <f t="shared" si="165"/>
        <v>0</v>
      </c>
      <c r="S166" s="194">
        <f t="shared" si="166"/>
        <v>0</v>
      </c>
      <c r="T166" s="191"/>
      <c r="U166" s="192"/>
      <c r="V166" s="192"/>
      <c r="W166" s="195">
        <f t="shared" si="167"/>
        <v>0</v>
      </c>
      <c r="X166" s="194">
        <f t="shared" si="168"/>
        <v>0</v>
      </c>
      <c r="Y166" s="183">
        <f t="shared" si="169"/>
        <v>0</v>
      </c>
      <c r="Z166" s="205">
        <f>(VLOOKUP(B:B,[1]AppLists!M:O,3,FALSE))*$AB$2</f>
        <v>10.1152</v>
      </c>
      <c r="AA166" s="184">
        <f t="shared" si="170"/>
        <v>0</v>
      </c>
    </row>
    <row r="167" spans="1:27" ht="28.35" customHeight="1">
      <c r="A167" s="179">
        <v>116</v>
      </c>
      <c r="B167" s="197" t="s">
        <v>570</v>
      </c>
      <c r="C167" s="198" t="s">
        <v>571</v>
      </c>
      <c r="D167" s="199" t="s">
        <v>364</v>
      </c>
      <c r="E167" s="191"/>
      <c r="F167" s="192"/>
      <c r="G167" s="192"/>
      <c r="H167" s="193">
        <f t="shared" si="161"/>
        <v>0</v>
      </c>
      <c r="I167" s="194">
        <f t="shared" si="162"/>
        <v>0</v>
      </c>
      <c r="J167" s="191"/>
      <c r="K167" s="192"/>
      <c r="L167" s="192"/>
      <c r="M167" s="195">
        <f t="shared" si="163"/>
        <v>0</v>
      </c>
      <c r="N167" s="194">
        <f t="shared" si="164"/>
        <v>0</v>
      </c>
      <c r="O167" s="191"/>
      <c r="P167" s="192"/>
      <c r="Q167" s="192"/>
      <c r="R167" s="195">
        <f t="shared" si="165"/>
        <v>0</v>
      </c>
      <c r="S167" s="194">
        <f t="shared" si="166"/>
        <v>0</v>
      </c>
      <c r="T167" s="191"/>
      <c r="U167" s="192"/>
      <c r="V167" s="192"/>
      <c r="W167" s="195">
        <f t="shared" si="167"/>
        <v>0</v>
      </c>
      <c r="X167" s="194">
        <f t="shared" si="168"/>
        <v>0</v>
      </c>
      <c r="Y167" s="183">
        <f t="shared" si="169"/>
        <v>0</v>
      </c>
      <c r="Z167" s="205">
        <f>(VLOOKUP(B:B,[1]AppLists!M:O,3,FALSE))*$AB$2</f>
        <v>10.1152</v>
      </c>
      <c r="AA167" s="184">
        <f t="shared" si="170"/>
        <v>0</v>
      </c>
    </row>
    <row r="168" spans="1:27" ht="28.35" customHeight="1">
      <c r="A168" s="179">
        <v>117</v>
      </c>
      <c r="B168" s="197" t="s">
        <v>572</v>
      </c>
      <c r="C168" s="198" t="s">
        <v>573</v>
      </c>
      <c r="D168" s="199" t="s">
        <v>334</v>
      </c>
      <c r="E168" s="191"/>
      <c r="F168" s="192">
        <v>0</v>
      </c>
      <c r="G168" s="192"/>
      <c r="H168" s="193">
        <f t="shared" si="161"/>
        <v>0</v>
      </c>
      <c r="I168" s="194">
        <f t="shared" si="162"/>
        <v>0</v>
      </c>
      <c r="J168" s="191"/>
      <c r="K168" s="192"/>
      <c r="L168" s="192"/>
      <c r="M168" s="195">
        <f t="shared" si="163"/>
        <v>0</v>
      </c>
      <c r="N168" s="194">
        <f t="shared" si="164"/>
        <v>0</v>
      </c>
      <c r="O168" s="191"/>
      <c r="P168" s="192"/>
      <c r="Q168" s="192"/>
      <c r="R168" s="195">
        <f t="shared" si="165"/>
        <v>0</v>
      </c>
      <c r="S168" s="194">
        <f t="shared" si="166"/>
        <v>0</v>
      </c>
      <c r="T168" s="191"/>
      <c r="U168" s="192"/>
      <c r="V168" s="192"/>
      <c r="W168" s="195">
        <f t="shared" si="167"/>
        <v>0</v>
      </c>
      <c r="X168" s="194">
        <f t="shared" si="168"/>
        <v>0</v>
      </c>
      <c r="Y168" s="183">
        <f t="shared" si="169"/>
        <v>0</v>
      </c>
      <c r="Z168" s="205">
        <f>(VLOOKUP(B:B,[1]AppLists!M:O,3,FALSE))*$AB$2</f>
        <v>6.2675000000000001</v>
      </c>
      <c r="AA168" s="184">
        <f t="shared" si="170"/>
        <v>0</v>
      </c>
    </row>
    <row r="169" spans="1:27" ht="28.35" customHeight="1">
      <c r="A169" s="179">
        <v>118</v>
      </c>
      <c r="B169" s="197" t="s">
        <v>574</v>
      </c>
      <c r="C169" s="198" t="s">
        <v>575</v>
      </c>
      <c r="D169" s="199" t="s">
        <v>334</v>
      </c>
      <c r="E169" s="191"/>
      <c r="F169" s="192">
        <v>0</v>
      </c>
      <c r="G169" s="192"/>
      <c r="H169" s="193">
        <f t="shared" si="161"/>
        <v>0</v>
      </c>
      <c r="I169" s="194">
        <f t="shared" si="162"/>
        <v>0</v>
      </c>
      <c r="J169" s="191"/>
      <c r="K169" s="192"/>
      <c r="L169" s="192"/>
      <c r="M169" s="195">
        <f t="shared" si="163"/>
        <v>0</v>
      </c>
      <c r="N169" s="194">
        <f t="shared" si="164"/>
        <v>0</v>
      </c>
      <c r="O169" s="191"/>
      <c r="P169" s="192"/>
      <c r="Q169" s="192"/>
      <c r="R169" s="195">
        <f t="shared" si="165"/>
        <v>0</v>
      </c>
      <c r="S169" s="194">
        <f t="shared" si="166"/>
        <v>0</v>
      </c>
      <c r="T169" s="191"/>
      <c r="U169" s="192"/>
      <c r="V169" s="192"/>
      <c r="W169" s="195">
        <f t="shared" si="167"/>
        <v>0</v>
      </c>
      <c r="X169" s="194">
        <f t="shared" si="168"/>
        <v>0</v>
      </c>
      <c r="Y169" s="183">
        <f t="shared" si="169"/>
        <v>0</v>
      </c>
      <c r="Z169" s="205">
        <f>(VLOOKUP(B:B,[1]AppLists!M:O,3,FALSE))*$AB$2</f>
        <v>13.352500000000001</v>
      </c>
      <c r="AA169" s="184">
        <f t="shared" si="170"/>
        <v>0</v>
      </c>
    </row>
    <row r="170" spans="1:27" ht="28.35" customHeight="1">
      <c r="A170" s="179">
        <v>119</v>
      </c>
      <c r="B170" s="197" t="s">
        <v>576</v>
      </c>
      <c r="C170" s="198" t="s">
        <v>577</v>
      </c>
      <c r="D170" s="199" t="s">
        <v>334</v>
      </c>
      <c r="E170" s="191"/>
      <c r="F170" s="192">
        <v>0</v>
      </c>
      <c r="G170" s="192"/>
      <c r="H170" s="193">
        <f t="shared" si="161"/>
        <v>0</v>
      </c>
      <c r="I170" s="194">
        <f t="shared" si="162"/>
        <v>0</v>
      </c>
      <c r="J170" s="191"/>
      <c r="K170" s="192"/>
      <c r="L170" s="192"/>
      <c r="M170" s="195">
        <f t="shared" si="163"/>
        <v>0</v>
      </c>
      <c r="N170" s="194">
        <f t="shared" si="164"/>
        <v>0</v>
      </c>
      <c r="O170" s="191"/>
      <c r="P170" s="192"/>
      <c r="Q170" s="192"/>
      <c r="R170" s="195">
        <f t="shared" si="165"/>
        <v>0</v>
      </c>
      <c r="S170" s="194">
        <f t="shared" si="166"/>
        <v>0</v>
      </c>
      <c r="T170" s="191"/>
      <c r="U170" s="192"/>
      <c r="V170" s="192"/>
      <c r="W170" s="195">
        <f t="shared" si="167"/>
        <v>0</v>
      </c>
      <c r="X170" s="194">
        <f t="shared" si="168"/>
        <v>0</v>
      </c>
      <c r="Y170" s="183">
        <f t="shared" si="169"/>
        <v>0</v>
      </c>
      <c r="Z170" s="205">
        <f>(VLOOKUP(B:B,[1]AppLists!M:O,3,FALSE))*$AB$2</f>
        <v>21.789100000000001</v>
      </c>
      <c r="AA170" s="184">
        <f t="shared" si="170"/>
        <v>0</v>
      </c>
    </row>
    <row r="171" spans="1:27" ht="28.35" customHeight="1">
      <c r="A171" s="179">
        <v>120</v>
      </c>
      <c r="B171" s="197" t="s">
        <v>578</v>
      </c>
      <c r="C171" s="198" t="s">
        <v>579</v>
      </c>
      <c r="D171" s="199" t="s">
        <v>354</v>
      </c>
      <c r="E171" s="191"/>
      <c r="F171" s="192"/>
      <c r="G171" s="192"/>
      <c r="H171" s="193">
        <f t="shared" si="161"/>
        <v>0</v>
      </c>
      <c r="I171" s="194">
        <f t="shared" si="162"/>
        <v>0</v>
      </c>
      <c r="J171" s="191"/>
      <c r="K171" s="192"/>
      <c r="L171" s="192"/>
      <c r="M171" s="195">
        <f t="shared" si="163"/>
        <v>0</v>
      </c>
      <c r="N171" s="194">
        <f t="shared" si="164"/>
        <v>0</v>
      </c>
      <c r="O171" s="191"/>
      <c r="P171" s="192"/>
      <c r="Q171" s="192"/>
      <c r="R171" s="195">
        <f t="shared" si="165"/>
        <v>0</v>
      </c>
      <c r="S171" s="194">
        <f t="shared" si="166"/>
        <v>0</v>
      </c>
      <c r="T171" s="191"/>
      <c r="U171" s="192"/>
      <c r="V171" s="192"/>
      <c r="W171" s="195">
        <f t="shared" si="167"/>
        <v>0</v>
      </c>
      <c r="X171" s="194">
        <f t="shared" si="168"/>
        <v>0</v>
      </c>
      <c r="Y171" s="183">
        <f t="shared" si="169"/>
        <v>0</v>
      </c>
      <c r="Z171" s="205">
        <f>(VLOOKUP(B:B,[1]AppLists!M:O,3,FALSE))*$AB$2</f>
        <v>211.32920000000001</v>
      </c>
      <c r="AA171" s="184">
        <f t="shared" si="170"/>
        <v>0</v>
      </c>
    </row>
    <row r="172" spans="1:27" ht="28.35" customHeight="1">
      <c r="A172" s="179">
        <v>121</v>
      </c>
      <c r="B172" s="197" t="s">
        <v>580</v>
      </c>
      <c r="C172" s="198" t="s">
        <v>581</v>
      </c>
      <c r="D172" s="199" t="s">
        <v>334</v>
      </c>
      <c r="E172" s="191"/>
      <c r="F172" s="192"/>
      <c r="G172" s="192"/>
      <c r="H172" s="193">
        <f t="shared" si="161"/>
        <v>0</v>
      </c>
      <c r="I172" s="194">
        <f t="shared" si="162"/>
        <v>0</v>
      </c>
      <c r="J172" s="191"/>
      <c r="K172" s="192"/>
      <c r="L172" s="192"/>
      <c r="M172" s="195">
        <f t="shared" si="163"/>
        <v>0</v>
      </c>
      <c r="N172" s="194">
        <f t="shared" si="164"/>
        <v>0</v>
      </c>
      <c r="O172" s="191"/>
      <c r="P172" s="192"/>
      <c r="Q172" s="192"/>
      <c r="R172" s="195">
        <f t="shared" si="165"/>
        <v>0</v>
      </c>
      <c r="S172" s="194">
        <f t="shared" si="166"/>
        <v>0</v>
      </c>
      <c r="T172" s="191"/>
      <c r="U172" s="192"/>
      <c r="V172" s="192"/>
      <c r="W172" s="195">
        <f t="shared" si="167"/>
        <v>0</v>
      </c>
      <c r="X172" s="194">
        <f t="shared" si="168"/>
        <v>0</v>
      </c>
      <c r="Y172" s="183">
        <f t="shared" si="169"/>
        <v>0</v>
      </c>
      <c r="Z172" s="205">
        <f>(VLOOKUP(B:B,[1]AppLists!M:O,3,FALSE))*$AB$2</f>
        <v>101.37</v>
      </c>
      <c r="AA172" s="184">
        <f t="shared" si="170"/>
        <v>0</v>
      </c>
    </row>
    <row r="173" spans="1:27" ht="28.35" customHeight="1">
      <c r="A173" s="179">
        <v>122</v>
      </c>
      <c r="B173" s="197" t="s">
        <v>582</v>
      </c>
      <c r="C173" s="198" t="s">
        <v>583</v>
      </c>
      <c r="D173" s="199" t="s">
        <v>364</v>
      </c>
      <c r="E173" s="191"/>
      <c r="F173" s="192"/>
      <c r="G173" s="192"/>
      <c r="H173" s="193">
        <f t="shared" si="161"/>
        <v>0</v>
      </c>
      <c r="I173" s="194">
        <f t="shared" si="162"/>
        <v>0</v>
      </c>
      <c r="J173" s="191"/>
      <c r="K173" s="192"/>
      <c r="L173" s="192"/>
      <c r="M173" s="195">
        <f t="shared" si="163"/>
        <v>0</v>
      </c>
      <c r="N173" s="194">
        <f t="shared" si="164"/>
        <v>0</v>
      </c>
      <c r="O173" s="191"/>
      <c r="P173" s="192"/>
      <c r="Q173" s="192"/>
      <c r="R173" s="195">
        <f t="shared" si="165"/>
        <v>0</v>
      </c>
      <c r="S173" s="194">
        <f t="shared" si="166"/>
        <v>0</v>
      </c>
      <c r="T173" s="191"/>
      <c r="U173" s="192"/>
      <c r="V173" s="192"/>
      <c r="W173" s="195">
        <f t="shared" si="167"/>
        <v>0</v>
      </c>
      <c r="X173" s="194">
        <f t="shared" si="168"/>
        <v>0</v>
      </c>
      <c r="Y173" s="183">
        <f t="shared" si="169"/>
        <v>0</v>
      </c>
      <c r="Z173" s="205">
        <f>(VLOOKUP(B:B,[1]AppLists!M:O,3,FALSE))*$AB$2</f>
        <v>28.994000000000003</v>
      </c>
      <c r="AA173" s="184">
        <f t="shared" si="170"/>
        <v>0</v>
      </c>
    </row>
    <row r="174" spans="1:27" ht="28.35" customHeight="1">
      <c r="A174" s="179">
        <v>123</v>
      </c>
      <c r="B174" s="180" t="s">
        <v>584</v>
      </c>
      <c r="C174" s="181" t="s">
        <v>585</v>
      </c>
      <c r="D174" s="199" t="s">
        <v>364</v>
      </c>
      <c r="E174" s="191"/>
      <c r="F174" s="192"/>
      <c r="G174" s="192"/>
      <c r="H174" s="193">
        <f t="shared" si="161"/>
        <v>0</v>
      </c>
      <c r="I174" s="194">
        <f t="shared" si="162"/>
        <v>0</v>
      </c>
      <c r="J174" s="191"/>
      <c r="K174" s="192"/>
      <c r="L174" s="192"/>
      <c r="M174" s="195">
        <f t="shared" si="163"/>
        <v>0</v>
      </c>
      <c r="N174" s="194">
        <f t="shared" si="164"/>
        <v>0</v>
      </c>
      <c r="O174" s="191"/>
      <c r="P174" s="192"/>
      <c r="Q174" s="192"/>
      <c r="R174" s="195">
        <f t="shared" si="165"/>
        <v>0</v>
      </c>
      <c r="S174" s="194">
        <f t="shared" si="166"/>
        <v>0</v>
      </c>
      <c r="T174" s="191"/>
      <c r="U174" s="192"/>
      <c r="V174" s="192"/>
      <c r="W174" s="195">
        <f t="shared" si="167"/>
        <v>0</v>
      </c>
      <c r="X174" s="194">
        <f t="shared" si="168"/>
        <v>0</v>
      </c>
      <c r="Y174" s="183">
        <f t="shared" si="169"/>
        <v>0</v>
      </c>
      <c r="Z174" s="205">
        <f>(VLOOKUP(B:B,[1]AppLists!M:O,3,FALSE))*$AB$2</f>
        <v>12.338800000000001</v>
      </c>
      <c r="AA174" s="184">
        <f t="shared" si="170"/>
        <v>0</v>
      </c>
    </row>
    <row r="175" spans="1:27" ht="28.35" customHeight="1">
      <c r="A175" s="179">
        <v>124</v>
      </c>
      <c r="B175" s="197" t="s">
        <v>586</v>
      </c>
      <c r="C175" s="198" t="s">
        <v>587</v>
      </c>
      <c r="D175" s="199" t="s">
        <v>364</v>
      </c>
      <c r="E175" s="191"/>
      <c r="F175" s="192"/>
      <c r="G175" s="192"/>
      <c r="H175" s="193">
        <f t="shared" si="161"/>
        <v>0</v>
      </c>
      <c r="I175" s="194">
        <f t="shared" si="162"/>
        <v>0</v>
      </c>
      <c r="J175" s="191"/>
      <c r="K175" s="192"/>
      <c r="L175" s="192"/>
      <c r="M175" s="195">
        <f t="shared" si="163"/>
        <v>0</v>
      </c>
      <c r="N175" s="194">
        <f t="shared" si="164"/>
        <v>0</v>
      </c>
      <c r="O175" s="191"/>
      <c r="P175" s="192"/>
      <c r="Q175" s="192"/>
      <c r="R175" s="195">
        <f t="shared" si="165"/>
        <v>0</v>
      </c>
      <c r="S175" s="194">
        <f t="shared" si="166"/>
        <v>0</v>
      </c>
      <c r="T175" s="191"/>
      <c r="U175" s="192"/>
      <c r="V175" s="192"/>
      <c r="W175" s="195">
        <f t="shared" si="167"/>
        <v>0</v>
      </c>
      <c r="X175" s="194">
        <f t="shared" si="168"/>
        <v>0</v>
      </c>
      <c r="Y175" s="183">
        <f t="shared" si="169"/>
        <v>0</v>
      </c>
      <c r="Z175" s="205">
        <f>(VLOOKUP(B:B,[1]AppLists!M:O,3,FALSE))*$AB$2</f>
        <v>28.721500000000002</v>
      </c>
      <c r="AA175" s="184">
        <f t="shared" si="170"/>
        <v>0</v>
      </c>
    </row>
    <row r="176" spans="1:27" ht="28.35" customHeight="1">
      <c r="A176" s="179">
        <v>125</v>
      </c>
      <c r="B176" s="197" t="s">
        <v>588</v>
      </c>
      <c r="C176" s="198" t="s">
        <v>589</v>
      </c>
      <c r="D176" s="199" t="s">
        <v>364</v>
      </c>
      <c r="E176" s="191"/>
      <c r="F176" s="192"/>
      <c r="G176" s="192"/>
      <c r="H176" s="193">
        <f t="shared" si="161"/>
        <v>0</v>
      </c>
      <c r="I176" s="194">
        <f t="shared" si="162"/>
        <v>0</v>
      </c>
      <c r="J176" s="191"/>
      <c r="K176" s="192"/>
      <c r="L176" s="192"/>
      <c r="M176" s="195">
        <f t="shared" si="163"/>
        <v>0</v>
      </c>
      <c r="N176" s="194">
        <f t="shared" si="164"/>
        <v>0</v>
      </c>
      <c r="O176" s="191"/>
      <c r="P176" s="192"/>
      <c r="Q176" s="192"/>
      <c r="R176" s="195">
        <f t="shared" si="165"/>
        <v>0</v>
      </c>
      <c r="S176" s="194">
        <f t="shared" si="166"/>
        <v>0</v>
      </c>
      <c r="T176" s="191"/>
      <c r="U176" s="192"/>
      <c r="V176" s="192"/>
      <c r="W176" s="195">
        <f t="shared" si="167"/>
        <v>0</v>
      </c>
      <c r="X176" s="194">
        <f t="shared" si="168"/>
        <v>0</v>
      </c>
      <c r="Y176" s="183">
        <f t="shared" si="169"/>
        <v>0</v>
      </c>
      <c r="Z176" s="205">
        <f>(VLOOKUP(B:B,[1]AppLists!M:O,3,FALSE))*$AB$2</f>
        <v>501.37820000000005</v>
      </c>
      <c r="AA176" s="184">
        <f t="shared" si="170"/>
        <v>0</v>
      </c>
    </row>
    <row r="177" spans="1:27" ht="28.35" customHeight="1">
      <c r="A177" s="179">
        <v>126</v>
      </c>
      <c r="B177" s="197" t="s">
        <v>590</v>
      </c>
      <c r="C177" s="198" t="s">
        <v>591</v>
      </c>
      <c r="D177" s="199" t="s">
        <v>364</v>
      </c>
      <c r="E177" s="191"/>
      <c r="F177" s="192"/>
      <c r="G177" s="192"/>
      <c r="H177" s="193">
        <f t="shared" si="161"/>
        <v>0</v>
      </c>
      <c r="I177" s="194">
        <f t="shared" si="162"/>
        <v>0</v>
      </c>
      <c r="J177" s="191"/>
      <c r="K177" s="192"/>
      <c r="L177" s="192"/>
      <c r="M177" s="195">
        <f t="shared" si="163"/>
        <v>0</v>
      </c>
      <c r="N177" s="194">
        <f t="shared" si="164"/>
        <v>0</v>
      </c>
      <c r="O177" s="191"/>
      <c r="P177" s="192"/>
      <c r="Q177" s="192"/>
      <c r="R177" s="195">
        <f t="shared" si="165"/>
        <v>0</v>
      </c>
      <c r="S177" s="194">
        <f t="shared" si="166"/>
        <v>0</v>
      </c>
      <c r="T177" s="191"/>
      <c r="U177" s="192"/>
      <c r="V177" s="192"/>
      <c r="W177" s="195">
        <f t="shared" si="167"/>
        <v>0</v>
      </c>
      <c r="X177" s="194">
        <f t="shared" si="168"/>
        <v>0</v>
      </c>
      <c r="Y177" s="183">
        <f t="shared" si="169"/>
        <v>0</v>
      </c>
      <c r="Z177" s="205">
        <f>(VLOOKUP(B:B,[1]AppLists!M:O,3,FALSE))*$AB$2</f>
        <v>196.20000000000002</v>
      </c>
      <c r="AA177" s="184">
        <f t="shared" si="170"/>
        <v>0</v>
      </c>
    </row>
    <row r="178" spans="1:27" ht="28.35" customHeight="1">
      <c r="A178" s="179">
        <v>127</v>
      </c>
      <c r="B178" s="197" t="s">
        <v>592</v>
      </c>
      <c r="C178" s="198" t="s">
        <v>593</v>
      </c>
      <c r="D178" s="199" t="s">
        <v>364</v>
      </c>
      <c r="E178" s="191"/>
      <c r="F178" s="192"/>
      <c r="G178" s="192"/>
      <c r="H178" s="193">
        <f t="shared" si="161"/>
        <v>0</v>
      </c>
      <c r="I178" s="194">
        <f t="shared" si="162"/>
        <v>0</v>
      </c>
      <c r="J178" s="191"/>
      <c r="K178" s="192"/>
      <c r="L178" s="192"/>
      <c r="M178" s="195">
        <f t="shared" si="163"/>
        <v>0</v>
      </c>
      <c r="N178" s="194">
        <f t="shared" si="164"/>
        <v>0</v>
      </c>
      <c r="O178" s="191"/>
      <c r="P178" s="192"/>
      <c r="Q178" s="192"/>
      <c r="R178" s="195">
        <f t="shared" si="165"/>
        <v>0</v>
      </c>
      <c r="S178" s="194">
        <f t="shared" si="166"/>
        <v>0</v>
      </c>
      <c r="T178" s="191"/>
      <c r="U178" s="192"/>
      <c r="V178" s="192"/>
      <c r="W178" s="195">
        <f t="shared" si="167"/>
        <v>0</v>
      </c>
      <c r="X178" s="194">
        <f t="shared" si="168"/>
        <v>0</v>
      </c>
      <c r="Y178" s="183">
        <f t="shared" si="169"/>
        <v>0</v>
      </c>
      <c r="Z178" s="205">
        <f>(VLOOKUP(B:B,[1]AppLists!M:O,3,FALSE))*$AB$2</f>
        <v>138.29920000000001</v>
      </c>
      <c r="AA178" s="184">
        <f t="shared" si="170"/>
        <v>0</v>
      </c>
    </row>
    <row r="179" spans="1:27" ht="28.35" customHeight="1">
      <c r="A179" s="179">
        <v>128</v>
      </c>
      <c r="B179" s="197" t="s">
        <v>594</v>
      </c>
      <c r="C179" s="198" t="s">
        <v>595</v>
      </c>
      <c r="D179" s="199" t="s">
        <v>596</v>
      </c>
      <c r="E179" s="191"/>
      <c r="F179" s="192"/>
      <c r="G179" s="192"/>
      <c r="H179" s="193">
        <f t="shared" si="161"/>
        <v>0</v>
      </c>
      <c r="I179" s="194">
        <f t="shared" si="162"/>
        <v>0</v>
      </c>
      <c r="J179" s="191"/>
      <c r="K179" s="192"/>
      <c r="L179" s="192"/>
      <c r="M179" s="195">
        <f t="shared" si="163"/>
        <v>0</v>
      </c>
      <c r="N179" s="194">
        <f t="shared" si="164"/>
        <v>0</v>
      </c>
      <c r="O179" s="191"/>
      <c r="P179" s="192"/>
      <c r="Q179" s="192"/>
      <c r="R179" s="195">
        <f t="shared" si="165"/>
        <v>0</v>
      </c>
      <c r="S179" s="194">
        <f t="shared" si="166"/>
        <v>0</v>
      </c>
      <c r="T179" s="191"/>
      <c r="U179" s="192"/>
      <c r="V179" s="192"/>
      <c r="W179" s="195">
        <f t="shared" si="167"/>
        <v>0</v>
      </c>
      <c r="X179" s="194">
        <f t="shared" si="168"/>
        <v>0</v>
      </c>
      <c r="Y179" s="183">
        <f t="shared" si="169"/>
        <v>0</v>
      </c>
      <c r="Z179" s="205">
        <f>(VLOOKUP(B:B,[1]AppLists!M:O,3,FALSE))*$AB$2</f>
        <v>16.350000000000001</v>
      </c>
      <c r="AA179" s="184">
        <f t="shared" si="170"/>
        <v>0</v>
      </c>
    </row>
    <row r="180" spans="1:27" ht="28.35" customHeight="1">
      <c r="A180" s="179">
        <v>129</v>
      </c>
      <c r="B180" s="197" t="s">
        <v>597</v>
      </c>
      <c r="C180" s="198" t="s">
        <v>598</v>
      </c>
      <c r="D180" s="199" t="s">
        <v>364</v>
      </c>
      <c r="E180" s="191"/>
      <c r="F180" s="192"/>
      <c r="G180" s="192"/>
      <c r="H180" s="193">
        <f t="shared" si="161"/>
        <v>0</v>
      </c>
      <c r="I180" s="194">
        <f t="shared" si="162"/>
        <v>0</v>
      </c>
      <c r="J180" s="191"/>
      <c r="K180" s="192"/>
      <c r="L180" s="192"/>
      <c r="M180" s="195">
        <f t="shared" si="163"/>
        <v>0</v>
      </c>
      <c r="N180" s="194">
        <f t="shared" si="164"/>
        <v>0</v>
      </c>
      <c r="O180" s="191"/>
      <c r="P180" s="192"/>
      <c r="Q180" s="192"/>
      <c r="R180" s="195">
        <f t="shared" si="165"/>
        <v>0</v>
      </c>
      <c r="S180" s="194">
        <f t="shared" si="166"/>
        <v>0</v>
      </c>
      <c r="T180" s="191"/>
      <c r="U180" s="192"/>
      <c r="V180" s="192"/>
      <c r="W180" s="195">
        <f t="shared" si="167"/>
        <v>0</v>
      </c>
      <c r="X180" s="194">
        <f t="shared" si="168"/>
        <v>0</v>
      </c>
      <c r="Y180" s="183">
        <f t="shared" si="169"/>
        <v>0</v>
      </c>
      <c r="Z180" s="205">
        <f>(VLOOKUP(B:B,[1]AppLists!M:O,3,FALSE))*$AB$2</f>
        <v>86.11</v>
      </c>
      <c r="AA180" s="184">
        <f t="shared" si="170"/>
        <v>0</v>
      </c>
    </row>
    <row r="181" spans="1:27" ht="28.35" customHeight="1">
      <c r="A181" s="179">
        <v>130</v>
      </c>
      <c r="B181" s="197" t="s">
        <v>599</v>
      </c>
      <c r="C181" s="198" t="s">
        <v>600</v>
      </c>
      <c r="D181" s="199" t="s">
        <v>420</v>
      </c>
      <c r="E181" s="191"/>
      <c r="F181" s="192"/>
      <c r="G181" s="192"/>
      <c r="H181" s="193">
        <f t="shared" si="161"/>
        <v>0</v>
      </c>
      <c r="I181" s="194">
        <f t="shared" si="162"/>
        <v>0</v>
      </c>
      <c r="J181" s="191"/>
      <c r="K181" s="192"/>
      <c r="L181" s="192"/>
      <c r="M181" s="195">
        <f t="shared" si="163"/>
        <v>0</v>
      </c>
      <c r="N181" s="194">
        <f t="shared" si="164"/>
        <v>0</v>
      </c>
      <c r="O181" s="191"/>
      <c r="P181" s="192"/>
      <c r="Q181" s="192"/>
      <c r="R181" s="195">
        <f t="shared" si="165"/>
        <v>0</v>
      </c>
      <c r="S181" s="194">
        <f t="shared" si="166"/>
        <v>0</v>
      </c>
      <c r="T181" s="191"/>
      <c r="U181" s="192"/>
      <c r="V181" s="192"/>
      <c r="W181" s="195">
        <f t="shared" si="167"/>
        <v>0</v>
      </c>
      <c r="X181" s="194">
        <f t="shared" si="168"/>
        <v>0</v>
      </c>
      <c r="Y181" s="183">
        <f t="shared" si="169"/>
        <v>0</v>
      </c>
      <c r="Z181" s="205">
        <f>(VLOOKUP(B:B,[1]AppLists!M:O,3,FALSE))*$AB$2</f>
        <v>921.05000000000007</v>
      </c>
      <c r="AA181" s="184">
        <f t="shared" si="170"/>
        <v>0</v>
      </c>
    </row>
    <row r="182" spans="1:27" ht="28.35" customHeight="1">
      <c r="A182" s="179">
        <v>131</v>
      </c>
      <c r="B182" s="197" t="s">
        <v>601</v>
      </c>
      <c r="C182" s="198" t="s">
        <v>602</v>
      </c>
      <c r="D182" s="199" t="s">
        <v>364</v>
      </c>
      <c r="E182" s="191"/>
      <c r="F182" s="192"/>
      <c r="G182" s="192"/>
      <c r="H182" s="193">
        <f t="shared" si="161"/>
        <v>0</v>
      </c>
      <c r="I182" s="194">
        <f t="shared" si="162"/>
        <v>0</v>
      </c>
      <c r="J182" s="191"/>
      <c r="K182" s="192"/>
      <c r="L182" s="192"/>
      <c r="M182" s="195">
        <f t="shared" si="163"/>
        <v>0</v>
      </c>
      <c r="N182" s="194">
        <f t="shared" si="164"/>
        <v>0</v>
      </c>
      <c r="O182" s="191"/>
      <c r="P182" s="192"/>
      <c r="Q182" s="192"/>
      <c r="R182" s="195">
        <f t="shared" si="165"/>
        <v>0</v>
      </c>
      <c r="S182" s="194">
        <f t="shared" si="166"/>
        <v>0</v>
      </c>
      <c r="T182" s="191"/>
      <c r="U182" s="192"/>
      <c r="V182" s="192"/>
      <c r="W182" s="195">
        <f t="shared" si="167"/>
        <v>0</v>
      </c>
      <c r="X182" s="194">
        <f t="shared" si="168"/>
        <v>0</v>
      </c>
      <c r="Y182" s="183">
        <f t="shared" si="169"/>
        <v>0</v>
      </c>
      <c r="Z182" s="205">
        <f>(VLOOKUP(B:B,[1]AppLists!M:O,3,FALSE))*$AB$2</f>
        <v>19.0532</v>
      </c>
      <c r="AA182" s="184">
        <f t="shared" si="170"/>
        <v>0</v>
      </c>
    </row>
    <row r="183" spans="1:27" ht="28.35" customHeight="1">
      <c r="A183" s="179">
        <v>132</v>
      </c>
      <c r="B183" s="197" t="s">
        <v>603</v>
      </c>
      <c r="C183" s="198" t="s">
        <v>604</v>
      </c>
      <c r="D183" s="199" t="s">
        <v>364</v>
      </c>
      <c r="E183" s="191"/>
      <c r="F183" s="192"/>
      <c r="G183" s="192"/>
      <c r="H183" s="193">
        <f t="shared" si="161"/>
        <v>0</v>
      </c>
      <c r="I183" s="194">
        <f t="shared" si="162"/>
        <v>0</v>
      </c>
      <c r="J183" s="191"/>
      <c r="K183" s="192"/>
      <c r="L183" s="192"/>
      <c r="M183" s="195">
        <f t="shared" si="163"/>
        <v>0</v>
      </c>
      <c r="N183" s="194">
        <f t="shared" si="164"/>
        <v>0</v>
      </c>
      <c r="O183" s="191"/>
      <c r="P183" s="192"/>
      <c r="Q183" s="192"/>
      <c r="R183" s="195">
        <f t="shared" si="165"/>
        <v>0</v>
      </c>
      <c r="S183" s="194">
        <f t="shared" si="166"/>
        <v>0</v>
      </c>
      <c r="T183" s="191"/>
      <c r="U183" s="192"/>
      <c r="V183" s="192"/>
      <c r="W183" s="195">
        <f t="shared" si="167"/>
        <v>0</v>
      </c>
      <c r="X183" s="194">
        <f t="shared" si="168"/>
        <v>0</v>
      </c>
      <c r="Y183" s="183">
        <f t="shared" si="169"/>
        <v>0</v>
      </c>
      <c r="Z183" s="205">
        <f>(VLOOKUP(B:B,[1]AppLists!M:O,3,FALSE))*$AB$2</f>
        <v>58.511200000000002</v>
      </c>
      <c r="AA183" s="184">
        <f t="shared" si="170"/>
        <v>0</v>
      </c>
    </row>
    <row r="184" spans="1:27" ht="28.35" customHeight="1">
      <c r="A184" s="179">
        <v>133</v>
      </c>
      <c r="B184" s="180" t="s">
        <v>605</v>
      </c>
      <c r="C184" s="181" t="s">
        <v>606</v>
      </c>
      <c r="D184" s="220" t="s">
        <v>420</v>
      </c>
      <c r="E184" s="191"/>
      <c r="F184" s="192">
        <v>0</v>
      </c>
      <c r="G184" s="192"/>
      <c r="H184" s="193">
        <f t="shared" si="161"/>
        <v>0</v>
      </c>
      <c r="I184" s="194">
        <f t="shared" si="162"/>
        <v>0</v>
      </c>
      <c r="J184" s="191"/>
      <c r="K184" s="192"/>
      <c r="L184" s="192"/>
      <c r="M184" s="195">
        <f t="shared" si="163"/>
        <v>0</v>
      </c>
      <c r="N184" s="194">
        <f t="shared" si="164"/>
        <v>0</v>
      </c>
      <c r="O184" s="191"/>
      <c r="P184" s="192"/>
      <c r="Q184" s="192"/>
      <c r="R184" s="195">
        <f t="shared" si="165"/>
        <v>0</v>
      </c>
      <c r="S184" s="194">
        <f t="shared" si="166"/>
        <v>0</v>
      </c>
      <c r="T184" s="191"/>
      <c r="U184" s="192"/>
      <c r="V184" s="192"/>
      <c r="W184" s="195">
        <f t="shared" si="167"/>
        <v>0</v>
      </c>
      <c r="X184" s="194">
        <f t="shared" si="168"/>
        <v>0</v>
      </c>
      <c r="Y184" s="183">
        <f t="shared" si="169"/>
        <v>0</v>
      </c>
      <c r="Z184" s="205">
        <f>(VLOOKUP(B:B,[1]AppLists!M:O,3,FALSE))*$AB$2</f>
        <v>10900</v>
      </c>
      <c r="AA184" s="184">
        <f t="shared" si="170"/>
        <v>0</v>
      </c>
    </row>
    <row r="185" spans="1:27" ht="28.35" customHeight="1">
      <c r="A185" s="179">
        <v>134</v>
      </c>
      <c r="B185" s="197" t="s">
        <v>607</v>
      </c>
      <c r="C185" s="181" t="s">
        <v>608</v>
      </c>
      <c r="D185" s="199" t="s">
        <v>420</v>
      </c>
      <c r="E185" s="191"/>
      <c r="F185" s="192"/>
      <c r="G185" s="192"/>
      <c r="H185" s="193">
        <f t="shared" si="161"/>
        <v>0</v>
      </c>
      <c r="I185" s="194">
        <f t="shared" si="162"/>
        <v>0</v>
      </c>
      <c r="J185" s="191"/>
      <c r="K185" s="192"/>
      <c r="L185" s="192"/>
      <c r="M185" s="195">
        <f t="shared" si="163"/>
        <v>0</v>
      </c>
      <c r="N185" s="194">
        <f t="shared" si="164"/>
        <v>0</v>
      </c>
      <c r="O185" s="191"/>
      <c r="P185" s="192"/>
      <c r="Q185" s="192"/>
      <c r="R185" s="195">
        <f t="shared" si="165"/>
        <v>0</v>
      </c>
      <c r="S185" s="194">
        <f t="shared" si="166"/>
        <v>0</v>
      </c>
      <c r="T185" s="191"/>
      <c r="U185" s="192"/>
      <c r="V185" s="192"/>
      <c r="W185" s="195">
        <f t="shared" si="167"/>
        <v>0</v>
      </c>
      <c r="X185" s="194">
        <f t="shared" si="168"/>
        <v>0</v>
      </c>
      <c r="Y185" s="183">
        <f t="shared" si="169"/>
        <v>0</v>
      </c>
      <c r="Z185" s="205">
        <f>(VLOOKUP(B:B,[1]AppLists!M:O,3,FALSE))*$AB$2</f>
        <v>141.70000000000002</v>
      </c>
      <c r="AA185" s="184">
        <f t="shared" si="170"/>
        <v>0</v>
      </c>
    </row>
    <row r="186" spans="1:27" ht="28.35" customHeight="1">
      <c r="A186" s="179">
        <v>135</v>
      </c>
      <c r="B186" s="197" t="s">
        <v>609</v>
      </c>
      <c r="C186" s="181" t="s">
        <v>610</v>
      </c>
      <c r="D186" s="199" t="s">
        <v>420</v>
      </c>
      <c r="E186" s="191"/>
      <c r="F186" s="192"/>
      <c r="G186" s="192"/>
      <c r="H186" s="193">
        <f t="shared" si="161"/>
        <v>0</v>
      </c>
      <c r="I186" s="194">
        <f t="shared" si="162"/>
        <v>0</v>
      </c>
      <c r="J186" s="191"/>
      <c r="K186" s="192"/>
      <c r="L186" s="192"/>
      <c r="M186" s="195">
        <f t="shared" si="163"/>
        <v>0</v>
      </c>
      <c r="N186" s="194">
        <f t="shared" si="164"/>
        <v>0</v>
      </c>
      <c r="O186" s="191"/>
      <c r="P186" s="192"/>
      <c r="Q186" s="192"/>
      <c r="R186" s="195">
        <f t="shared" si="165"/>
        <v>0</v>
      </c>
      <c r="S186" s="194">
        <f t="shared" si="166"/>
        <v>0</v>
      </c>
      <c r="T186" s="191"/>
      <c r="U186" s="192"/>
      <c r="V186" s="192"/>
      <c r="W186" s="195">
        <f t="shared" si="167"/>
        <v>0</v>
      </c>
      <c r="X186" s="194">
        <f t="shared" si="168"/>
        <v>0</v>
      </c>
      <c r="Y186" s="183">
        <f t="shared" si="169"/>
        <v>0</v>
      </c>
      <c r="Z186" s="205">
        <f>(VLOOKUP(B:B,[1]AppLists!M:O,3,FALSE))*$AB$2</f>
        <v>4937.7000000000007</v>
      </c>
      <c r="AA186" s="184">
        <f t="shared" si="170"/>
        <v>0</v>
      </c>
    </row>
    <row r="187" spans="1:27" ht="28.35" customHeight="1">
      <c r="A187" s="179">
        <v>136</v>
      </c>
      <c r="B187" s="197" t="s">
        <v>611</v>
      </c>
      <c r="C187" s="181" t="s">
        <v>612</v>
      </c>
      <c r="D187" s="199" t="s">
        <v>420</v>
      </c>
      <c r="E187" s="191"/>
      <c r="F187" s="192"/>
      <c r="G187" s="192"/>
      <c r="H187" s="193">
        <f t="shared" si="161"/>
        <v>0</v>
      </c>
      <c r="I187" s="194">
        <f t="shared" si="162"/>
        <v>0</v>
      </c>
      <c r="J187" s="191"/>
      <c r="K187" s="192"/>
      <c r="L187" s="192"/>
      <c r="M187" s="195">
        <f t="shared" si="163"/>
        <v>0</v>
      </c>
      <c r="N187" s="194">
        <f t="shared" si="164"/>
        <v>0</v>
      </c>
      <c r="O187" s="191"/>
      <c r="P187" s="192"/>
      <c r="Q187" s="192"/>
      <c r="R187" s="195">
        <f t="shared" si="165"/>
        <v>0</v>
      </c>
      <c r="S187" s="194">
        <f t="shared" si="166"/>
        <v>0</v>
      </c>
      <c r="T187" s="191"/>
      <c r="U187" s="192"/>
      <c r="V187" s="192"/>
      <c r="W187" s="195">
        <f t="shared" si="167"/>
        <v>0</v>
      </c>
      <c r="X187" s="194">
        <f t="shared" si="168"/>
        <v>0</v>
      </c>
      <c r="Y187" s="183">
        <f t="shared" si="169"/>
        <v>0</v>
      </c>
      <c r="Z187" s="205">
        <f>(VLOOKUP(B:B,[1]AppLists!M:O,3,FALSE))*$AB$2</f>
        <v>8476.93</v>
      </c>
      <c r="AA187" s="184">
        <f t="shared" si="170"/>
        <v>0</v>
      </c>
    </row>
    <row r="188" spans="1:27" ht="28.35" customHeight="1">
      <c r="A188" s="206">
        <v>137</v>
      </c>
      <c r="B188" s="215" t="s">
        <v>613</v>
      </c>
      <c r="C188" s="198" t="s">
        <v>614</v>
      </c>
      <c r="D188" s="195" t="s">
        <v>420</v>
      </c>
      <c r="E188" s="191"/>
      <c r="F188" s="192"/>
      <c r="G188" s="192"/>
      <c r="H188" s="193">
        <f t="shared" si="161"/>
        <v>0</v>
      </c>
      <c r="I188" s="194">
        <f t="shared" si="162"/>
        <v>0</v>
      </c>
      <c r="J188" s="191"/>
      <c r="K188" s="192"/>
      <c r="L188" s="192"/>
      <c r="M188" s="195">
        <f t="shared" si="163"/>
        <v>0</v>
      </c>
      <c r="N188" s="194">
        <f t="shared" si="164"/>
        <v>0</v>
      </c>
      <c r="O188" s="191"/>
      <c r="P188" s="192"/>
      <c r="Q188" s="192"/>
      <c r="R188" s="195">
        <f t="shared" si="165"/>
        <v>0</v>
      </c>
      <c r="S188" s="194">
        <f t="shared" si="166"/>
        <v>0</v>
      </c>
      <c r="T188" s="191"/>
      <c r="U188" s="192"/>
      <c r="V188" s="192"/>
      <c r="W188" s="195">
        <f t="shared" si="167"/>
        <v>0</v>
      </c>
      <c r="X188" s="194">
        <f t="shared" si="168"/>
        <v>0</v>
      </c>
      <c r="Y188" s="194">
        <f t="shared" si="169"/>
        <v>0</v>
      </c>
      <c r="Z188" s="200">
        <f>(VLOOKUP(B:B,[1]AppLists!M:O,3,FALSE))*$AB$2</f>
        <v>5973.2000000000007</v>
      </c>
      <c r="AA188" s="230">
        <f t="shared" si="170"/>
        <v>0</v>
      </c>
    </row>
    <row r="189" spans="1:27" ht="28.35" customHeight="1" thickBot="1">
      <c r="A189" s="166">
        <v>138</v>
      </c>
      <c r="B189" s="167" t="s">
        <v>615</v>
      </c>
      <c r="C189" s="168" t="s">
        <v>616</v>
      </c>
      <c r="D189" s="169" t="s">
        <v>420</v>
      </c>
      <c r="E189" s="191"/>
      <c r="F189" s="192"/>
      <c r="G189" s="192"/>
      <c r="H189" s="193">
        <f t="shared" si="161"/>
        <v>0</v>
      </c>
      <c r="I189" s="194">
        <f t="shared" si="162"/>
        <v>0</v>
      </c>
      <c r="J189" s="191"/>
      <c r="K189" s="192"/>
      <c r="L189" s="192"/>
      <c r="M189" s="195">
        <f t="shared" si="163"/>
        <v>0</v>
      </c>
      <c r="N189" s="194">
        <f t="shared" si="164"/>
        <v>0</v>
      </c>
      <c r="O189" s="191"/>
      <c r="P189" s="192"/>
      <c r="Q189" s="192"/>
      <c r="R189" s="195">
        <f t="shared" si="165"/>
        <v>0</v>
      </c>
      <c r="S189" s="194">
        <f t="shared" si="166"/>
        <v>0</v>
      </c>
      <c r="T189" s="191"/>
      <c r="U189" s="192"/>
      <c r="V189" s="192"/>
      <c r="W189" s="195">
        <f t="shared" si="167"/>
        <v>0</v>
      </c>
      <c r="X189" s="194">
        <f t="shared" si="168"/>
        <v>0</v>
      </c>
      <c r="Y189" s="173">
        <f t="shared" si="169"/>
        <v>0</v>
      </c>
      <c r="Z189" s="175">
        <f>(VLOOKUP(B:B,[1]AppLists!M:O,3,FALSE))*$AB$2</f>
        <v>0</v>
      </c>
      <c r="AA189" s="176">
        <f t="shared" si="170"/>
        <v>0</v>
      </c>
    </row>
    <row r="190" spans="1:27" ht="30" customHeight="1" thickBot="1">
      <c r="A190" s="160" t="s">
        <v>617</v>
      </c>
      <c r="B190" s="161"/>
      <c r="C190" s="161"/>
      <c r="D190" s="161"/>
      <c r="E190" s="162"/>
      <c r="F190" s="162"/>
      <c r="G190" s="162"/>
      <c r="H190" s="162"/>
      <c r="I190" s="163"/>
      <c r="J190" s="162"/>
      <c r="K190" s="162"/>
      <c r="L190" s="162"/>
      <c r="M190" s="162"/>
      <c r="N190" s="163"/>
      <c r="O190" s="162"/>
      <c r="P190" s="162"/>
      <c r="Q190" s="162"/>
      <c r="R190" s="162"/>
      <c r="S190" s="163"/>
      <c r="T190" s="162"/>
      <c r="U190" s="162"/>
      <c r="V190" s="162"/>
      <c r="W190" s="162"/>
      <c r="X190" s="163"/>
      <c r="Y190" s="163"/>
      <c r="Z190" s="177"/>
      <c r="AA190" s="178"/>
    </row>
    <row r="191" spans="1:27" ht="28.35" customHeight="1">
      <c r="A191" s="179">
        <v>139</v>
      </c>
      <c r="B191" s="180" t="s">
        <v>618</v>
      </c>
      <c r="C191" s="181" t="s">
        <v>619</v>
      </c>
      <c r="D191" s="182" t="s">
        <v>620</v>
      </c>
      <c r="E191" s="191"/>
      <c r="F191" s="192"/>
      <c r="G191" s="192"/>
      <c r="H191" s="193">
        <f t="shared" ref="H191:H254" si="171">SUM(E191:G191)</f>
        <v>0</v>
      </c>
      <c r="I191" s="194">
        <f t="shared" ref="I191:I254" si="172">H191*Z191</f>
        <v>0</v>
      </c>
      <c r="J191" s="191"/>
      <c r="K191" s="192"/>
      <c r="L191" s="192"/>
      <c r="M191" s="195">
        <f t="shared" ref="M191:M254" si="173">SUM(J191:L191)</f>
        <v>0</v>
      </c>
      <c r="N191" s="194">
        <f t="shared" ref="N191:N254" si="174">M191*Z191</f>
        <v>0</v>
      </c>
      <c r="O191" s="191"/>
      <c r="P191" s="192"/>
      <c r="Q191" s="192"/>
      <c r="R191" s="195">
        <f t="shared" ref="R191:R254" si="175">SUM(O191:Q191)</f>
        <v>0</v>
      </c>
      <c r="S191" s="194">
        <f t="shared" ref="S191:S254" si="176">R191*Z191</f>
        <v>0</v>
      </c>
      <c r="T191" s="191"/>
      <c r="U191" s="192"/>
      <c r="V191" s="192"/>
      <c r="W191" s="195">
        <f t="shared" ref="W191:W254" si="177">SUM(T191:V191)</f>
        <v>0</v>
      </c>
      <c r="X191" s="194">
        <f t="shared" ref="X191:X254" si="178">W191*Z191</f>
        <v>0</v>
      </c>
      <c r="Y191" s="183">
        <f t="shared" ref="Y191:Y254" si="179">H191+M191+R191+W191</f>
        <v>0</v>
      </c>
      <c r="Z191" s="205">
        <f>(VLOOKUP(B:B,[1]AppLists!M:O,3,FALSE))*$AB$2</f>
        <v>7194.0000000000009</v>
      </c>
      <c r="AA191" s="184">
        <f t="shared" ref="AA191:AA254" si="180">Y191*Z191</f>
        <v>0</v>
      </c>
    </row>
    <row r="192" spans="1:27" ht="28.35" customHeight="1">
      <c r="A192" s="179">
        <v>140</v>
      </c>
      <c r="B192" s="197" t="s">
        <v>621</v>
      </c>
      <c r="C192" s="231" t="s">
        <v>622</v>
      </c>
      <c r="D192" s="214" t="s">
        <v>620</v>
      </c>
      <c r="E192" s="191"/>
      <c r="F192" s="192"/>
      <c r="G192" s="192"/>
      <c r="H192" s="193">
        <f t="shared" si="171"/>
        <v>0</v>
      </c>
      <c r="I192" s="194">
        <f t="shared" si="172"/>
        <v>0</v>
      </c>
      <c r="J192" s="191"/>
      <c r="K192" s="192"/>
      <c r="L192" s="192"/>
      <c r="M192" s="195">
        <f t="shared" si="173"/>
        <v>0</v>
      </c>
      <c r="N192" s="194">
        <f t="shared" si="174"/>
        <v>0</v>
      </c>
      <c r="O192" s="191"/>
      <c r="P192" s="192"/>
      <c r="Q192" s="192"/>
      <c r="R192" s="195">
        <f t="shared" si="175"/>
        <v>0</v>
      </c>
      <c r="S192" s="194">
        <f t="shared" si="176"/>
        <v>0</v>
      </c>
      <c r="T192" s="191"/>
      <c r="U192" s="192"/>
      <c r="V192" s="192"/>
      <c r="W192" s="195">
        <f t="shared" si="177"/>
        <v>0</v>
      </c>
      <c r="X192" s="194">
        <f t="shared" si="178"/>
        <v>0</v>
      </c>
      <c r="Y192" s="183">
        <f t="shared" si="179"/>
        <v>0</v>
      </c>
      <c r="Z192" s="205">
        <f>(VLOOKUP(B:B,[1]AppLists!M:O,3,FALSE))*$AB$2</f>
        <v>1049.67</v>
      </c>
      <c r="AA192" s="184">
        <f t="shared" si="180"/>
        <v>0</v>
      </c>
    </row>
    <row r="193" spans="1:27" ht="28.35" customHeight="1">
      <c r="A193" s="179">
        <v>141</v>
      </c>
      <c r="B193" s="197" t="s">
        <v>623</v>
      </c>
      <c r="C193" s="181" t="s">
        <v>624</v>
      </c>
      <c r="D193" s="199" t="s">
        <v>620</v>
      </c>
      <c r="E193" s="191"/>
      <c r="F193" s="192"/>
      <c r="G193" s="192"/>
      <c r="H193" s="193">
        <f t="shared" si="171"/>
        <v>0</v>
      </c>
      <c r="I193" s="194">
        <f t="shared" si="172"/>
        <v>0</v>
      </c>
      <c r="J193" s="191"/>
      <c r="K193" s="192"/>
      <c r="L193" s="192"/>
      <c r="M193" s="195">
        <f t="shared" si="173"/>
        <v>0</v>
      </c>
      <c r="N193" s="194">
        <f t="shared" si="174"/>
        <v>0</v>
      </c>
      <c r="O193" s="191"/>
      <c r="P193" s="192"/>
      <c r="Q193" s="192"/>
      <c r="R193" s="195">
        <f t="shared" si="175"/>
        <v>0</v>
      </c>
      <c r="S193" s="194">
        <f t="shared" si="176"/>
        <v>0</v>
      </c>
      <c r="T193" s="191"/>
      <c r="U193" s="192"/>
      <c r="V193" s="192"/>
      <c r="W193" s="195">
        <f t="shared" si="177"/>
        <v>0</v>
      </c>
      <c r="X193" s="194">
        <f t="shared" si="178"/>
        <v>0</v>
      </c>
      <c r="Y193" s="183">
        <f t="shared" si="179"/>
        <v>0</v>
      </c>
      <c r="Z193" s="205">
        <f>(VLOOKUP(B:B,[1]AppLists!M:O,3,FALSE))*$AB$2</f>
        <v>1079.1000000000001</v>
      </c>
      <c r="AA193" s="184">
        <f t="shared" si="180"/>
        <v>0</v>
      </c>
    </row>
    <row r="194" spans="1:27" ht="28.35" customHeight="1">
      <c r="A194" s="179">
        <v>142</v>
      </c>
      <c r="B194" s="197" t="s">
        <v>625</v>
      </c>
      <c r="C194" s="181" t="s">
        <v>626</v>
      </c>
      <c r="D194" s="214" t="s">
        <v>620</v>
      </c>
      <c r="E194" s="191"/>
      <c r="F194" s="192"/>
      <c r="G194" s="192"/>
      <c r="H194" s="193">
        <f t="shared" si="171"/>
        <v>0</v>
      </c>
      <c r="I194" s="194">
        <f t="shared" si="172"/>
        <v>0</v>
      </c>
      <c r="J194" s="191"/>
      <c r="K194" s="192"/>
      <c r="L194" s="192"/>
      <c r="M194" s="195">
        <f t="shared" si="173"/>
        <v>0</v>
      </c>
      <c r="N194" s="194">
        <f t="shared" si="174"/>
        <v>0</v>
      </c>
      <c r="O194" s="191"/>
      <c r="P194" s="192"/>
      <c r="Q194" s="192"/>
      <c r="R194" s="195">
        <f t="shared" si="175"/>
        <v>0</v>
      </c>
      <c r="S194" s="194">
        <f t="shared" si="176"/>
        <v>0</v>
      </c>
      <c r="T194" s="191"/>
      <c r="U194" s="192"/>
      <c r="V194" s="192"/>
      <c r="W194" s="195">
        <f t="shared" si="177"/>
        <v>0</v>
      </c>
      <c r="X194" s="194">
        <f t="shared" si="178"/>
        <v>0</v>
      </c>
      <c r="Y194" s="183">
        <f t="shared" si="179"/>
        <v>0</v>
      </c>
      <c r="Z194" s="205">
        <f>(VLOOKUP(B:B,[1]AppLists!M:O,3,FALSE))*$AB$2</f>
        <v>790.25000000000011</v>
      </c>
      <c r="AA194" s="184">
        <f t="shared" si="180"/>
        <v>0</v>
      </c>
    </row>
    <row r="195" spans="1:27" ht="28.35" customHeight="1">
      <c r="A195" s="179">
        <v>143</v>
      </c>
      <c r="B195" s="197" t="s">
        <v>627</v>
      </c>
      <c r="C195" s="181" t="s">
        <v>628</v>
      </c>
      <c r="D195" s="199" t="s">
        <v>620</v>
      </c>
      <c r="E195" s="191"/>
      <c r="F195" s="192"/>
      <c r="G195" s="192"/>
      <c r="H195" s="193">
        <f t="shared" si="171"/>
        <v>0</v>
      </c>
      <c r="I195" s="194">
        <f t="shared" si="172"/>
        <v>0</v>
      </c>
      <c r="J195" s="191"/>
      <c r="K195" s="192"/>
      <c r="L195" s="192"/>
      <c r="M195" s="195">
        <f t="shared" si="173"/>
        <v>0</v>
      </c>
      <c r="N195" s="194">
        <f t="shared" si="174"/>
        <v>0</v>
      </c>
      <c r="O195" s="191"/>
      <c r="P195" s="192"/>
      <c r="Q195" s="192"/>
      <c r="R195" s="195">
        <f t="shared" si="175"/>
        <v>0</v>
      </c>
      <c r="S195" s="194">
        <f t="shared" si="176"/>
        <v>0</v>
      </c>
      <c r="T195" s="191"/>
      <c r="U195" s="192"/>
      <c r="V195" s="192"/>
      <c r="W195" s="195">
        <f t="shared" si="177"/>
        <v>0</v>
      </c>
      <c r="X195" s="194">
        <f t="shared" si="178"/>
        <v>0</v>
      </c>
      <c r="Y195" s="183">
        <f t="shared" si="179"/>
        <v>0</v>
      </c>
      <c r="Z195" s="205">
        <f>(VLOOKUP(B:B,[1]AppLists!M:O,3,FALSE))*$AB$2</f>
        <v>817.50000000000011</v>
      </c>
      <c r="AA195" s="184">
        <f t="shared" si="180"/>
        <v>0</v>
      </c>
    </row>
    <row r="196" spans="1:27" ht="28.35" customHeight="1">
      <c r="A196" s="179">
        <v>144</v>
      </c>
      <c r="B196" s="197" t="s">
        <v>629</v>
      </c>
      <c r="C196" s="181" t="s">
        <v>630</v>
      </c>
      <c r="D196" s="214" t="s">
        <v>620</v>
      </c>
      <c r="E196" s="191"/>
      <c r="F196" s="192"/>
      <c r="G196" s="192"/>
      <c r="H196" s="193">
        <f t="shared" si="171"/>
        <v>0</v>
      </c>
      <c r="I196" s="194">
        <f t="shared" si="172"/>
        <v>0</v>
      </c>
      <c r="J196" s="191"/>
      <c r="K196" s="192"/>
      <c r="L196" s="192"/>
      <c r="M196" s="195">
        <f t="shared" si="173"/>
        <v>0</v>
      </c>
      <c r="N196" s="194">
        <f t="shared" si="174"/>
        <v>0</v>
      </c>
      <c r="O196" s="191"/>
      <c r="P196" s="192"/>
      <c r="Q196" s="192"/>
      <c r="R196" s="195">
        <f t="shared" si="175"/>
        <v>0</v>
      </c>
      <c r="S196" s="194">
        <f t="shared" si="176"/>
        <v>0</v>
      </c>
      <c r="T196" s="191"/>
      <c r="U196" s="192"/>
      <c r="V196" s="192"/>
      <c r="W196" s="195">
        <f t="shared" si="177"/>
        <v>0</v>
      </c>
      <c r="X196" s="194">
        <f t="shared" si="178"/>
        <v>0</v>
      </c>
      <c r="Y196" s="183">
        <f t="shared" si="179"/>
        <v>0</v>
      </c>
      <c r="Z196" s="205">
        <f>(VLOOKUP(B:B,[1]AppLists!M:O,3,FALSE))*$AB$2</f>
        <v>267.05</v>
      </c>
      <c r="AA196" s="184">
        <f t="shared" si="180"/>
        <v>0</v>
      </c>
    </row>
    <row r="197" spans="1:27" ht="28.35" customHeight="1">
      <c r="A197" s="179">
        <v>145</v>
      </c>
      <c r="B197" s="197" t="s">
        <v>631</v>
      </c>
      <c r="C197" s="181" t="s">
        <v>632</v>
      </c>
      <c r="D197" s="199" t="s">
        <v>620</v>
      </c>
      <c r="E197" s="191"/>
      <c r="F197" s="192"/>
      <c r="G197" s="192"/>
      <c r="H197" s="193">
        <f t="shared" si="171"/>
        <v>0</v>
      </c>
      <c r="I197" s="194">
        <f t="shared" si="172"/>
        <v>0</v>
      </c>
      <c r="J197" s="191"/>
      <c r="K197" s="192"/>
      <c r="L197" s="192"/>
      <c r="M197" s="195">
        <f t="shared" si="173"/>
        <v>0</v>
      </c>
      <c r="N197" s="194">
        <f t="shared" si="174"/>
        <v>0</v>
      </c>
      <c r="O197" s="191"/>
      <c r="P197" s="192"/>
      <c r="Q197" s="192"/>
      <c r="R197" s="195">
        <f t="shared" si="175"/>
        <v>0</v>
      </c>
      <c r="S197" s="194">
        <f t="shared" si="176"/>
        <v>0</v>
      </c>
      <c r="T197" s="191"/>
      <c r="U197" s="192"/>
      <c r="V197" s="192"/>
      <c r="W197" s="195">
        <f t="shared" si="177"/>
        <v>0</v>
      </c>
      <c r="X197" s="194">
        <f t="shared" si="178"/>
        <v>0</v>
      </c>
      <c r="Y197" s="183">
        <f t="shared" si="179"/>
        <v>0</v>
      </c>
      <c r="Z197" s="205">
        <f>(VLOOKUP(B:B,[1]AppLists!M:O,3,FALSE))*$AB$2</f>
        <v>267.05</v>
      </c>
      <c r="AA197" s="184">
        <f t="shared" si="180"/>
        <v>0</v>
      </c>
    </row>
    <row r="198" spans="1:27" ht="28.35" customHeight="1">
      <c r="A198" s="179">
        <v>146</v>
      </c>
      <c r="B198" s="197" t="s">
        <v>633</v>
      </c>
      <c r="C198" s="181" t="s">
        <v>634</v>
      </c>
      <c r="D198" s="214" t="s">
        <v>620</v>
      </c>
      <c r="E198" s="191"/>
      <c r="F198" s="192"/>
      <c r="G198" s="192"/>
      <c r="H198" s="193">
        <f t="shared" si="171"/>
        <v>0</v>
      </c>
      <c r="I198" s="194">
        <f t="shared" si="172"/>
        <v>0</v>
      </c>
      <c r="J198" s="191"/>
      <c r="K198" s="192"/>
      <c r="L198" s="192"/>
      <c r="M198" s="195">
        <f t="shared" si="173"/>
        <v>0</v>
      </c>
      <c r="N198" s="194">
        <f t="shared" si="174"/>
        <v>0</v>
      </c>
      <c r="O198" s="191"/>
      <c r="P198" s="192"/>
      <c r="Q198" s="192"/>
      <c r="R198" s="195">
        <f t="shared" si="175"/>
        <v>0</v>
      </c>
      <c r="S198" s="194">
        <f t="shared" si="176"/>
        <v>0</v>
      </c>
      <c r="T198" s="191"/>
      <c r="U198" s="192"/>
      <c r="V198" s="192"/>
      <c r="W198" s="195">
        <f t="shared" si="177"/>
        <v>0</v>
      </c>
      <c r="X198" s="194">
        <f t="shared" si="178"/>
        <v>0</v>
      </c>
      <c r="Y198" s="183">
        <f t="shared" si="179"/>
        <v>0</v>
      </c>
      <c r="Z198" s="205">
        <f>(VLOOKUP(B:B,[1]AppLists!M:O,3,FALSE))*$AB$2</f>
        <v>267.05</v>
      </c>
      <c r="AA198" s="184">
        <f t="shared" si="180"/>
        <v>0</v>
      </c>
    </row>
    <row r="199" spans="1:27" ht="28.35" customHeight="1">
      <c r="A199" s="179">
        <v>147</v>
      </c>
      <c r="B199" s="197" t="s">
        <v>635</v>
      </c>
      <c r="C199" s="181" t="s">
        <v>636</v>
      </c>
      <c r="D199" s="199" t="s">
        <v>620</v>
      </c>
      <c r="E199" s="191"/>
      <c r="F199" s="192"/>
      <c r="G199" s="192"/>
      <c r="H199" s="193">
        <f t="shared" si="171"/>
        <v>0</v>
      </c>
      <c r="I199" s="194">
        <f t="shared" si="172"/>
        <v>0</v>
      </c>
      <c r="J199" s="191"/>
      <c r="K199" s="192"/>
      <c r="L199" s="192"/>
      <c r="M199" s="195">
        <f t="shared" si="173"/>
        <v>0</v>
      </c>
      <c r="N199" s="194">
        <f t="shared" si="174"/>
        <v>0</v>
      </c>
      <c r="O199" s="191"/>
      <c r="P199" s="192"/>
      <c r="Q199" s="192"/>
      <c r="R199" s="195">
        <f t="shared" si="175"/>
        <v>0</v>
      </c>
      <c r="S199" s="194">
        <f t="shared" si="176"/>
        <v>0</v>
      </c>
      <c r="T199" s="191"/>
      <c r="U199" s="192"/>
      <c r="V199" s="192"/>
      <c r="W199" s="195">
        <f t="shared" si="177"/>
        <v>0</v>
      </c>
      <c r="X199" s="194">
        <f t="shared" si="178"/>
        <v>0</v>
      </c>
      <c r="Y199" s="183">
        <f t="shared" si="179"/>
        <v>0</v>
      </c>
      <c r="Z199" s="205">
        <f>(VLOOKUP(B:B,[1]AppLists!M:O,3,FALSE))*$AB$2</f>
        <v>267.05</v>
      </c>
      <c r="AA199" s="184">
        <f t="shared" si="180"/>
        <v>0</v>
      </c>
    </row>
    <row r="200" spans="1:27" ht="28.35" customHeight="1">
      <c r="A200" s="179">
        <v>148</v>
      </c>
      <c r="B200" s="197" t="s">
        <v>637</v>
      </c>
      <c r="C200" s="181" t="s">
        <v>638</v>
      </c>
      <c r="D200" s="214" t="s">
        <v>620</v>
      </c>
      <c r="E200" s="191"/>
      <c r="F200" s="192"/>
      <c r="G200" s="192"/>
      <c r="H200" s="193">
        <f t="shared" si="171"/>
        <v>0</v>
      </c>
      <c r="I200" s="194">
        <f t="shared" si="172"/>
        <v>0</v>
      </c>
      <c r="J200" s="191"/>
      <c r="K200" s="192"/>
      <c r="L200" s="192"/>
      <c r="M200" s="195">
        <f t="shared" si="173"/>
        <v>0</v>
      </c>
      <c r="N200" s="194">
        <f t="shared" si="174"/>
        <v>0</v>
      </c>
      <c r="O200" s="191"/>
      <c r="P200" s="192"/>
      <c r="Q200" s="192"/>
      <c r="R200" s="195">
        <f t="shared" si="175"/>
        <v>0</v>
      </c>
      <c r="S200" s="194">
        <f t="shared" si="176"/>
        <v>0</v>
      </c>
      <c r="T200" s="191"/>
      <c r="U200" s="192"/>
      <c r="V200" s="192"/>
      <c r="W200" s="195">
        <f t="shared" si="177"/>
        <v>0</v>
      </c>
      <c r="X200" s="194">
        <f t="shared" si="178"/>
        <v>0</v>
      </c>
      <c r="Y200" s="183">
        <f t="shared" si="179"/>
        <v>0</v>
      </c>
      <c r="Z200" s="205">
        <f>(VLOOKUP(B:B,[1]AppLists!M:O,3,FALSE))*$AB$2</f>
        <v>0</v>
      </c>
      <c r="AA200" s="184">
        <f t="shared" si="180"/>
        <v>0</v>
      </c>
    </row>
    <row r="201" spans="1:27" ht="28.35" customHeight="1">
      <c r="A201" s="179">
        <v>149</v>
      </c>
      <c r="B201" s="197" t="s">
        <v>639</v>
      </c>
      <c r="C201" s="181" t="s">
        <v>640</v>
      </c>
      <c r="D201" s="199" t="s">
        <v>620</v>
      </c>
      <c r="E201" s="191"/>
      <c r="F201" s="192"/>
      <c r="G201" s="192"/>
      <c r="H201" s="193">
        <f t="shared" si="171"/>
        <v>0</v>
      </c>
      <c r="I201" s="194">
        <f t="shared" si="172"/>
        <v>0</v>
      </c>
      <c r="J201" s="191"/>
      <c r="K201" s="192"/>
      <c r="L201" s="192"/>
      <c r="M201" s="195">
        <f t="shared" si="173"/>
        <v>0</v>
      </c>
      <c r="N201" s="194">
        <f t="shared" si="174"/>
        <v>0</v>
      </c>
      <c r="O201" s="191"/>
      <c r="P201" s="192"/>
      <c r="Q201" s="192"/>
      <c r="R201" s="195">
        <f t="shared" si="175"/>
        <v>0</v>
      </c>
      <c r="S201" s="194">
        <f t="shared" si="176"/>
        <v>0</v>
      </c>
      <c r="T201" s="191"/>
      <c r="U201" s="192"/>
      <c r="V201" s="192"/>
      <c r="W201" s="195">
        <f t="shared" si="177"/>
        <v>0</v>
      </c>
      <c r="X201" s="194">
        <f t="shared" si="178"/>
        <v>0</v>
      </c>
      <c r="Y201" s="183">
        <f t="shared" si="179"/>
        <v>0</v>
      </c>
      <c r="Z201" s="205">
        <f>(VLOOKUP(B:B,[1]AppLists!M:O,3,FALSE))*$AB$2</f>
        <v>0</v>
      </c>
      <c r="AA201" s="184">
        <f t="shared" si="180"/>
        <v>0</v>
      </c>
    </row>
    <row r="202" spans="1:27" ht="28.35" customHeight="1">
      <c r="A202" s="179">
        <v>150</v>
      </c>
      <c r="B202" s="197" t="s">
        <v>641</v>
      </c>
      <c r="C202" s="181" t="s">
        <v>642</v>
      </c>
      <c r="D202" s="214" t="s">
        <v>620</v>
      </c>
      <c r="E202" s="191"/>
      <c r="F202" s="192"/>
      <c r="G202" s="192"/>
      <c r="H202" s="193">
        <f t="shared" si="171"/>
        <v>0</v>
      </c>
      <c r="I202" s="194">
        <f t="shared" si="172"/>
        <v>0</v>
      </c>
      <c r="J202" s="191"/>
      <c r="K202" s="192"/>
      <c r="L202" s="192"/>
      <c r="M202" s="195">
        <f t="shared" si="173"/>
        <v>0</v>
      </c>
      <c r="N202" s="194">
        <f t="shared" si="174"/>
        <v>0</v>
      </c>
      <c r="O202" s="191"/>
      <c r="P202" s="192"/>
      <c r="Q202" s="192"/>
      <c r="R202" s="195">
        <f t="shared" si="175"/>
        <v>0</v>
      </c>
      <c r="S202" s="194">
        <f t="shared" si="176"/>
        <v>0</v>
      </c>
      <c r="T202" s="191"/>
      <c r="U202" s="192"/>
      <c r="V202" s="192"/>
      <c r="W202" s="195">
        <f t="shared" si="177"/>
        <v>0</v>
      </c>
      <c r="X202" s="194">
        <f t="shared" si="178"/>
        <v>0</v>
      </c>
      <c r="Y202" s="183">
        <f t="shared" si="179"/>
        <v>0</v>
      </c>
      <c r="Z202" s="205">
        <f>(VLOOKUP(B:B,[1]AppLists!M:O,3,FALSE))*$AB$2</f>
        <v>689.97</v>
      </c>
      <c r="AA202" s="184">
        <f t="shared" si="180"/>
        <v>0</v>
      </c>
    </row>
    <row r="203" spans="1:27" ht="28.35" customHeight="1">
      <c r="A203" s="179">
        <v>151</v>
      </c>
      <c r="B203" s="197" t="s">
        <v>643</v>
      </c>
      <c r="C203" s="181" t="s">
        <v>644</v>
      </c>
      <c r="D203" s="199" t="s">
        <v>620</v>
      </c>
      <c r="E203" s="191"/>
      <c r="F203" s="192"/>
      <c r="G203" s="192"/>
      <c r="H203" s="193">
        <f t="shared" si="171"/>
        <v>0</v>
      </c>
      <c r="I203" s="194">
        <f t="shared" si="172"/>
        <v>0</v>
      </c>
      <c r="J203" s="191"/>
      <c r="K203" s="192"/>
      <c r="L203" s="192"/>
      <c r="M203" s="195">
        <f t="shared" si="173"/>
        <v>0</v>
      </c>
      <c r="N203" s="194">
        <f t="shared" si="174"/>
        <v>0</v>
      </c>
      <c r="O203" s="191"/>
      <c r="P203" s="192"/>
      <c r="Q203" s="192"/>
      <c r="R203" s="195">
        <f t="shared" si="175"/>
        <v>0</v>
      </c>
      <c r="S203" s="194">
        <f t="shared" si="176"/>
        <v>0</v>
      </c>
      <c r="T203" s="191"/>
      <c r="U203" s="192"/>
      <c r="V203" s="192"/>
      <c r="W203" s="195">
        <f t="shared" si="177"/>
        <v>0</v>
      </c>
      <c r="X203" s="194">
        <f t="shared" si="178"/>
        <v>0</v>
      </c>
      <c r="Y203" s="183">
        <f t="shared" si="179"/>
        <v>0</v>
      </c>
      <c r="Z203" s="205">
        <f>(VLOOKUP(B:B,[1]AppLists!M:O,3,FALSE))*$AB$2</f>
        <v>781.53000000000009</v>
      </c>
      <c r="AA203" s="184">
        <f t="shared" si="180"/>
        <v>0</v>
      </c>
    </row>
    <row r="204" spans="1:27" ht="28.35" customHeight="1">
      <c r="A204" s="179">
        <v>152</v>
      </c>
      <c r="B204" s="197" t="s">
        <v>645</v>
      </c>
      <c r="C204" s="181" t="s">
        <v>646</v>
      </c>
      <c r="D204" s="214" t="s">
        <v>620</v>
      </c>
      <c r="E204" s="191"/>
      <c r="F204" s="192"/>
      <c r="G204" s="192"/>
      <c r="H204" s="193">
        <f t="shared" si="171"/>
        <v>0</v>
      </c>
      <c r="I204" s="194">
        <f t="shared" si="172"/>
        <v>0</v>
      </c>
      <c r="J204" s="191"/>
      <c r="K204" s="192"/>
      <c r="L204" s="192"/>
      <c r="M204" s="195">
        <f t="shared" si="173"/>
        <v>0</v>
      </c>
      <c r="N204" s="194">
        <f t="shared" si="174"/>
        <v>0</v>
      </c>
      <c r="O204" s="191"/>
      <c r="P204" s="192"/>
      <c r="Q204" s="192"/>
      <c r="R204" s="195">
        <f t="shared" si="175"/>
        <v>0</v>
      </c>
      <c r="S204" s="194">
        <f t="shared" si="176"/>
        <v>0</v>
      </c>
      <c r="T204" s="191"/>
      <c r="U204" s="192"/>
      <c r="V204" s="192"/>
      <c r="W204" s="195">
        <f t="shared" si="177"/>
        <v>0</v>
      </c>
      <c r="X204" s="194">
        <f t="shared" si="178"/>
        <v>0</v>
      </c>
      <c r="Y204" s="183">
        <f t="shared" si="179"/>
        <v>0</v>
      </c>
      <c r="Z204" s="205">
        <f>(VLOOKUP(B:B,[1]AppLists!M:O,3,FALSE))*$AB$2</f>
        <v>1564.15</v>
      </c>
      <c r="AA204" s="184">
        <f t="shared" si="180"/>
        <v>0</v>
      </c>
    </row>
    <row r="205" spans="1:27" ht="28.35" customHeight="1">
      <c r="A205" s="179">
        <v>153</v>
      </c>
      <c r="B205" s="197" t="s">
        <v>647</v>
      </c>
      <c r="C205" s="181" t="s">
        <v>648</v>
      </c>
      <c r="D205" s="199" t="s">
        <v>620</v>
      </c>
      <c r="E205" s="191"/>
      <c r="F205" s="192"/>
      <c r="G205" s="192"/>
      <c r="H205" s="193">
        <f t="shared" si="171"/>
        <v>0</v>
      </c>
      <c r="I205" s="194">
        <f t="shared" si="172"/>
        <v>0</v>
      </c>
      <c r="J205" s="191"/>
      <c r="K205" s="192"/>
      <c r="L205" s="192"/>
      <c r="M205" s="195">
        <f t="shared" si="173"/>
        <v>0</v>
      </c>
      <c r="N205" s="194">
        <f t="shared" si="174"/>
        <v>0</v>
      </c>
      <c r="O205" s="191"/>
      <c r="P205" s="192"/>
      <c r="Q205" s="192"/>
      <c r="R205" s="195">
        <f t="shared" si="175"/>
        <v>0</v>
      </c>
      <c r="S205" s="194">
        <f t="shared" si="176"/>
        <v>0</v>
      </c>
      <c r="T205" s="191"/>
      <c r="U205" s="192"/>
      <c r="V205" s="192"/>
      <c r="W205" s="195">
        <f t="shared" si="177"/>
        <v>0</v>
      </c>
      <c r="X205" s="194">
        <f t="shared" si="178"/>
        <v>0</v>
      </c>
      <c r="Y205" s="183">
        <f t="shared" si="179"/>
        <v>0</v>
      </c>
      <c r="Z205" s="205">
        <f>(VLOOKUP(B:B,[1]AppLists!M:O,3,FALSE))*$AB$2</f>
        <v>2092.8000000000002</v>
      </c>
      <c r="AA205" s="184">
        <f t="shared" si="180"/>
        <v>0</v>
      </c>
    </row>
    <row r="206" spans="1:27" ht="28.35" customHeight="1">
      <c r="A206" s="179">
        <v>154</v>
      </c>
      <c r="B206" s="197" t="s">
        <v>649</v>
      </c>
      <c r="C206" s="181" t="s">
        <v>650</v>
      </c>
      <c r="D206" s="214" t="s">
        <v>620</v>
      </c>
      <c r="E206" s="191"/>
      <c r="F206" s="192"/>
      <c r="G206" s="192"/>
      <c r="H206" s="193">
        <f t="shared" si="171"/>
        <v>0</v>
      </c>
      <c r="I206" s="194">
        <f t="shared" si="172"/>
        <v>0</v>
      </c>
      <c r="J206" s="191"/>
      <c r="K206" s="192"/>
      <c r="L206" s="192"/>
      <c r="M206" s="195">
        <f t="shared" si="173"/>
        <v>0</v>
      </c>
      <c r="N206" s="194">
        <f t="shared" si="174"/>
        <v>0</v>
      </c>
      <c r="O206" s="191"/>
      <c r="P206" s="192"/>
      <c r="Q206" s="192"/>
      <c r="R206" s="195">
        <f t="shared" si="175"/>
        <v>0</v>
      </c>
      <c r="S206" s="194">
        <f t="shared" si="176"/>
        <v>0</v>
      </c>
      <c r="T206" s="191"/>
      <c r="U206" s="192"/>
      <c r="V206" s="192"/>
      <c r="W206" s="195">
        <f t="shared" si="177"/>
        <v>0</v>
      </c>
      <c r="X206" s="194">
        <f t="shared" si="178"/>
        <v>0</v>
      </c>
      <c r="Y206" s="183">
        <f t="shared" si="179"/>
        <v>0</v>
      </c>
      <c r="Z206" s="205">
        <f>(VLOOKUP(B:B,[1]AppLists!M:O,3,FALSE))*$AB$2</f>
        <v>2092.8000000000002</v>
      </c>
      <c r="AA206" s="184">
        <f t="shared" si="180"/>
        <v>0</v>
      </c>
    </row>
    <row r="207" spans="1:27" ht="28.35" customHeight="1">
      <c r="A207" s="179">
        <v>155</v>
      </c>
      <c r="B207" s="197" t="s">
        <v>651</v>
      </c>
      <c r="C207" s="181" t="s">
        <v>652</v>
      </c>
      <c r="D207" s="199" t="s">
        <v>620</v>
      </c>
      <c r="E207" s="191"/>
      <c r="F207" s="192"/>
      <c r="G207" s="192"/>
      <c r="H207" s="193">
        <f t="shared" si="171"/>
        <v>0</v>
      </c>
      <c r="I207" s="194">
        <f t="shared" si="172"/>
        <v>0</v>
      </c>
      <c r="J207" s="191"/>
      <c r="K207" s="192"/>
      <c r="L207" s="192"/>
      <c r="M207" s="195">
        <f t="shared" si="173"/>
        <v>0</v>
      </c>
      <c r="N207" s="194">
        <f t="shared" si="174"/>
        <v>0</v>
      </c>
      <c r="O207" s="191"/>
      <c r="P207" s="192"/>
      <c r="Q207" s="192"/>
      <c r="R207" s="195">
        <f t="shared" si="175"/>
        <v>0</v>
      </c>
      <c r="S207" s="194">
        <f t="shared" si="176"/>
        <v>0</v>
      </c>
      <c r="T207" s="191"/>
      <c r="U207" s="192"/>
      <c r="V207" s="192"/>
      <c r="W207" s="195">
        <f t="shared" si="177"/>
        <v>0</v>
      </c>
      <c r="X207" s="194">
        <f t="shared" si="178"/>
        <v>0</v>
      </c>
      <c r="Y207" s="183">
        <f t="shared" si="179"/>
        <v>0</v>
      </c>
      <c r="Z207" s="205">
        <f>(VLOOKUP(B:B,[1]AppLists!M:O,3,FALSE))*$AB$2</f>
        <v>2092.8000000000002</v>
      </c>
      <c r="AA207" s="184">
        <f t="shared" si="180"/>
        <v>0</v>
      </c>
    </row>
    <row r="208" spans="1:27" ht="28.35" customHeight="1">
      <c r="A208" s="179">
        <v>156</v>
      </c>
      <c r="B208" s="197" t="s">
        <v>653</v>
      </c>
      <c r="C208" s="181" t="s">
        <v>654</v>
      </c>
      <c r="D208" s="214" t="s">
        <v>620</v>
      </c>
      <c r="E208" s="191"/>
      <c r="F208" s="192"/>
      <c r="G208" s="192"/>
      <c r="H208" s="193">
        <f t="shared" si="171"/>
        <v>0</v>
      </c>
      <c r="I208" s="194">
        <f t="shared" si="172"/>
        <v>0</v>
      </c>
      <c r="J208" s="191"/>
      <c r="K208" s="192"/>
      <c r="L208" s="192"/>
      <c r="M208" s="195">
        <f t="shared" si="173"/>
        <v>0</v>
      </c>
      <c r="N208" s="194">
        <f t="shared" si="174"/>
        <v>0</v>
      </c>
      <c r="O208" s="191"/>
      <c r="P208" s="192"/>
      <c r="Q208" s="192"/>
      <c r="R208" s="195">
        <f t="shared" si="175"/>
        <v>0</v>
      </c>
      <c r="S208" s="194">
        <f t="shared" si="176"/>
        <v>0</v>
      </c>
      <c r="T208" s="191"/>
      <c r="U208" s="192"/>
      <c r="V208" s="192"/>
      <c r="W208" s="195">
        <f t="shared" si="177"/>
        <v>0</v>
      </c>
      <c r="X208" s="194">
        <f t="shared" si="178"/>
        <v>0</v>
      </c>
      <c r="Y208" s="183">
        <f t="shared" si="179"/>
        <v>0</v>
      </c>
      <c r="Z208" s="205">
        <f>(VLOOKUP(B:B,[1]AppLists!M:O,3,FALSE))*$AB$2</f>
        <v>2092.8000000000002</v>
      </c>
      <c r="AA208" s="184">
        <f t="shared" si="180"/>
        <v>0</v>
      </c>
    </row>
    <row r="209" spans="1:27" ht="28.35" customHeight="1">
      <c r="A209" s="179">
        <v>157</v>
      </c>
      <c r="B209" s="197" t="s">
        <v>655</v>
      </c>
      <c r="C209" s="181" t="s">
        <v>656</v>
      </c>
      <c r="D209" s="199" t="s">
        <v>620</v>
      </c>
      <c r="E209" s="191"/>
      <c r="F209" s="192"/>
      <c r="G209" s="192"/>
      <c r="H209" s="193">
        <f t="shared" si="171"/>
        <v>0</v>
      </c>
      <c r="I209" s="194">
        <f t="shared" si="172"/>
        <v>0</v>
      </c>
      <c r="J209" s="191"/>
      <c r="K209" s="192"/>
      <c r="L209" s="192"/>
      <c r="M209" s="195">
        <f t="shared" si="173"/>
        <v>0</v>
      </c>
      <c r="N209" s="194">
        <f t="shared" si="174"/>
        <v>0</v>
      </c>
      <c r="O209" s="191"/>
      <c r="P209" s="192"/>
      <c r="Q209" s="192"/>
      <c r="R209" s="195">
        <f t="shared" si="175"/>
        <v>0</v>
      </c>
      <c r="S209" s="194">
        <f t="shared" si="176"/>
        <v>0</v>
      </c>
      <c r="T209" s="191"/>
      <c r="U209" s="192"/>
      <c r="V209" s="192"/>
      <c r="W209" s="195">
        <f t="shared" si="177"/>
        <v>0</v>
      </c>
      <c r="X209" s="194">
        <f t="shared" si="178"/>
        <v>0</v>
      </c>
      <c r="Y209" s="183">
        <f t="shared" si="179"/>
        <v>0</v>
      </c>
      <c r="Z209" s="205">
        <f>(VLOOKUP(B:B,[1]AppLists!M:O,3,FALSE))*$AB$2</f>
        <v>2092.8000000000002</v>
      </c>
      <c r="AA209" s="184">
        <f t="shared" si="180"/>
        <v>0</v>
      </c>
    </row>
    <row r="210" spans="1:27" ht="28.35" customHeight="1">
      <c r="A210" s="179">
        <v>158</v>
      </c>
      <c r="B210" s="197" t="s">
        <v>657</v>
      </c>
      <c r="C210" s="181" t="s">
        <v>658</v>
      </c>
      <c r="D210" s="199" t="s">
        <v>620</v>
      </c>
      <c r="E210" s="191"/>
      <c r="F210" s="192"/>
      <c r="G210" s="192"/>
      <c r="H210" s="193">
        <f t="shared" si="171"/>
        <v>0</v>
      </c>
      <c r="I210" s="194">
        <f t="shared" si="172"/>
        <v>0</v>
      </c>
      <c r="J210" s="191"/>
      <c r="K210" s="192"/>
      <c r="L210" s="192"/>
      <c r="M210" s="195">
        <f t="shared" si="173"/>
        <v>0</v>
      </c>
      <c r="N210" s="194">
        <f t="shared" si="174"/>
        <v>0</v>
      </c>
      <c r="O210" s="191"/>
      <c r="P210" s="192"/>
      <c r="Q210" s="192"/>
      <c r="R210" s="195">
        <f t="shared" si="175"/>
        <v>0</v>
      </c>
      <c r="S210" s="194">
        <f t="shared" si="176"/>
        <v>0</v>
      </c>
      <c r="T210" s="191"/>
      <c r="U210" s="192"/>
      <c r="V210" s="192"/>
      <c r="W210" s="195">
        <f t="shared" si="177"/>
        <v>0</v>
      </c>
      <c r="X210" s="194">
        <f t="shared" si="178"/>
        <v>0</v>
      </c>
      <c r="Y210" s="183">
        <f t="shared" si="179"/>
        <v>0</v>
      </c>
      <c r="Z210" s="205">
        <f>(VLOOKUP(B:B,[1]AppLists!M:O,3,FALSE))*$AB$2</f>
        <v>3161.0000000000005</v>
      </c>
      <c r="AA210" s="184">
        <f t="shared" si="180"/>
        <v>0</v>
      </c>
    </row>
    <row r="211" spans="1:27" ht="28.35" customHeight="1">
      <c r="A211" s="179">
        <v>159</v>
      </c>
      <c r="B211" s="197" t="s">
        <v>659</v>
      </c>
      <c r="C211" s="181" t="s">
        <v>660</v>
      </c>
      <c r="D211" s="199" t="s">
        <v>620</v>
      </c>
      <c r="E211" s="191"/>
      <c r="F211" s="192"/>
      <c r="G211" s="192"/>
      <c r="H211" s="193">
        <f t="shared" si="171"/>
        <v>0</v>
      </c>
      <c r="I211" s="194">
        <f t="shared" si="172"/>
        <v>0</v>
      </c>
      <c r="J211" s="191"/>
      <c r="K211" s="192"/>
      <c r="L211" s="192"/>
      <c r="M211" s="195">
        <f t="shared" si="173"/>
        <v>0</v>
      </c>
      <c r="N211" s="194">
        <f t="shared" si="174"/>
        <v>0</v>
      </c>
      <c r="O211" s="191"/>
      <c r="P211" s="192"/>
      <c r="Q211" s="192"/>
      <c r="R211" s="195">
        <f t="shared" si="175"/>
        <v>0</v>
      </c>
      <c r="S211" s="194">
        <f t="shared" si="176"/>
        <v>0</v>
      </c>
      <c r="T211" s="191"/>
      <c r="U211" s="192"/>
      <c r="V211" s="192"/>
      <c r="W211" s="195">
        <f t="shared" si="177"/>
        <v>0</v>
      </c>
      <c r="X211" s="194">
        <f t="shared" si="178"/>
        <v>0</v>
      </c>
      <c r="Y211" s="183">
        <f t="shared" si="179"/>
        <v>0</v>
      </c>
      <c r="Z211" s="205">
        <f>(VLOOKUP(B:B,[1]AppLists!M:O,3,FALSE))*$AB$2</f>
        <v>681.25</v>
      </c>
      <c r="AA211" s="184">
        <f t="shared" si="180"/>
        <v>0</v>
      </c>
    </row>
    <row r="212" spans="1:27" ht="28.35" customHeight="1">
      <c r="A212" s="179">
        <v>160</v>
      </c>
      <c r="B212" s="197" t="s">
        <v>661</v>
      </c>
      <c r="C212" s="181" t="s">
        <v>662</v>
      </c>
      <c r="D212" s="199" t="s">
        <v>620</v>
      </c>
      <c r="E212" s="191"/>
      <c r="F212" s="192"/>
      <c r="G212" s="192"/>
      <c r="H212" s="193">
        <f t="shared" si="171"/>
        <v>0</v>
      </c>
      <c r="I212" s="194">
        <f t="shared" si="172"/>
        <v>0</v>
      </c>
      <c r="J212" s="191"/>
      <c r="K212" s="192"/>
      <c r="L212" s="192"/>
      <c r="M212" s="195">
        <f t="shared" si="173"/>
        <v>0</v>
      </c>
      <c r="N212" s="194">
        <f t="shared" si="174"/>
        <v>0</v>
      </c>
      <c r="O212" s="191"/>
      <c r="P212" s="192"/>
      <c r="Q212" s="192"/>
      <c r="R212" s="195">
        <f t="shared" si="175"/>
        <v>0</v>
      </c>
      <c r="S212" s="194">
        <f t="shared" si="176"/>
        <v>0</v>
      </c>
      <c r="T212" s="191"/>
      <c r="U212" s="192"/>
      <c r="V212" s="192"/>
      <c r="W212" s="195">
        <f t="shared" si="177"/>
        <v>0</v>
      </c>
      <c r="X212" s="194">
        <f t="shared" si="178"/>
        <v>0</v>
      </c>
      <c r="Y212" s="183">
        <f t="shared" si="179"/>
        <v>0</v>
      </c>
      <c r="Z212" s="205">
        <f>(VLOOKUP(B:B,[1]AppLists!M:O,3,FALSE))*$AB$2</f>
        <v>803.33</v>
      </c>
      <c r="AA212" s="184">
        <f t="shared" si="180"/>
        <v>0</v>
      </c>
    </row>
    <row r="213" spans="1:27" ht="28.35" customHeight="1">
      <c r="A213" s="179">
        <v>161</v>
      </c>
      <c r="B213" s="197" t="s">
        <v>663</v>
      </c>
      <c r="C213" s="181" t="s">
        <v>664</v>
      </c>
      <c r="D213" s="199" t="s">
        <v>620</v>
      </c>
      <c r="E213" s="191"/>
      <c r="F213" s="192"/>
      <c r="G213" s="192"/>
      <c r="H213" s="193">
        <f t="shared" si="171"/>
        <v>0</v>
      </c>
      <c r="I213" s="194">
        <f t="shared" si="172"/>
        <v>0</v>
      </c>
      <c r="J213" s="191"/>
      <c r="K213" s="192"/>
      <c r="L213" s="192"/>
      <c r="M213" s="195">
        <f t="shared" si="173"/>
        <v>0</v>
      </c>
      <c r="N213" s="194">
        <f t="shared" si="174"/>
        <v>0</v>
      </c>
      <c r="O213" s="191"/>
      <c r="P213" s="192"/>
      <c r="Q213" s="192"/>
      <c r="R213" s="195">
        <f t="shared" si="175"/>
        <v>0</v>
      </c>
      <c r="S213" s="194">
        <f t="shared" si="176"/>
        <v>0</v>
      </c>
      <c r="T213" s="191"/>
      <c r="U213" s="192"/>
      <c r="V213" s="192"/>
      <c r="W213" s="195">
        <f t="shared" si="177"/>
        <v>0</v>
      </c>
      <c r="X213" s="194">
        <f t="shared" si="178"/>
        <v>0</v>
      </c>
      <c r="Y213" s="183">
        <f t="shared" si="179"/>
        <v>0</v>
      </c>
      <c r="Z213" s="205">
        <f>(VLOOKUP(B:B,[1]AppLists!M:O,3,FALSE))*$AB$2</f>
        <v>355.34000000000003</v>
      </c>
      <c r="AA213" s="184">
        <f t="shared" si="180"/>
        <v>0</v>
      </c>
    </row>
    <row r="214" spans="1:27" ht="28.35" customHeight="1">
      <c r="A214" s="179">
        <v>162</v>
      </c>
      <c r="B214" s="197" t="s">
        <v>665</v>
      </c>
      <c r="C214" s="181" t="s">
        <v>666</v>
      </c>
      <c r="D214" s="199" t="s">
        <v>620</v>
      </c>
      <c r="E214" s="191"/>
      <c r="F214" s="192"/>
      <c r="G214" s="192"/>
      <c r="H214" s="193">
        <f t="shared" si="171"/>
        <v>0</v>
      </c>
      <c r="I214" s="194">
        <f t="shared" si="172"/>
        <v>0</v>
      </c>
      <c r="J214" s="191"/>
      <c r="K214" s="192"/>
      <c r="L214" s="192"/>
      <c r="M214" s="195">
        <f t="shared" si="173"/>
        <v>0</v>
      </c>
      <c r="N214" s="194">
        <f t="shared" si="174"/>
        <v>0</v>
      </c>
      <c r="O214" s="191"/>
      <c r="P214" s="192"/>
      <c r="Q214" s="192"/>
      <c r="R214" s="195">
        <f t="shared" si="175"/>
        <v>0</v>
      </c>
      <c r="S214" s="194">
        <f t="shared" si="176"/>
        <v>0</v>
      </c>
      <c r="T214" s="191"/>
      <c r="U214" s="192"/>
      <c r="V214" s="192"/>
      <c r="W214" s="195">
        <f t="shared" si="177"/>
        <v>0</v>
      </c>
      <c r="X214" s="194">
        <f t="shared" si="178"/>
        <v>0</v>
      </c>
      <c r="Y214" s="183">
        <f t="shared" si="179"/>
        <v>0</v>
      </c>
      <c r="Z214" s="205">
        <f>(VLOOKUP(B:B,[1]AppLists!M:O,3,FALSE))*$AB$2</f>
        <v>355.34000000000003</v>
      </c>
      <c r="AA214" s="184">
        <f t="shared" si="180"/>
        <v>0</v>
      </c>
    </row>
    <row r="215" spans="1:27" ht="28.35" customHeight="1">
      <c r="A215" s="179">
        <v>163</v>
      </c>
      <c r="B215" s="197" t="s">
        <v>667</v>
      </c>
      <c r="C215" s="181" t="s">
        <v>668</v>
      </c>
      <c r="D215" s="199" t="s">
        <v>620</v>
      </c>
      <c r="E215" s="191"/>
      <c r="F215" s="192"/>
      <c r="G215" s="192"/>
      <c r="H215" s="193">
        <f t="shared" si="171"/>
        <v>0</v>
      </c>
      <c r="I215" s="194">
        <f t="shared" si="172"/>
        <v>0</v>
      </c>
      <c r="J215" s="191"/>
      <c r="K215" s="192"/>
      <c r="L215" s="192"/>
      <c r="M215" s="195">
        <f t="shared" si="173"/>
        <v>0</v>
      </c>
      <c r="N215" s="194">
        <f t="shared" si="174"/>
        <v>0</v>
      </c>
      <c r="O215" s="191"/>
      <c r="P215" s="192"/>
      <c r="Q215" s="192"/>
      <c r="R215" s="195">
        <f t="shared" si="175"/>
        <v>0</v>
      </c>
      <c r="S215" s="194">
        <f t="shared" si="176"/>
        <v>0</v>
      </c>
      <c r="T215" s="191"/>
      <c r="U215" s="192"/>
      <c r="V215" s="192"/>
      <c r="W215" s="195">
        <f t="shared" si="177"/>
        <v>0</v>
      </c>
      <c r="X215" s="194">
        <f t="shared" si="178"/>
        <v>0</v>
      </c>
      <c r="Y215" s="183">
        <f t="shared" si="179"/>
        <v>0</v>
      </c>
      <c r="Z215" s="205">
        <f>(VLOOKUP(B:B,[1]AppLists!M:O,3,FALSE))*$AB$2</f>
        <v>659.45</v>
      </c>
      <c r="AA215" s="184">
        <f t="shared" si="180"/>
        <v>0</v>
      </c>
    </row>
    <row r="216" spans="1:27" ht="28.35" customHeight="1">
      <c r="A216" s="179">
        <v>164</v>
      </c>
      <c r="B216" s="197" t="s">
        <v>669</v>
      </c>
      <c r="C216" s="181" t="s">
        <v>670</v>
      </c>
      <c r="D216" s="199" t="s">
        <v>620</v>
      </c>
      <c r="E216" s="191"/>
      <c r="F216" s="192"/>
      <c r="G216" s="192"/>
      <c r="H216" s="193">
        <f t="shared" si="171"/>
        <v>0</v>
      </c>
      <c r="I216" s="194">
        <f t="shared" si="172"/>
        <v>0</v>
      </c>
      <c r="J216" s="191"/>
      <c r="K216" s="192"/>
      <c r="L216" s="192"/>
      <c r="M216" s="195">
        <f t="shared" si="173"/>
        <v>0</v>
      </c>
      <c r="N216" s="194">
        <f t="shared" si="174"/>
        <v>0</v>
      </c>
      <c r="O216" s="191"/>
      <c r="P216" s="192"/>
      <c r="Q216" s="192"/>
      <c r="R216" s="195">
        <f t="shared" si="175"/>
        <v>0</v>
      </c>
      <c r="S216" s="194">
        <f t="shared" si="176"/>
        <v>0</v>
      </c>
      <c r="T216" s="191"/>
      <c r="U216" s="192"/>
      <c r="V216" s="192"/>
      <c r="W216" s="195">
        <f t="shared" si="177"/>
        <v>0</v>
      </c>
      <c r="X216" s="194">
        <f t="shared" si="178"/>
        <v>0</v>
      </c>
      <c r="Y216" s="183">
        <f t="shared" si="179"/>
        <v>0</v>
      </c>
      <c r="Z216" s="205">
        <f>(VLOOKUP(B:B,[1]AppLists!M:O,3,FALSE))*$AB$2</f>
        <v>659.45</v>
      </c>
      <c r="AA216" s="184">
        <f t="shared" si="180"/>
        <v>0</v>
      </c>
    </row>
    <row r="217" spans="1:27" ht="28.35" customHeight="1">
      <c r="A217" s="179">
        <v>165</v>
      </c>
      <c r="B217" s="197" t="s">
        <v>671</v>
      </c>
      <c r="C217" s="181" t="s">
        <v>672</v>
      </c>
      <c r="D217" s="199" t="s">
        <v>620</v>
      </c>
      <c r="E217" s="191"/>
      <c r="F217" s="192"/>
      <c r="G217" s="192"/>
      <c r="H217" s="193">
        <f t="shared" si="171"/>
        <v>0</v>
      </c>
      <c r="I217" s="194">
        <f t="shared" si="172"/>
        <v>0</v>
      </c>
      <c r="J217" s="191"/>
      <c r="K217" s="192"/>
      <c r="L217" s="192"/>
      <c r="M217" s="195">
        <f t="shared" si="173"/>
        <v>0</v>
      </c>
      <c r="N217" s="194">
        <f t="shared" si="174"/>
        <v>0</v>
      </c>
      <c r="O217" s="191"/>
      <c r="P217" s="192"/>
      <c r="Q217" s="192"/>
      <c r="R217" s="195">
        <f t="shared" si="175"/>
        <v>0</v>
      </c>
      <c r="S217" s="194">
        <f t="shared" si="176"/>
        <v>0</v>
      </c>
      <c r="T217" s="191"/>
      <c r="U217" s="192"/>
      <c r="V217" s="192"/>
      <c r="W217" s="195">
        <f t="shared" si="177"/>
        <v>0</v>
      </c>
      <c r="X217" s="194">
        <f t="shared" si="178"/>
        <v>0</v>
      </c>
      <c r="Y217" s="183">
        <f t="shared" si="179"/>
        <v>0</v>
      </c>
      <c r="Z217" s="205">
        <f>(VLOOKUP(B:B,[1]AppLists!M:O,3,FALSE))*$AB$2</f>
        <v>659.45</v>
      </c>
      <c r="AA217" s="184">
        <f t="shared" si="180"/>
        <v>0</v>
      </c>
    </row>
    <row r="218" spans="1:27" ht="28.35" customHeight="1">
      <c r="A218" s="179">
        <v>166</v>
      </c>
      <c r="B218" s="197" t="s">
        <v>673</v>
      </c>
      <c r="C218" s="181" t="s">
        <v>674</v>
      </c>
      <c r="D218" s="199" t="s">
        <v>620</v>
      </c>
      <c r="E218" s="191"/>
      <c r="F218" s="192"/>
      <c r="G218" s="192"/>
      <c r="H218" s="193">
        <f t="shared" si="171"/>
        <v>0</v>
      </c>
      <c r="I218" s="194">
        <f t="shared" si="172"/>
        <v>0</v>
      </c>
      <c r="J218" s="191"/>
      <c r="K218" s="192"/>
      <c r="L218" s="192"/>
      <c r="M218" s="195">
        <f t="shared" si="173"/>
        <v>0</v>
      </c>
      <c r="N218" s="194">
        <f t="shared" si="174"/>
        <v>0</v>
      </c>
      <c r="O218" s="191"/>
      <c r="P218" s="192"/>
      <c r="Q218" s="192"/>
      <c r="R218" s="195">
        <f t="shared" si="175"/>
        <v>0</v>
      </c>
      <c r="S218" s="194">
        <f t="shared" si="176"/>
        <v>0</v>
      </c>
      <c r="T218" s="191"/>
      <c r="U218" s="192"/>
      <c r="V218" s="192"/>
      <c r="W218" s="195">
        <f t="shared" si="177"/>
        <v>0</v>
      </c>
      <c r="X218" s="194">
        <f t="shared" si="178"/>
        <v>0</v>
      </c>
      <c r="Y218" s="183">
        <f t="shared" si="179"/>
        <v>0</v>
      </c>
      <c r="Z218" s="205">
        <f>(VLOOKUP(B:B,[1]AppLists!M:O,3,FALSE))*$AB$2</f>
        <v>1302.5500000000002</v>
      </c>
      <c r="AA218" s="184">
        <f t="shared" si="180"/>
        <v>0</v>
      </c>
    </row>
    <row r="219" spans="1:27" ht="28.35" customHeight="1">
      <c r="A219" s="179">
        <v>167</v>
      </c>
      <c r="B219" s="197" t="s">
        <v>675</v>
      </c>
      <c r="C219" s="181" t="s">
        <v>676</v>
      </c>
      <c r="D219" s="199" t="s">
        <v>620</v>
      </c>
      <c r="E219" s="191"/>
      <c r="F219" s="192"/>
      <c r="G219" s="192"/>
      <c r="H219" s="193">
        <f t="shared" si="171"/>
        <v>0</v>
      </c>
      <c r="I219" s="194">
        <f t="shared" si="172"/>
        <v>0</v>
      </c>
      <c r="J219" s="191"/>
      <c r="K219" s="192"/>
      <c r="L219" s="192"/>
      <c r="M219" s="195">
        <f t="shared" si="173"/>
        <v>0</v>
      </c>
      <c r="N219" s="194">
        <f t="shared" si="174"/>
        <v>0</v>
      </c>
      <c r="O219" s="191"/>
      <c r="P219" s="192"/>
      <c r="Q219" s="192"/>
      <c r="R219" s="195">
        <f t="shared" si="175"/>
        <v>0</v>
      </c>
      <c r="S219" s="194">
        <f t="shared" si="176"/>
        <v>0</v>
      </c>
      <c r="T219" s="191"/>
      <c r="U219" s="192"/>
      <c r="V219" s="192"/>
      <c r="W219" s="195">
        <f t="shared" si="177"/>
        <v>0</v>
      </c>
      <c r="X219" s="194">
        <f t="shared" si="178"/>
        <v>0</v>
      </c>
      <c r="Y219" s="183">
        <f t="shared" si="179"/>
        <v>0</v>
      </c>
      <c r="Z219" s="205">
        <f>(VLOOKUP(B:B,[1]AppLists!M:O,3,FALSE))*$AB$2</f>
        <v>675.80000000000007</v>
      </c>
      <c r="AA219" s="184">
        <f t="shared" si="180"/>
        <v>0</v>
      </c>
    </row>
    <row r="220" spans="1:27" ht="28.35" customHeight="1">
      <c r="A220" s="179">
        <v>168</v>
      </c>
      <c r="B220" s="197" t="s">
        <v>677</v>
      </c>
      <c r="C220" s="181" t="s">
        <v>678</v>
      </c>
      <c r="D220" s="199" t="s">
        <v>620</v>
      </c>
      <c r="E220" s="191"/>
      <c r="F220" s="192"/>
      <c r="G220" s="192"/>
      <c r="H220" s="193">
        <f t="shared" si="171"/>
        <v>0</v>
      </c>
      <c r="I220" s="194">
        <f t="shared" si="172"/>
        <v>0</v>
      </c>
      <c r="J220" s="191"/>
      <c r="K220" s="192"/>
      <c r="L220" s="192"/>
      <c r="M220" s="195">
        <f t="shared" si="173"/>
        <v>0</v>
      </c>
      <c r="N220" s="194">
        <f t="shared" si="174"/>
        <v>0</v>
      </c>
      <c r="O220" s="191"/>
      <c r="P220" s="192"/>
      <c r="Q220" s="192"/>
      <c r="R220" s="195">
        <f t="shared" si="175"/>
        <v>0</v>
      </c>
      <c r="S220" s="194">
        <f t="shared" si="176"/>
        <v>0</v>
      </c>
      <c r="T220" s="191"/>
      <c r="U220" s="192"/>
      <c r="V220" s="192"/>
      <c r="W220" s="195">
        <f t="shared" si="177"/>
        <v>0</v>
      </c>
      <c r="X220" s="194">
        <f t="shared" si="178"/>
        <v>0</v>
      </c>
      <c r="Y220" s="183">
        <f t="shared" si="179"/>
        <v>0</v>
      </c>
      <c r="Z220" s="205">
        <f>(VLOOKUP(B:B,[1]AppLists!M:O,3,FALSE))*$AB$2</f>
        <v>866.55000000000007</v>
      </c>
      <c r="AA220" s="184">
        <f t="shared" si="180"/>
        <v>0</v>
      </c>
    </row>
    <row r="221" spans="1:27" ht="28.35" customHeight="1">
      <c r="A221" s="179">
        <v>169</v>
      </c>
      <c r="B221" s="197" t="s">
        <v>679</v>
      </c>
      <c r="C221" s="181" t="s">
        <v>680</v>
      </c>
      <c r="D221" s="199" t="s">
        <v>620</v>
      </c>
      <c r="E221" s="191"/>
      <c r="F221" s="192"/>
      <c r="G221" s="192"/>
      <c r="H221" s="193">
        <f t="shared" si="171"/>
        <v>0</v>
      </c>
      <c r="I221" s="194">
        <f t="shared" si="172"/>
        <v>0</v>
      </c>
      <c r="J221" s="191"/>
      <c r="K221" s="192"/>
      <c r="L221" s="192"/>
      <c r="M221" s="195">
        <f t="shared" si="173"/>
        <v>0</v>
      </c>
      <c r="N221" s="194">
        <f t="shared" si="174"/>
        <v>0</v>
      </c>
      <c r="O221" s="191"/>
      <c r="P221" s="192"/>
      <c r="Q221" s="192"/>
      <c r="R221" s="195">
        <f t="shared" si="175"/>
        <v>0</v>
      </c>
      <c r="S221" s="194">
        <f t="shared" si="176"/>
        <v>0</v>
      </c>
      <c r="T221" s="191"/>
      <c r="U221" s="192"/>
      <c r="V221" s="192"/>
      <c r="W221" s="195">
        <f t="shared" si="177"/>
        <v>0</v>
      </c>
      <c r="X221" s="194">
        <f t="shared" si="178"/>
        <v>0</v>
      </c>
      <c r="Y221" s="183">
        <f t="shared" si="179"/>
        <v>0</v>
      </c>
      <c r="Z221" s="205">
        <f>(VLOOKUP(B:B,[1]AppLists!M:O,3,FALSE))*$AB$2</f>
        <v>1962.0000000000002</v>
      </c>
      <c r="AA221" s="184">
        <f t="shared" si="180"/>
        <v>0</v>
      </c>
    </row>
    <row r="222" spans="1:27" ht="28.35" customHeight="1">
      <c r="A222" s="179">
        <v>170</v>
      </c>
      <c r="B222" s="197" t="s">
        <v>681</v>
      </c>
      <c r="C222" s="181" t="s">
        <v>682</v>
      </c>
      <c r="D222" s="199" t="s">
        <v>620</v>
      </c>
      <c r="E222" s="191"/>
      <c r="F222" s="192"/>
      <c r="G222" s="192"/>
      <c r="H222" s="193">
        <f t="shared" si="171"/>
        <v>0</v>
      </c>
      <c r="I222" s="194">
        <f t="shared" si="172"/>
        <v>0</v>
      </c>
      <c r="J222" s="191"/>
      <c r="K222" s="192"/>
      <c r="L222" s="192"/>
      <c r="M222" s="195">
        <f t="shared" si="173"/>
        <v>0</v>
      </c>
      <c r="N222" s="194">
        <f t="shared" si="174"/>
        <v>0</v>
      </c>
      <c r="O222" s="191"/>
      <c r="P222" s="192"/>
      <c r="Q222" s="192"/>
      <c r="R222" s="195">
        <f t="shared" si="175"/>
        <v>0</v>
      </c>
      <c r="S222" s="194">
        <f t="shared" si="176"/>
        <v>0</v>
      </c>
      <c r="T222" s="191"/>
      <c r="U222" s="192"/>
      <c r="V222" s="192"/>
      <c r="W222" s="195">
        <f t="shared" si="177"/>
        <v>0</v>
      </c>
      <c r="X222" s="194">
        <f t="shared" si="178"/>
        <v>0</v>
      </c>
      <c r="Y222" s="183">
        <f t="shared" si="179"/>
        <v>0</v>
      </c>
      <c r="Z222" s="205">
        <f>(VLOOKUP(B:B,[1]AppLists!M:O,3,FALSE))*$AB$2</f>
        <v>1362.5</v>
      </c>
      <c r="AA222" s="184">
        <f t="shared" si="180"/>
        <v>0</v>
      </c>
    </row>
    <row r="223" spans="1:27" ht="28.35" customHeight="1">
      <c r="A223" s="232">
        <v>171</v>
      </c>
      <c r="B223" s="233" t="s">
        <v>683</v>
      </c>
      <c r="C223" s="234" t="s">
        <v>684</v>
      </c>
      <c r="D223" s="235" t="s">
        <v>620</v>
      </c>
      <c r="E223" s="191"/>
      <c r="F223" s="192"/>
      <c r="G223" s="192"/>
      <c r="H223" s="193">
        <f t="shared" si="171"/>
        <v>0</v>
      </c>
      <c r="I223" s="194">
        <f t="shared" si="172"/>
        <v>0</v>
      </c>
      <c r="J223" s="191"/>
      <c r="K223" s="192"/>
      <c r="L223" s="192"/>
      <c r="M223" s="195">
        <f t="shared" si="173"/>
        <v>0</v>
      </c>
      <c r="N223" s="194">
        <f t="shared" si="174"/>
        <v>0</v>
      </c>
      <c r="O223" s="191"/>
      <c r="P223" s="192"/>
      <c r="Q223" s="192"/>
      <c r="R223" s="195">
        <f t="shared" si="175"/>
        <v>0</v>
      </c>
      <c r="S223" s="194">
        <f t="shared" si="176"/>
        <v>0</v>
      </c>
      <c r="T223" s="191"/>
      <c r="U223" s="192"/>
      <c r="V223" s="192"/>
      <c r="W223" s="195">
        <f t="shared" si="177"/>
        <v>0</v>
      </c>
      <c r="X223" s="194">
        <f t="shared" si="178"/>
        <v>0</v>
      </c>
      <c r="Y223" s="236">
        <f t="shared" si="179"/>
        <v>0</v>
      </c>
      <c r="Z223" s="205">
        <f>(VLOOKUP(B:B,[1]AppLists!M:O,3,FALSE))*$AB$2</f>
        <v>1362.5</v>
      </c>
      <c r="AA223" s="237">
        <f t="shared" si="180"/>
        <v>0</v>
      </c>
    </row>
    <row r="224" spans="1:27" ht="28.35" customHeight="1">
      <c r="A224" s="232">
        <v>172</v>
      </c>
      <c r="B224" s="233" t="s">
        <v>685</v>
      </c>
      <c r="C224" s="234" t="s">
        <v>686</v>
      </c>
      <c r="D224" s="235" t="s">
        <v>620</v>
      </c>
      <c r="E224" s="191"/>
      <c r="F224" s="192"/>
      <c r="G224" s="192"/>
      <c r="H224" s="193">
        <f t="shared" si="171"/>
        <v>0</v>
      </c>
      <c r="I224" s="194">
        <f t="shared" si="172"/>
        <v>0</v>
      </c>
      <c r="J224" s="191"/>
      <c r="K224" s="192"/>
      <c r="L224" s="192"/>
      <c r="M224" s="195">
        <f t="shared" si="173"/>
        <v>0</v>
      </c>
      <c r="N224" s="194">
        <f t="shared" si="174"/>
        <v>0</v>
      </c>
      <c r="O224" s="191"/>
      <c r="P224" s="192"/>
      <c r="Q224" s="192"/>
      <c r="R224" s="195">
        <f t="shared" si="175"/>
        <v>0</v>
      </c>
      <c r="S224" s="194">
        <f t="shared" si="176"/>
        <v>0</v>
      </c>
      <c r="T224" s="191"/>
      <c r="U224" s="192"/>
      <c r="V224" s="192"/>
      <c r="W224" s="195">
        <f t="shared" si="177"/>
        <v>0</v>
      </c>
      <c r="X224" s="194">
        <f t="shared" si="178"/>
        <v>0</v>
      </c>
      <c r="Y224" s="236">
        <f t="shared" si="179"/>
        <v>0</v>
      </c>
      <c r="Z224" s="205">
        <f>(VLOOKUP(B:B,[1]AppLists!M:O,3,FALSE))*$AB$2</f>
        <v>1362.5</v>
      </c>
      <c r="AA224" s="237">
        <f t="shared" si="180"/>
        <v>0</v>
      </c>
    </row>
    <row r="225" spans="1:27" ht="28.35" customHeight="1">
      <c r="A225" s="232">
        <v>173</v>
      </c>
      <c r="B225" s="233" t="s">
        <v>687</v>
      </c>
      <c r="C225" s="234" t="s">
        <v>688</v>
      </c>
      <c r="D225" s="235" t="s">
        <v>620</v>
      </c>
      <c r="E225" s="191"/>
      <c r="F225" s="192"/>
      <c r="G225" s="192"/>
      <c r="H225" s="193">
        <f t="shared" si="171"/>
        <v>0</v>
      </c>
      <c r="I225" s="194">
        <f t="shared" si="172"/>
        <v>0</v>
      </c>
      <c r="J225" s="191"/>
      <c r="K225" s="192"/>
      <c r="L225" s="192"/>
      <c r="M225" s="195">
        <f t="shared" si="173"/>
        <v>0</v>
      </c>
      <c r="N225" s="194">
        <f t="shared" si="174"/>
        <v>0</v>
      </c>
      <c r="O225" s="191"/>
      <c r="P225" s="192"/>
      <c r="Q225" s="192"/>
      <c r="R225" s="195">
        <f t="shared" si="175"/>
        <v>0</v>
      </c>
      <c r="S225" s="194">
        <f t="shared" si="176"/>
        <v>0</v>
      </c>
      <c r="T225" s="191"/>
      <c r="U225" s="192"/>
      <c r="V225" s="192"/>
      <c r="W225" s="195">
        <f t="shared" si="177"/>
        <v>0</v>
      </c>
      <c r="X225" s="194">
        <f t="shared" si="178"/>
        <v>0</v>
      </c>
      <c r="Y225" s="236">
        <f t="shared" si="179"/>
        <v>0</v>
      </c>
      <c r="Z225" s="205">
        <f>(VLOOKUP(B:B,[1]AppLists!M:O,3,FALSE))*$AB$2</f>
        <v>1629.5500000000002</v>
      </c>
      <c r="AA225" s="237">
        <f t="shared" si="180"/>
        <v>0</v>
      </c>
    </row>
    <row r="226" spans="1:27" ht="28.35" customHeight="1">
      <c r="A226" s="232">
        <v>174</v>
      </c>
      <c r="B226" s="233" t="s">
        <v>689</v>
      </c>
      <c r="C226" s="234" t="s">
        <v>690</v>
      </c>
      <c r="D226" s="235" t="s">
        <v>620</v>
      </c>
      <c r="E226" s="191"/>
      <c r="F226" s="192"/>
      <c r="G226" s="192"/>
      <c r="H226" s="193">
        <f t="shared" si="171"/>
        <v>0</v>
      </c>
      <c r="I226" s="194">
        <f t="shared" si="172"/>
        <v>0</v>
      </c>
      <c r="J226" s="191"/>
      <c r="K226" s="192"/>
      <c r="L226" s="192"/>
      <c r="M226" s="195">
        <f t="shared" si="173"/>
        <v>0</v>
      </c>
      <c r="N226" s="194">
        <f t="shared" si="174"/>
        <v>0</v>
      </c>
      <c r="O226" s="191"/>
      <c r="P226" s="192"/>
      <c r="Q226" s="192"/>
      <c r="R226" s="195">
        <f t="shared" si="175"/>
        <v>0</v>
      </c>
      <c r="S226" s="194">
        <f t="shared" si="176"/>
        <v>0</v>
      </c>
      <c r="T226" s="191"/>
      <c r="U226" s="192"/>
      <c r="V226" s="192"/>
      <c r="W226" s="195">
        <f t="shared" si="177"/>
        <v>0</v>
      </c>
      <c r="X226" s="194">
        <f t="shared" si="178"/>
        <v>0</v>
      </c>
      <c r="Y226" s="236">
        <f t="shared" si="179"/>
        <v>0</v>
      </c>
      <c r="Z226" s="205">
        <f>(VLOOKUP(B:B,[1]AppLists!M:O,3,FALSE))*$AB$2</f>
        <v>1231.7</v>
      </c>
      <c r="AA226" s="237">
        <f t="shared" si="180"/>
        <v>0</v>
      </c>
    </row>
    <row r="227" spans="1:27" ht="28.35" customHeight="1">
      <c r="A227" s="232">
        <v>175</v>
      </c>
      <c r="B227" s="233" t="s">
        <v>691</v>
      </c>
      <c r="C227" s="234" t="s">
        <v>692</v>
      </c>
      <c r="D227" s="235" t="s">
        <v>620</v>
      </c>
      <c r="E227" s="191"/>
      <c r="F227" s="192"/>
      <c r="G227" s="192"/>
      <c r="H227" s="193">
        <f t="shared" si="171"/>
        <v>0</v>
      </c>
      <c r="I227" s="194">
        <f t="shared" si="172"/>
        <v>0</v>
      </c>
      <c r="J227" s="191"/>
      <c r="K227" s="192"/>
      <c r="L227" s="192"/>
      <c r="M227" s="195">
        <f t="shared" si="173"/>
        <v>0</v>
      </c>
      <c r="N227" s="194">
        <f t="shared" si="174"/>
        <v>0</v>
      </c>
      <c r="O227" s="191"/>
      <c r="P227" s="192"/>
      <c r="Q227" s="192"/>
      <c r="R227" s="195">
        <f t="shared" si="175"/>
        <v>0</v>
      </c>
      <c r="S227" s="194">
        <f t="shared" si="176"/>
        <v>0</v>
      </c>
      <c r="T227" s="191"/>
      <c r="U227" s="192"/>
      <c r="V227" s="192"/>
      <c r="W227" s="195">
        <f t="shared" si="177"/>
        <v>0</v>
      </c>
      <c r="X227" s="194">
        <f t="shared" si="178"/>
        <v>0</v>
      </c>
      <c r="Y227" s="236">
        <f t="shared" si="179"/>
        <v>0</v>
      </c>
      <c r="Z227" s="205">
        <f>(VLOOKUP(B:B,[1]AppLists!M:O,3,FALSE))*$AB$2</f>
        <v>1237.1500000000001</v>
      </c>
      <c r="AA227" s="237">
        <f t="shared" si="180"/>
        <v>0</v>
      </c>
    </row>
    <row r="228" spans="1:27" ht="28.35" customHeight="1">
      <c r="A228" s="232">
        <v>176</v>
      </c>
      <c r="B228" s="233" t="s">
        <v>693</v>
      </c>
      <c r="C228" s="234" t="s">
        <v>694</v>
      </c>
      <c r="D228" s="235" t="s">
        <v>620</v>
      </c>
      <c r="E228" s="191"/>
      <c r="F228" s="192"/>
      <c r="G228" s="192"/>
      <c r="H228" s="193">
        <f t="shared" si="171"/>
        <v>0</v>
      </c>
      <c r="I228" s="194">
        <f t="shared" si="172"/>
        <v>0</v>
      </c>
      <c r="J228" s="191"/>
      <c r="K228" s="192"/>
      <c r="L228" s="192"/>
      <c r="M228" s="195">
        <f t="shared" si="173"/>
        <v>0</v>
      </c>
      <c r="N228" s="194">
        <f t="shared" si="174"/>
        <v>0</v>
      </c>
      <c r="O228" s="191"/>
      <c r="P228" s="192"/>
      <c r="Q228" s="192"/>
      <c r="R228" s="195">
        <f t="shared" si="175"/>
        <v>0</v>
      </c>
      <c r="S228" s="194">
        <f t="shared" si="176"/>
        <v>0</v>
      </c>
      <c r="T228" s="191"/>
      <c r="U228" s="192"/>
      <c r="V228" s="192"/>
      <c r="W228" s="195">
        <f t="shared" si="177"/>
        <v>0</v>
      </c>
      <c r="X228" s="194">
        <f t="shared" si="178"/>
        <v>0</v>
      </c>
      <c r="Y228" s="236">
        <f t="shared" si="179"/>
        <v>0</v>
      </c>
      <c r="Z228" s="205">
        <f>(VLOOKUP(B:B,[1]AppLists!M:O,3,FALSE))*$AB$2</f>
        <v>1237.1500000000001</v>
      </c>
      <c r="AA228" s="237">
        <f t="shared" si="180"/>
        <v>0</v>
      </c>
    </row>
    <row r="229" spans="1:27" ht="28.35" customHeight="1">
      <c r="A229" s="232">
        <v>177</v>
      </c>
      <c r="B229" s="233" t="s">
        <v>695</v>
      </c>
      <c r="C229" s="234" t="s">
        <v>696</v>
      </c>
      <c r="D229" s="235" t="s">
        <v>620</v>
      </c>
      <c r="E229" s="191"/>
      <c r="F229" s="192"/>
      <c r="G229" s="192"/>
      <c r="H229" s="193">
        <f t="shared" si="171"/>
        <v>0</v>
      </c>
      <c r="I229" s="194">
        <f t="shared" si="172"/>
        <v>0</v>
      </c>
      <c r="J229" s="191"/>
      <c r="K229" s="192"/>
      <c r="L229" s="192"/>
      <c r="M229" s="195">
        <f t="shared" si="173"/>
        <v>0</v>
      </c>
      <c r="N229" s="194">
        <f t="shared" si="174"/>
        <v>0</v>
      </c>
      <c r="O229" s="191"/>
      <c r="P229" s="192"/>
      <c r="Q229" s="192"/>
      <c r="R229" s="195">
        <f t="shared" si="175"/>
        <v>0</v>
      </c>
      <c r="S229" s="194">
        <f t="shared" si="176"/>
        <v>0</v>
      </c>
      <c r="T229" s="191"/>
      <c r="U229" s="192"/>
      <c r="V229" s="192"/>
      <c r="W229" s="195">
        <f t="shared" si="177"/>
        <v>0</v>
      </c>
      <c r="X229" s="194">
        <f t="shared" si="178"/>
        <v>0</v>
      </c>
      <c r="Y229" s="236">
        <f t="shared" si="179"/>
        <v>0</v>
      </c>
      <c r="Z229" s="205">
        <f>(VLOOKUP(B:B,[1]AppLists!M:O,3,FALSE))*$AB$2</f>
        <v>355.34000000000003</v>
      </c>
      <c r="AA229" s="237">
        <f t="shared" si="180"/>
        <v>0</v>
      </c>
    </row>
    <row r="230" spans="1:27" ht="28.35" customHeight="1">
      <c r="A230" s="232">
        <v>178</v>
      </c>
      <c r="B230" s="233" t="s">
        <v>697</v>
      </c>
      <c r="C230" s="234" t="s">
        <v>698</v>
      </c>
      <c r="D230" s="235" t="s">
        <v>620</v>
      </c>
      <c r="E230" s="191"/>
      <c r="F230" s="192"/>
      <c r="G230" s="192"/>
      <c r="H230" s="193">
        <f t="shared" si="171"/>
        <v>0</v>
      </c>
      <c r="I230" s="194">
        <f t="shared" si="172"/>
        <v>0</v>
      </c>
      <c r="J230" s="191"/>
      <c r="K230" s="192"/>
      <c r="L230" s="192"/>
      <c r="M230" s="195">
        <f t="shared" si="173"/>
        <v>0</v>
      </c>
      <c r="N230" s="194">
        <f t="shared" si="174"/>
        <v>0</v>
      </c>
      <c r="O230" s="191"/>
      <c r="P230" s="192"/>
      <c r="Q230" s="192"/>
      <c r="R230" s="195">
        <f t="shared" si="175"/>
        <v>0</v>
      </c>
      <c r="S230" s="194">
        <f t="shared" si="176"/>
        <v>0</v>
      </c>
      <c r="T230" s="191"/>
      <c r="U230" s="192"/>
      <c r="V230" s="192"/>
      <c r="W230" s="195">
        <f t="shared" si="177"/>
        <v>0</v>
      </c>
      <c r="X230" s="194">
        <f t="shared" si="178"/>
        <v>0</v>
      </c>
      <c r="Y230" s="236">
        <f t="shared" si="179"/>
        <v>0</v>
      </c>
      <c r="Z230" s="205">
        <f>(VLOOKUP(B:B,[1]AppLists!M:O,3,FALSE))*$AB$2</f>
        <v>355.34000000000003</v>
      </c>
      <c r="AA230" s="237">
        <f t="shared" si="180"/>
        <v>0</v>
      </c>
    </row>
    <row r="231" spans="1:27" ht="28.35" customHeight="1">
      <c r="A231" s="232">
        <v>179</v>
      </c>
      <c r="B231" s="233" t="s">
        <v>699</v>
      </c>
      <c r="C231" s="234" t="s">
        <v>700</v>
      </c>
      <c r="D231" s="235" t="s">
        <v>620</v>
      </c>
      <c r="E231" s="191"/>
      <c r="F231" s="192"/>
      <c r="G231" s="192"/>
      <c r="H231" s="193">
        <f t="shared" si="171"/>
        <v>0</v>
      </c>
      <c r="I231" s="194">
        <f t="shared" si="172"/>
        <v>0</v>
      </c>
      <c r="J231" s="191"/>
      <c r="K231" s="192"/>
      <c r="L231" s="192"/>
      <c r="M231" s="195">
        <f t="shared" si="173"/>
        <v>0</v>
      </c>
      <c r="N231" s="194">
        <f t="shared" si="174"/>
        <v>0</v>
      </c>
      <c r="O231" s="191"/>
      <c r="P231" s="192"/>
      <c r="Q231" s="192"/>
      <c r="R231" s="195">
        <f t="shared" si="175"/>
        <v>0</v>
      </c>
      <c r="S231" s="194">
        <f t="shared" si="176"/>
        <v>0</v>
      </c>
      <c r="T231" s="191"/>
      <c r="U231" s="192"/>
      <c r="V231" s="192"/>
      <c r="W231" s="195">
        <f t="shared" si="177"/>
        <v>0</v>
      </c>
      <c r="X231" s="194">
        <f t="shared" si="178"/>
        <v>0</v>
      </c>
      <c r="Y231" s="236">
        <f t="shared" si="179"/>
        <v>0</v>
      </c>
      <c r="Z231" s="205">
        <f>(VLOOKUP(B:B,[1]AppLists!M:O,3,FALSE))*$AB$2</f>
        <v>355.34000000000003</v>
      </c>
      <c r="AA231" s="237">
        <f t="shared" si="180"/>
        <v>0</v>
      </c>
    </row>
    <row r="232" spans="1:27" ht="28.35" customHeight="1">
      <c r="A232" s="232">
        <v>180</v>
      </c>
      <c r="B232" s="233" t="s">
        <v>701</v>
      </c>
      <c r="C232" s="234" t="s">
        <v>702</v>
      </c>
      <c r="D232" s="235" t="s">
        <v>620</v>
      </c>
      <c r="E232" s="191"/>
      <c r="F232" s="192"/>
      <c r="G232" s="192"/>
      <c r="H232" s="193">
        <f t="shared" si="171"/>
        <v>0</v>
      </c>
      <c r="I232" s="194">
        <f t="shared" si="172"/>
        <v>0</v>
      </c>
      <c r="J232" s="191"/>
      <c r="K232" s="192"/>
      <c r="L232" s="192"/>
      <c r="M232" s="195">
        <f t="shared" si="173"/>
        <v>0</v>
      </c>
      <c r="N232" s="194">
        <f t="shared" si="174"/>
        <v>0</v>
      </c>
      <c r="O232" s="191"/>
      <c r="P232" s="192"/>
      <c r="Q232" s="192"/>
      <c r="R232" s="195">
        <f t="shared" si="175"/>
        <v>0</v>
      </c>
      <c r="S232" s="194">
        <f t="shared" si="176"/>
        <v>0</v>
      </c>
      <c r="T232" s="191"/>
      <c r="U232" s="192"/>
      <c r="V232" s="192"/>
      <c r="W232" s="195">
        <f t="shared" si="177"/>
        <v>0</v>
      </c>
      <c r="X232" s="194">
        <f t="shared" si="178"/>
        <v>0</v>
      </c>
      <c r="Y232" s="236">
        <f t="shared" si="179"/>
        <v>0</v>
      </c>
      <c r="Z232" s="205">
        <f>(VLOOKUP(B:B,[1]AppLists!M:O,3,FALSE))*$AB$2</f>
        <v>355.34000000000003</v>
      </c>
      <c r="AA232" s="237">
        <f t="shared" si="180"/>
        <v>0</v>
      </c>
    </row>
    <row r="233" spans="1:27" ht="28.35" customHeight="1">
      <c r="A233" s="232">
        <v>181</v>
      </c>
      <c r="B233" s="233" t="s">
        <v>703</v>
      </c>
      <c r="C233" s="234" t="s">
        <v>704</v>
      </c>
      <c r="D233" s="235" t="s">
        <v>620</v>
      </c>
      <c r="E233" s="191"/>
      <c r="F233" s="192"/>
      <c r="G233" s="192"/>
      <c r="H233" s="193">
        <f t="shared" si="171"/>
        <v>0</v>
      </c>
      <c r="I233" s="194">
        <f t="shared" si="172"/>
        <v>0</v>
      </c>
      <c r="J233" s="191"/>
      <c r="K233" s="192"/>
      <c r="L233" s="192"/>
      <c r="M233" s="195">
        <f t="shared" si="173"/>
        <v>0</v>
      </c>
      <c r="N233" s="194">
        <f t="shared" si="174"/>
        <v>0</v>
      </c>
      <c r="O233" s="191"/>
      <c r="P233" s="192"/>
      <c r="Q233" s="192"/>
      <c r="R233" s="195">
        <f t="shared" si="175"/>
        <v>0</v>
      </c>
      <c r="S233" s="194">
        <f t="shared" si="176"/>
        <v>0</v>
      </c>
      <c r="T233" s="191"/>
      <c r="U233" s="192"/>
      <c r="V233" s="192"/>
      <c r="W233" s="195">
        <f t="shared" si="177"/>
        <v>0</v>
      </c>
      <c r="X233" s="194">
        <f t="shared" si="178"/>
        <v>0</v>
      </c>
      <c r="Y233" s="236">
        <f t="shared" si="179"/>
        <v>0</v>
      </c>
      <c r="Z233" s="205">
        <f>(VLOOKUP(B:B,[1]AppLists!M:O,3,FALSE))*$AB$2</f>
        <v>383.68</v>
      </c>
      <c r="AA233" s="237">
        <f t="shared" si="180"/>
        <v>0</v>
      </c>
    </row>
    <row r="234" spans="1:27" ht="28.35" customHeight="1">
      <c r="A234" s="232">
        <v>182</v>
      </c>
      <c r="B234" s="233" t="s">
        <v>705</v>
      </c>
      <c r="C234" s="234" t="s">
        <v>706</v>
      </c>
      <c r="D234" s="235" t="s">
        <v>620</v>
      </c>
      <c r="E234" s="191"/>
      <c r="F234" s="192"/>
      <c r="G234" s="192"/>
      <c r="H234" s="193">
        <f t="shared" si="171"/>
        <v>0</v>
      </c>
      <c r="I234" s="194">
        <f t="shared" si="172"/>
        <v>0</v>
      </c>
      <c r="J234" s="191"/>
      <c r="K234" s="192"/>
      <c r="L234" s="192"/>
      <c r="M234" s="195">
        <f t="shared" si="173"/>
        <v>0</v>
      </c>
      <c r="N234" s="194">
        <f t="shared" si="174"/>
        <v>0</v>
      </c>
      <c r="O234" s="191"/>
      <c r="P234" s="192"/>
      <c r="Q234" s="192"/>
      <c r="R234" s="195">
        <f t="shared" si="175"/>
        <v>0</v>
      </c>
      <c r="S234" s="194">
        <f t="shared" si="176"/>
        <v>0</v>
      </c>
      <c r="T234" s="191"/>
      <c r="U234" s="192"/>
      <c r="V234" s="192"/>
      <c r="W234" s="195">
        <f t="shared" si="177"/>
        <v>0</v>
      </c>
      <c r="X234" s="194">
        <f t="shared" si="178"/>
        <v>0</v>
      </c>
      <c r="Y234" s="236">
        <f t="shared" si="179"/>
        <v>0</v>
      </c>
      <c r="Z234" s="205">
        <f>(VLOOKUP(B:B,[1]AppLists!M:O,3,FALSE))*$AB$2</f>
        <v>261.60000000000002</v>
      </c>
      <c r="AA234" s="237">
        <f t="shared" si="180"/>
        <v>0</v>
      </c>
    </row>
    <row r="235" spans="1:27" ht="28.35" customHeight="1">
      <c r="A235" s="232">
        <v>183</v>
      </c>
      <c r="B235" s="233" t="s">
        <v>707</v>
      </c>
      <c r="C235" s="234" t="s">
        <v>708</v>
      </c>
      <c r="D235" s="235" t="s">
        <v>620</v>
      </c>
      <c r="E235" s="191"/>
      <c r="F235" s="192"/>
      <c r="G235" s="192"/>
      <c r="H235" s="193">
        <f t="shared" si="171"/>
        <v>0</v>
      </c>
      <c r="I235" s="194">
        <f t="shared" si="172"/>
        <v>0</v>
      </c>
      <c r="J235" s="191"/>
      <c r="K235" s="192"/>
      <c r="L235" s="192"/>
      <c r="M235" s="195">
        <f t="shared" si="173"/>
        <v>0</v>
      </c>
      <c r="N235" s="194">
        <f t="shared" si="174"/>
        <v>0</v>
      </c>
      <c r="O235" s="191"/>
      <c r="P235" s="192"/>
      <c r="Q235" s="192"/>
      <c r="R235" s="195">
        <f t="shared" si="175"/>
        <v>0</v>
      </c>
      <c r="S235" s="194">
        <f t="shared" si="176"/>
        <v>0</v>
      </c>
      <c r="T235" s="191"/>
      <c r="U235" s="192"/>
      <c r="V235" s="192"/>
      <c r="W235" s="195">
        <f t="shared" si="177"/>
        <v>0</v>
      </c>
      <c r="X235" s="194">
        <f t="shared" si="178"/>
        <v>0</v>
      </c>
      <c r="Y235" s="236">
        <f t="shared" si="179"/>
        <v>0</v>
      </c>
      <c r="Z235" s="205">
        <f>(VLOOKUP(B:B,[1]AppLists!M:O,3,FALSE))*$AB$2</f>
        <v>261.60000000000002</v>
      </c>
      <c r="AA235" s="237">
        <f t="shared" si="180"/>
        <v>0</v>
      </c>
    </row>
    <row r="236" spans="1:27" ht="28.35" customHeight="1">
      <c r="A236" s="232">
        <v>184</v>
      </c>
      <c r="B236" s="233" t="s">
        <v>709</v>
      </c>
      <c r="C236" s="234" t="s">
        <v>710</v>
      </c>
      <c r="D236" s="235" t="s">
        <v>620</v>
      </c>
      <c r="E236" s="191"/>
      <c r="F236" s="192"/>
      <c r="G236" s="192"/>
      <c r="H236" s="193">
        <f t="shared" si="171"/>
        <v>0</v>
      </c>
      <c r="I236" s="194">
        <f t="shared" si="172"/>
        <v>0</v>
      </c>
      <c r="J236" s="191"/>
      <c r="K236" s="192"/>
      <c r="L236" s="192"/>
      <c r="M236" s="195">
        <f t="shared" si="173"/>
        <v>0</v>
      </c>
      <c r="N236" s="194">
        <f t="shared" si="174"/>
        <v>0</v>
      </c>
      <c r="O236" s="191"/>
      <c r="P236" s="192"/>
      <c r="Q236" s="192"/>
      <c r="R236" s="195">
        <f t="shared" si="175"/>
        <v>0</v>
      </c>
      <c r="S236" s="194">
        <f t="shared" si="176"/>
        <v>0</v>
      </c>
      <c r="T236" s="191"/>
      <c r="U236" s="192"/>
      <c r="V236" s="192"/>
      <c r="W236" s="195">
        <f t="shared" si="177"/>
        <v>0</v>
      </c>
      <c r="X236" s="194">
        <f t="shared" si="178"/>
        <v>0</v>
      </c>
      <c r="Y236" s="236">
        <f t="shared" si="179"/>
        <v>0</v>
      </c>
      <c r="Z236" s="205">
        <f>(VLOOKUP(B:B,[1]AppLists!M:O,3,FALSE))*$AB$2</f>
        <v>261.60000000000002</v>
      </c>
      <c r="AA236" s="237">
        <f t="shared" si="180"/>
        <v>0</v>
      </c>
    </row>
    <row r="237" spans="1:27" ht="28.35" customHeight="1">
      <c r="A237" s="232">
        <v>185</v>
      </c>
      <c r="B237" s="233" t="s">
        <v>711</v>
      </c>
      <c r="C237" s="234" t="s">
        <v>712</v>
      </c>
      <c r="D237" s="235" t="s">
        <v>620</v>
      </c>
      <c r="E237" s="191"/>
      <c r="F237" s="192"/>
      <c r="G237" s="192"/>
      <c r="H237" s="193">
        <f t="shared" si="171"/>
        <v>0</v>
      </c>
      <c r="I237" s="194">
        <f t="shared" si="172"/>
        <v>0</v>
      </c>
      <c r="J237" s="191"/>
      <c r="K237" s="192"/>
      <c r="L237" s="192"/>
      <c r="M237" s="195">
        <f t="shared" si="173"/>
        <v>0</v>
      </c>
      <c r="N237" s="194">
        <f t="shared" si="174"/>
        <v>0</v>
      </c>
      <c r="O237" s="191"/>
      <c r="P237" s="192"/>
      <c r="Q237" s="192"/>
      <c r="R237" s="195">
        <f t="shared" si="175"/>
        <v>0</v>
      </c>
      <c r="S237" s="194">
        <f t="shared" si="176"/>
        <v>0</v>
      </c>
      <c r="T237" s="191"/>
      <c r="U237" s="192"/>
      <c r="V237" s="192"/>
      <c r="W237" s="195">
        <f t="shared" si="177"/>
        <v>0</v>
      </c>
      <c r="X237" s="194">
        <f t="shared" si="178"/>
        <v>0</v>
      </c>
      <c r="Y237" s="236">
        <f t="shared" si="179"/>
        <v>0</v>
      </c>
      <c r="Z237" s="205">
        <f>(VLOOKUP(B:B,[1]AppLists!M:O,3,FALSE))*$AB$2</f>
        <v>423.24700000000007</v>
      </c>
      <c r="AA237" s="237">
        <f t="shared" si="180"/>
        <v>0</v>
      </c>
    </row>
    <row r="238" spans="1:27" ht="28.35" customHeight="1">
      <c r="A238" s="232">
        <v>186</v>
      </c>
      <c r="B238" s="233" t="s">
        <v>713</v>
      </c>
      <c r="C238" s="234" t="s">
        <v>714</v>
      </c>
      <c r="D238" s="235" t="s">
        <v>620</v>
      </c>
      <c r="E238" s="191"/>
      <c r="F238" s="192"/>
      <c r="G238" s="192"/>
      <c r="H238" s="193">
        <f t="shared" si="171"/>
        <v>0</v>
      </c>
      <c r="I238" s="194">
        <f t="shared" si="172"/>
        <v>0</v>
      </c>
      <c r="J238" s="191"/>
      <c r="K238" s="192"/>
      <c r="L238" s="192"/>
      <c r="M238" s="195">
        <f t="shared" si="173"/>
        <v>0</v>
      </c>
      <c r="N238" s="194">
        <f t="shared" si="174"/>
        <v>0</v>
      </c>
      <c r="O238" s="191"/>
      <c r="P238" s="192"/>
      <c r="Q238" s="192"/>
      <c r="R238" s="195">
        <f t="shared" si="175"/>
        <v>0</v>
      </c>
      <c r="S238" s="194">
        <f t="shared" si="176"/>
        <v>0</v>
      </c>
      <c r="T238" s="191"/>
      <c r="U238" s="192"/>
      <c r="V238" s="192"/>
      <c r="W238" s="195">
        <f t="shared" si="177"/>
        <v>0</v>
      </c>
      <c r="X238" s="194">
        <f t="shared" si="178"/>
        <v>0</v>
      </c>
      <c r="Y238" s="236">
        <f t="shared" si="179"/>
        <v>0</v>
      </c>
      <c r="Z238" s="205">
        <f>(VLOOKUP(B:B,[1]AppLists!M:O,3,FALSE))*$AB$2</f>
        <v>423.24700000000007</v>
      </c>
      <c r="AA238" s="237">
        <f t="shared" si="180"/>
        <v>0</v>
      </c>
    </row>
    <row r="239" spans="1:27" ht="28.35" customHeight="1">
      <c r="A239" s="232">
        <v>187</v>
      </c>
      <c r="B239" s="233" t="s">
        <v>715</v>
      </c>
      <c r="C239" s="234" t="s">
        <v>716</v>
      </c>
      <c r="D239" s="235" t="s">
        <v>620</v>
      </c>
      <c r="E239" s="191"/>
      <c r="F239" s="192"/>
      <c r="G239" s="192"/>
      <c r="H239" s="193">
        <f t="shared" si="171"/>
        <v>0</v>
      </c>
      <c r="I239" s="194">
        <f t="shared" si="172"/>
        <v>0</v>
      </c>
      <c r="J239" s="191"/>
      <c r="K239" s="192"/>
      <c r="L239" s="192"/>
      <c r="M239" s="195">
        <f t="shared" si="173"/>
        <v>0</v>
      </c>
      <c r="N239" s="194">
        <f t="shared" si="174"/>
        <v>0</v>
      </c>
      <c r="O239" s="191"/>
      <c r="P239" s="192"/>
      <c r="Q239" s="192"/>
      <c r="R239" s="195">
        <f t="shared" si="175"/>
        <v>0</v>
      </c>
      <c r="S239" s="194">
        <f t="shared" si="176"/>
        <v>0</v>
      </c>
      <c r="T239" s="191"/>
      <c r="U239" s="192"/>
      <c r="V239" s="192"/>
      <c r="W239" s="195">
        <f t="shared" si="177"/>
        <v>0</v>
      </c>
      <c r="X239" s="194">
        <f t="shared" si="178"/>
        <v>0</v>
      </c>
      <c r="Y239" s="236">
        <f t="shared" si="179"/>
        <v>0</v>
      </c>
      <c r="Z239" s="205">
        <f>(VLOOKUP(B:B,[1]AppLists!M:O,3,FALSE))*$AB$2</f>
        <v>0</v>
      </c>
      <c r="AA239" s="237">
        <f t="shared" si="180"/>
        <v>0</v>
      </c>
    </row>
    <row r="240" spans="1:27" ht="28.35" customHeight="1">
      <c r="A240" s="232">
        <v>188</v>
      </c>
      <c r="B240" s="233" t="s">
        <v>717</v>
      </c>
      <c r="C240" s="234" t="s">
        <v>718</v>
      </c>
      <c r="D240" s="235" t="s">
        <v>620</v>
      </c>
      <c r="E240" s="191"/>
      <c r="F240" s="192"/>
      <c r="G240" s="192"/>
      <c r="H240" s="193">
        <f t="shared" si="171"/>
        <v>0</v>
      </c>
      <c r="I240" s="194">
        <f t="shared" si="172"/>
        <v>0</v>
      </c>
      <c r="J240" s="191"/>
      <c r="K240" s="192"/>
      <c r="L240" s="192"/>
      <c r="M240" s="195">
        <f t="shared" si="173"/>
        <v>0</v>
      </c>
      <c r="N240" s="194">
        <f t="shared" si="174"/>
        <v>0</v>
      </c>
      <c r="O240" s="191"/>
      <c r="P240" s="192"/>
      <c r="Q240" s="192"/>
      <c r="R240" s="195">
        <f t="shared" si="175"/>
        <v>0</v>
      </c>
      <c r="S240" s="194">
        <f t="shared" si="176"/>
        <v>0</v>
      </c>
      <c r="T240" s="191"/>
      <c r="U240" s="192"/>
      <c r="V240" s="192"/>
      <c r="W240" s="195">
        <f t="shared" si="177"/>
        <v>0</v>
      </c>
      <c r="X240" s="194">
        <f t="shared" si="178"/>
        <v>0</v>
      </c>
      <c r="Y240" s="236">
        <f t="shared" si="179"/>
        <v>0</v>
      </c>
      <c r="Z240" s="205">
        <f>(VLOOKUP(B:B,[1]AppLists!M:O,3,FALSE))*$AB$2</f>
        <v>0</v>
      </c>
      <c r="AA240" s="237">
        <f t="shared" si="180"/>
        <v>0</v>
      </c>
    </row>
    <row r="241" spans="1:27" ht="28.35" customHeight="1">
      <c r="A241" s="232">
        <v>189</v>
      </c>
      <c r="B241" s="233" t="s">
        <v>719</v>
      </c>
      <c r="C241" s="234" t="s">
        <v>720</v>
      </c>
      <c r="D241" s="235" t="s">
        <v>620</v>
      </c>
      <c r="E241" s="191"/>
      <c r="F241" s="192"/>
      <c r="G241" s="192"/>
      <c r="H241" s="193">
        <f t="shared" si="171"/>
        <v>0</v>
      </c>
      <c r="I241" s="194">
        <f t="shared" si="172"/>
        <v>0</v>
      </c>
      <c r="J241" s="191"/>
      <c r="K241" s="192"/>
      <c r="L241" s="192"/>
      <c r="M241" s="195">
        <f t="shared" si="173"/>
        <v>0</v>
      </c>
      <c r="N241" s="194">
        <f t="shared" si="174"/>
        <v>0</v>
      </c>
      <c r="O241" s="191"/>
      <c r="P241" s="192"/>
      <c r="Q241" s="192"/>
      <c r="R241" s="195">
        <f t="shared" si="175"/>
        <v>0</v>
      </c>
      <c r="S241" s="194">
        <f t="shared" si="176"/>
        <v>0</v>
      </c>
      <c r="T241" s="191"/>
      <c r="U241" s="192"/>
      <c r="V241" s="192"/>
      <c r="W241" s="195">
        <f t="shared" si="177"/>
        <v>0</v>
      </c>
      <c r="X241" s="194">
        <f t="shared" si="178"/>
        <v>0</v>
      </c>
      <c r="Y241" s="236">
        <f t="shared" si="179"/>
        <v>0</v>
      </c>
      <c r="Z241" s="205">
        <f>(VLOOKUP(B:B,[1]AppLists!M:O,3,FALSE))*$AB$2</f>
        <v>0</v>
      </c>
      <c r="AA241" s="237">
        <f t="shared" si="180"/>
        <v>0</v>
      </c>
    </row>
    <row r="242" spans="1:27" ht="28.35" customHeight="1">
      <c r="A242" s="232">
        <v>190</v>
      </c>
      <c r="B242" s="233" t="s">
        <v>721</v>
      </c>
      <c r="C242" s="234" t="s">
        <v>722</v>
      </c>
      <c r="D242" s="235" t="s">
        <v>620</v>
      </c>
      <c r="E242" s="191"/>
      <c r="F242" s="192"/>
      <c r="G242" s="192"/>
      <c r="H242" s="193">
        <f t="shared" si="171"/>
        <v>0</v>
      </c>
      <c r="I242" s="194">
        <f t="shared" si="172"/>
        <v>0</v>
      </c>
      <c r="J242" s="191"/>
      <c r="K242" s="192"/>
      <c r="L242" s="192"/>
      <c r="M242" s="195">
        <f t="shared" si="173"/>
        <v>0</v>
      </c>
      <c r="N242" s="194">
        <f t="shared" si="174"/>
        <v>0</v>
      </c>
      <c r="O242" s="191"/>
      <c r="P242" s="192"/>
      <c r="Q242" s="192"/>
      <c r="R242" s="195">
        <f t="shared" si="175"/>
        <v>0</v>
      </c>
      <c r="S242" s="194">
        <f t="shared" si="176"/>
        <v>0</v>
      </c>
      <c r="T242" s="191"/>
      <c r="U242" s="192"/>
      <c r="V242" s="192"/>
      <c r="W242" s="195">
        <f t="shared" si="177"/>
        <v>0</v>
      </c>
      <c r="X242" s="194">
        <f t="shared" si="178"/>
        <v>0</v>
      </c>
      <c r="Y242" s="236">
        <f t="shared" si="179"/>
        <v>0</v>
      </c>
      <c r="Z242" s="205">
        <f>(VLOOKUP(B:B,[1]AppLists!M:O,3,FALSE))*$AB$2</f>
        <v>0</v>
      </c>
      <c r="AA242" s="237">
        <f t="shared" si="180"/>
        <v>0</v>
      </c>
    </row>
    <row r="243" spans="1:27" ht="28.35" customHeight="1">
      <c r="A243" s="232">
        <v>191</v>
      </c>
      <c r="B243" s="233" t="s">
        <v>723</v>
      </c>
      <c r="C243" s="234" t="s">
        <v>724</v>
      </c>
      <c r="D243" s="235" t="s">
        <v>620</v>
      </c>
      <c r="E243" s="191"/>
      <c r="F243" s="192"/>
      <c r="G243" s="192"/>
      <c r="H243" s="193">
        <f t="shared" si="171"/>
        <v>0</v>
      </c>
      <c r="I243" s="194">
        <f t="shared" si="172"/>
        <v>0</v>
      </c>
      <c r="J243" s="191"/>
      <c r="K243" s="192"/>
      <c r="L243" s="192"/>
      <c r="M243" s="195">
        <f t="shared" si="173"/>
        <v>0</v>
      </c>
      <c r="N243" s="194">
        <f t="shared" si="174"/>
        <v>0</v>
      </c>
      <c r="O243" s="191"/>
      <c r="P243" s="192"/>
      <c r="Q243" s="192"/>
      <c r="R243" s="195">
        <f t="shared" si="175"/>
        <v>0</v>
      </c>
      <c r="S243" s="194">
        <f t="shared" si="176"/>
        <v>0</v>
      </c>
      <c r="T243" s="191"/>
      <c r="U243" s="192"/>
      <c r="V243" s="192"/>
      <c r="W243" s="195">
        <f t="shared" si="177"/>
        <v>0</v>
      </c>
      <c r="X243" s="194">
        <f t="shared" si="178"/>
        <v>0</v>
      </c>
      <c r="Y243" s="236">
        <f t="shared" si="179"/>
        <v>0</v>
      </c>
      <c r="Z243" s="205">
        <f>(VLOOKUP(B:B,[1]AppLists!M:O,3,FALSE))*$AB$2</f>
        <v>1339.1958</v>
      </c>
      <c r="AA243" s="237">
        <f t="shared" si="180"/>
        <v>0</v>
      </c>
    </row>
    <row r="244" spans="1:27" ht="28.35" customHeight="1">
      <c r="A244" s="232">
        <v>192</v>
      </c>
      <c r="B244" s="233" t="s">
        <v>725</v>
      </c>
      <c r="C244" s="234" t="s">
        <v>726</v>
      </c>
      <c r="D244" s="235" t="s">
        <v>620</v>
      </c>
      <c r="E244" s="191"/>
      <c r="F244" s="192"/>
      <c r="G244" s="192"/>
      <c r="H244" s="193">
        <f t="shared" si="171"/>
        <v>0</v>
      </c>
      <c r="I244" s="194">
        <f t="shared" si="172"/>
        <v>0</v>
      </c>
      <c r="J244" s="191"/>
      <c r="K244" s="192"/>
      <c r="L244" s="192"/>
      <c r="M244" s="195">
        <f t="shared" si="173"/>
        <v>0</v>
      </c>
      <c r="N244" s="194">
        <f t="shared" si="174"/>
        <v>0</v>
      </c>
      <c r="O244" s="191"/>
      <c r="P244" s="192"/>
      <c r="Q244" s="192"/>
      <c r="R244" s="195">
        <f t="shared" si="175"/>
        <v>0</v>
      </c>
      <c r="S244" s="194">
        <f t="shared" si="176"/>
        <v>0</v>
      </c>
      <c r="T244" s="191"/>
      <c r="U244" s="192"/>
      <c r="V244" s="192"/>
      <c r="W244" s="195">
        <f t="shared" si="177"/>
        <v>0</v>
      </c>
      <c r="X244" s="194">
        <f t="shared" si="178"/>
        <v>0</v>
      </c>
      <c r="Y244" s="236">
        <f t="shared" si="179"/>
        <v>0</v>
      </c>
      <c r="Z244" s="205">
        <f>(VLOOKUP(B:B,[1]AppLists!M:O,3,FALSE))*$AB$2</f>
        <v>1339.1958</v>
      </c>
      <c r="AA244" s="237">
        <f t="shared" si="180"/>
        <v>0</v>
      </c>
    </row>
    <row r="245" spans="1:27" ht="28.35" customHeight="1">
      <c r="A245" s="232">
        <v>193</v>
      </c>
      <c r="B245" s="233" t="s">
        <v>727</v>
      </c>
      <c r="C245" s="234" t="s">
        <v>728</v>
      </c>
      <c r="D245" s="235" t="s">
        <v>620</v>
      </c>
      <c r="E245" s="191"/>
      <c r="F245" s="192"/>
      <c r="G245" s="192"/>
      <c r="H245" s="193">
        <f t="shared" si="171"/>
        <v>0</v>
      </c>
      <c r="I245" s="194">
        <f t="shared" si="172"/>
        <v>0</v>
      </c>
      <c r="J245" s="191"/>
      <c r="K245" s="192"/>
      <c r="L245" s="192"/>
      <c r="M245" s="195">
        <f t="shared" si="173"/>
        <v>0</v>
      </c>
      <c r="N245" s="194">
        <f t="shared" si="174"/>
        <v>0</v>
      </c>
      <c r="O245" s="191"/>
      <c r="P245" s="192"/>
      <c r="Q245" s="192"/>
      <c r="R245" s="195">
        <f t="shared" si="175"/>
        <v>0</v>
      </c>
      <c r="S245" s="194">
        <f t="shared" si="176"/>
        <v>0</v>
      </c>
      <c r="T245" s="191"/>
      <c r="U245" s="192"/>
      <c r="V245" s="192"/>
      <c r="W245" s="195">
        <f t="shared" si="177"/>
        <v>0</v>
      </c>
      <c r="X245" s="194">
        <f t="shared" si="178"/>
        <v>0</v>
      </c>
      <c r="Y245" s="236">
        <f t="shared" si="179"/>
        <v>0</v>
      </c>
      <c r="Z245" s="205">
        <f>(VLOOKUP(B:B,[1]AppLists!M:O,3,FALSE))*$AB$2</f>
        <v>1339.1958</v>
      </c>
      <c r="AA245" s="237">
        <f t="shared" si="180"/>
        <v>0</v>
      </c>
    </row>
    <row r="246" spans="1:27" ht="28.35" customHeight="1">
      <c r="A246" s="232">
        <v>194</v>
      </c>
      <c r="B246" s="233" t="s">
        <v>729</v>
      </c>
      <c r="C246" s="234" t="s">
        <v>730</v>
      </c>
      <c r="D246" s="235" t="s">
        <v>620</v>
      </c>
      <c r="E246" s="191"/>
      <c r="F246" s="192"/>
      <c r="G246" s="192"/>
      <c r="H246" s="193">
        <f t="shared" si="171"/>
        <v>0</v>
      </c>
      <c r="I246" s="194">
        <f t="shared" si="172"/>
        <v>0</v>
      </c>
      <c r="J246" s="191"/>
      <c r="K246" s="192"/>
      <c r="L246" s="192"/>
      <c r="M246" s="195">
        <f t="shared" si="173"/>
        <v>0</v>
      </c>
      <c r="N246" s="194">
        <f t="shared" si="174"/>
        <v>0</v>
      </c>
      <c r="O246" s="191"/>
      <c r="P246" s="192"/>
      <c r="Q246" s="192"/>
      <c r="R246" s="195">
        <f t="shared" si="175"/>
        <v>0</v>
      </c>
      <c r="S246" s="194">
        <f t="shared" si="176"/>
        <v>0</v>
      </c>
      <c r="T246" s="191"/>
      <c r="U246" s="192"/>
      <c r="V246" s="192"/>
      <c r="W246" s="195">
        <f t="shared" si="177"/>
        <v>0</v>
      </c>
      <c r="X246" s="194">
        <f t="shared" si="178"/>
        <v>0</v>
      </c>
      <c r="Y246" s="236">
        <f t="shared" si="179"/>
        <v>0</v>
      </c>
      <c r="Z246" s="205">
        <f>(VLOOKUP(B:B,[1]AppLists!M:O,3,FALSE))*$AB$2</f>
        <v>1820.5289000000002</v>
      </c>
      <c r="AA246" s="237">
        <f t="shared" si="180"/>
        <v>0</v>
      </c>
    </row>
    <row r="247" spans="1:27" ht="28.35" customHeight="1">
      <c r="A247" s="232">
        <v>195</v>
      </c>
      <c r="B247" s="233" t="s">
        <v>731</v>
      </c>
      <c r="C247" s="234" t="s">
        <v>732</v>
      </c>
      <c r="D247" s="235" t="s">
        <v>620</v>
      </c>
      <c r="E247" s="191"/>
      <c r="F247" s="192"/>
      <c r="G247" s="192"/>
      <c r="H247" s="193">
        <f t="shared" si="171"/>
        <v>0</v>
      </c>
      <c r="I247" s="194">
        <f t="shared" si="172"/>
        <v>0</v>
      </c>
      <c r="J247" s="191"/>
      <c r="K247" s="192"/>
      <c r="L247" s="192"/>
      <c r="M247" s="195">
        <f t="shared" si="173"/>
        <v>0</v>
      </c>
      <c r="N247" s="194">
        <f t="shared" si="174"/>
        <v>0</v>
      </c>
      <c r="O247" s="191"/>
      <c r="P247" s="192"/>
      <c r="Q247" s="192"/>
      <c r="R247" s="195">
        <f t="shared" si="175"/>
        <v>0</v>
      </c>
      <c r="S247" s="194">
        <f t="shared" si="176"/>
        <v>0</v>
      </c>
      <c r="T247" s="191"/>
      <c r="U247" s="192"/>
      <c r="V247" s="192"/>
      <c r="W247" s="195">
        <f t="shared" si="177"/>
        <v>0</v>
      </c>
      <c r="X247" s="194">
        <f t="shared" si="178"/>
        <v>0</v>
      </c>
      <c r="Y247" s="236">
        <f t="shared" si="179"/>
        <v>0</v>
      </c>
      <c r="Z247" s="205">
        <f>(VLOOKUP(B:B,[1]AppLists!M:O,3,FALSE))*$AB$2</f>
        <v>475.42530000000005</v>
      </c>
      <c r="AA247" s="237">
        <f t="shared" si="180"/>
        <v>0</v>
      </c>
    </row>
    <row r="248" spans="1:27" ht="28.35" customHeight="1">
      <c r="A248" s="232">
        <v>196</v>
      </c>
      <c r="B248" s="233" t="s">
        <v>733</v>
      </c>
      <c r="C248" s="234" t="s">
        <v>734</v>
      </c>
      <c r="D248" s="235" t="s">
        <v>620</v>
      </c>
      <c r="E248" s="191"/>
      <c r="F248" s="192"/>
      <c r="G248" s="192"/>
      <c r="H248" s="193">
        <f t="shared" si="171"/>
        <v>0</v>
      </c>
      <c r="I248" s="194">
        <f t="shared" si="172"/>
        <v>0</v>
      </c>
      <c r="J248" s="191"/>
      <c r="K248" s="192"/>
      <c r="L248" s="192"/>
      <c r="M248" s="195">
        <f t="shared" si="173"/>
        <v>0</v>
      </c>
      <c r="N248" s="194">
        <f t="shared" si="174"/>
        <v>0</v>
      </c>
      <c r="O248" s="191"/>
      <c r="P248" s="192"/>
      <c r="Q248" s="192"/>
      <c r="R248" s="195">
        <f t="shared" si="175"/>
        <v>0</v>
      </c>
      <c r="S248" s="194">
        <f t="shared" si="176"/>
        <v>0</v>
      </c>
      <c r="T248" s="191"/>
      <c r="U248" s="192"/>
      <c r="V248" s="192"/>
      <c r="W248" s="195">
        <f t="shared" si="177"/>
        <v>0</v>
      </c>
      <c r="X248" s="194">
        <f t="shared" si="178"/>
        <v>0</v>
      </c>
      <c r="Y248" s="236">
        <f t="shared" si="179"/>
        <v>0</v>
      </c>
      <c r="Z248" s="205">
        <f>(VLOOKUP(B:B,[1]AppLists!M:O,3,FALSE))*$AB$2</f>
        <v>475.42530000000005</v>
      </c>
      <c r="AA248" s="237">
        <f t="shared" si="180"/>
        <v>0</v>
      </c>
    </row>
    <row r="249" spans="1:27" ht="28.35" customHeight="1">
      <c r="A249" s="232">
        <v>197</v>
      </c>
      <c r="B249" s="233" t="s">
        <v>735</v>
      </c>
      <c r="C249" s="234" t="s">
        <v>736</v>
      </c>
      <c r="D249" s="235" t="s">
        <v>620</v>
      </c>
      <c r="E249" s="191"/>
      <c r="F249" s="192"/>
      <c r="G249" s="192"/>
      <c r="H249" s="193">
        <f t="shared" si="171"/>
        <v>0</v>
      </c>
      <c r="I249" s="194">
        <f t="shared" si="172"/>
        <v>0</v>
      </c>
      <c r="J249" s="191"/>
      <c r="K249" s="192"/>
      <c r="L249" s="192"/>
      <c r="M249" s="195">
        <f t="shared" si="173"/>
        <v>0</v>
      </c>
      <c r="N249" s="194">
        <f t="shared" si="174"/>
        <v>0</v>
      </c>
      <c r="O249" s="191"/>
      <c r="P249" s="192"/>
      <c r="Q249" s="192"/>
      <c r="R249" s="195">
        <f t="shared" si="175"/>
        <v>0</v>
      </c>
      <c r="S249" s="194">
        <f t="shared" si="176"/>
        <v>0</v>
      </c>
      <c r="T249" s="191"/>
      <c r="U249" s="192"/>
      <c r="V249" s="192"/>
      <c r="W249" s="195">
        <f t="shared" si="177"/>
        <v>0</v>
      </c>
      <c r="X249" s="194">
        <f t="shared" si="178"/>
        <v>0</v>
      </c>
      <c r="Y249" s="236">
        <f t="shared" si="179"/>
        <v>0</v>
      </c>
      <c r="Z249" s="205">
        <f>(VLOOKUP(B:B,[1]AppLists!M:O,3,FALSE))*$AB$2</f>
        <v>475.42530000000005</v>
      </c>
      <c r="AA249" s="237">
        <f t="shared" si="180"/>
        <v>0</v>
      </c>
    </row>
    <row r="250" spans="1:27" ht="28.35" customHeight="1">
      <c r="A250" s="232">
        <v>198</v>
      </c>
      <c r="B250" s="233" t="s">
        <v>737</v>
      </c>
      <c r="C250" s="234" t="s">
        <v>738</v>
      </c>
      <c r="D250" s="235" t="s">
        <v>620</v>
      </c>
      <c r="E250" s="191"/>
      <c r="F250" s="192"/>
      <c r="G250" s="192"/>
      <c r="H250" s="193">
        <f t="shared" si="171"/>
        <v>0</v>
      </c>
      <c r="I250" s="194">
        <f t="shared" si="172"/>
        <v>0</v>
      </c>
      <c r="J250" s="191"/>
      <c r="K250" s="192"/>
      <c r="L250" s="192"/>
      <c r="M250" s="195">
        <f t="shared" si="173"/>
        <v>0</v>
      </c>
      <c r="N250" s="194">
        <f t="shared" si="174"/>
        <v>0</v>
      </c>
      <c r="O250" s="191"/>
      <c r="P250" s="192"/>
      <c r="Q250" s="192"/>
      <c r="R250" s="195">
        <f t="shared" si="175"/>
        <v>0</v>
      </c>
      <c r="S250" s="194">
        <f t="shared" si="176"/>
        <v>0</v>
      </c>
      <c r="T250" s="191"/>
      <c r="U250" s="192"/>
      <c r="V250" s="192"/>
      <c r="W250" s="195">
        <f t="shared" si="177"/>
        <v>0</v>
      </c>
      <c r="X250" s="194">
        <f t="shared" si="178"/>
        <v>0</v>
      </c>
      <c r="Y250" s="236">
        <f t="shared" si="179"/>
        <v>0</v>
      </c>
      <c r="Z250" s="205">
        <f>(VLOOKUP(B:B,[1]AppLists!M:O,3,FALSE))*$AB$2</f>
        <v>776.91930000000002</v>
      </c>
      <c r="AA250" s="237">
        <f t="shared" si="180"/>
        <v>0</v>
      </c>
    </row>
    <row r="251" spans="1:27" ht="28.35" customHeight="1">
      <c r="A251" s="232">
        <v>199</v>
      </c>
      <c r="B251" s="233" t="s">
        <v>739</v>
      </c>
      <c r="C251" s="234" t="s">
        <v>740</v>
      </c>
      <c r="D251" s="235" t="s">
        <v>620</v>
      </c>
      <c r="E251" s="191"/>
      <c r="F251" s="192"/>
      <c r="G251" s="192"/>
      <c r="H251" s="193">
        <f t="shared" si="171"/>
        <v>0</v>
      </c>
      <c r="I251" s="194">
        <f t="shared" si="172"/>
        <v>0</v>
      </c>
      <c r="J251" s="191"/>
      <c r="K251" s="192"/>
      <c r="L251" s="192"/>
      <c r="M251" s="195">
        <f t="shared" si="173"/>
        <v>0</v>
      </c>
      <c r="N251" s="194">
        <f t="shared" si="174"/>
        <v>0</v>
      </c>
      <c r="O251" s="191"/>
      <c r="P251" s="192"/>
      <c r="Q251" s="192"/>
      <c r="R251" s="195">
        <f t="shared" si="175"/>
        <v>0</v>
      </c>
      <c r="S251" s="194">
        <f t="shared" si="176"/>
        <v>0</v>
      </c>
      <c r="T251" s="191"/>
      <c r="U251" s="192"/>
      <c r="V251" s="192"/>
      <c r="W251" s="195">
        <f t="shared" si="177"/>
        <v>0</v>
      </c>
      <c r="X251" s="194">
        <f t="shared" si="178"/>
        <v>0</v>
      </c>
      <c r="Y251" s="236">
        <f t="shared" si="179"/>
        <v>0</v>
      </c>
      <c r="Z251" s="205">
        <f>(VLOOKUP(B:B,[1]AppLists!M:O,3,FALSE))*$AB$2</f>
        <v>0</v>
      </c>
      <c r="AA251" s="237">
        <f t="shared" si="180"/>
        <v>0</v>
      </c>
    </row>
    <row r="252" spans="1:27" ht="28.35" customHeight="1">
      <c r="A252" s="232">
        <v>200</v>
      </c>
      <c r="B252" s="233" t="s">
        <v>741</v>
      </c>
      <c r="C252" s="234" t="s">
        <v>742</v>
      </c>
      <c r="D252" s="235" t="s">
        <v>620</v>
      </c>
      <c r="E252" s="191"/>
      <c r="F252" s="192"/>
      <c r="G252" s="192"/>
      <c r="H252" s="193">
        <f t="shared" si="171"/>
        <v>0</v>
      </c>
      <c r="I252" s="194">
        <f t="shared" si="172"/>
        <v>0</v>
      </c>
      <c r="J252" s="191"/>
      <c r="K252" s="192"/>
      <c r="L252" s="192"/>
      <c r="M252" s="195">
        <f t="shared" si="173"/>
        <v>0</v>
      </c>
      <c r="N252" s="194">
        <f t="shared" si="174"/>
        <v>0</v>
      </c>
      <c r="O252" s="191"/>
      <c r="P252" s="192"/>
      <c r="Q252" s="192"/>
      <c r="R252" s="195">
        <f t="shared" si="175"/>
        <v>0</v>
      </c>
      <c r="S252" s="194">
        <f t="shared" si="176"/>
        <v>0</v>
      </c>
      <c r="T252" s="191"/>
      <c r="U252" s="192"/>
      <c r="V252" s="192"/>
      <c r="W252" s="195">
        <f t="shared" si="177"/>
        <v>0</v>
      </c>
      <c r="X252" s="194">
        <f t="shared" si="178"/>
        <v>0</v>
      </c>
      <c r="Y252" s="236">
        <f t="shared" si="179"/>
        <v>0</v>
      </c>
      <c r="Z252" s="205">
        <f>(VLOOKUP(B:B,[1]AppLists!M:O,3,FALSE))*$AB$2</f>
        <v>0</v>
      </c>
      <c r="AA252" s="237">
        <f t="shared" si="180"/>
        <v>0</v>
      </c>
    </row>
    <row r="253" spans="1:27" ht="28.35" customHeight="1">
      <c r="A253" s="232">
        <v>201</v>
      </c>
      <c r="B253" s="233" t="s">
        <v>743</v>
      </c>
      <c r="C253" s="234" t="s">
        <v>744</v>
      </c>
      <c r="D253" s="235" t="s">
        <v>620</v>
      </c>
      <c r="E253" s="191"/>
      <c r="F253" s="192"/>
      <c r="G253" s="192"/>
      <c r="H253" s="193">
        <f t="shared" si="171"/>
        <v>0</v>
      </c>
      <c r="I253" s="194">
        <f t="shared" si="172"/>
        <v>0</v>
      </c>
      <c r="J253" s="191"/>
      <c r="K253" s="192"/>
      <c r="L253" s="192"/>
      <c r="M253" s="195">
        <f t="shared" si="173"/>
        <v>0</v>
      </c>
      <c r="N253" s="194">
        <f t="shared" si="174"/>
        <v>0</v>
      </c>
      <c r="O253" s="191"/>
      <c r="P253" s="192"/>
      <c r="Q253" s="192"/>
      <c r="R253" s="195">
        <f t="shared" si="175"/>
        <v>0</v>
      </c>
      <c r="S253" s="194">
        <f t="shared" si="176"/>
        <v>0</v>
      </c>
      <c r="T253" s="191"/>
      <c r="U253" s="192"/>
      <c r="V253" s="192"/>
      <c r="W253" s="195">
        <f t="shared" si="177"/>
        <v>0</v>
      </c>
      <c r="X253" s="194">
        <f t="shared" si="178"/>
        <v>0</v>
      </c>
      <c r="Y253" s="236">
        <f t="shared" si="179"/>
        <v>0</v>
      </c>
      <c r="Z253" s="205">
        <f>(VLOOKUP(B:B,[1]AppLists!M:O,3,FALSE))*$AB$2</f>
        <v>0</v>
      </c>
      <c r="AA253" s="237">
        <f t="shared" si="180"/>
        <v>0</v>
      </c>
    </row>
    <row r="254" spans="1:27" ht="28.35" customHeight="1">
      <c r="A254" s="232">
        <v>202</v>
      </c>
      <c r="B254" s="233" t="s">
        <v>745</v>
      </c>
      <c r="C254" s="234" t="s">
        <v>746</v>
      </c>
      <c r="D254" s="235" t="s">
        <v>620</v>
      </c>
      <c r="E254" s="191"/>
      <c r="F254" s="192"/>
      <c r="G254" s="192"/>
      <c r="H254" s="193">
        <f t="shared" si="171"/>
        <v>0</v>
      </c>
      <c r="I254" s="194">
        <f t="shared" si="172"/>
        <v>0</v>
      </c>
      <c r="J254" s="191"/>
      <c r="K254" s="192"/>
      <c r="L254" s="192"/>
      <c r="M254" s="195">
        <f t="shared" si="173"/>
        <v>0</v>
      </c>
      <c r="N254" s="194">
        <f t="shared" si="174"/>
        <v>0</v>
      </c>
      <c r="O254" s="191"/>
      <c r="P254" s="192"/>
      <c r="Q254" s="192"/>
      <c r="R254" s="195">
        <f t="shared" si="175"/>
        <v>0</v>
      </c>
      <c r="S254" s="194">
        <f t="shared" si="176"/>
        <v>0</v>
      </c>
      <c r="T254" s="191"/>
      <c r="U254" s="192"/>
      <c r="V254" s="192"/>
      <c r="W254" s="195">
        <f t="shared" si="177"/>
        <v>0</v>
      </c>
      <c r="X254" s="194">
        <f t="shared" si="178"/>
        <v>0</v>
      </c>
      <c r="Y254" s="236">
        <f t="shared" si="179"/>
        <v>0</v>
      </c>
      <c r="Z254" s="205">
        <f>(VLOOKUP(B:B,[1]AppLists!M:O,3,FALSE))*$AB$2</f>
        <v>0</v>
      </c>
      <c r="AA254" s="237">
        <f t="shared" si="180"/>
        <v>0</v>
      </c>
    </row>
    <row r="255" spans="1:27" ht="28.35" customHeight="1">
      <c r="A255" s="232">
        <v>203</v>
      </c>
      <c r="B255" s="233" t="s">
        <v>747</v>
      </c>
      <c r="C255" s="234" t="s">
        <v>748</v>
      </c>
      <c r="D255" s="235" t="s">
        <v>620</v>
      </c>
      <c r="E255" s="191"/>
      <c r="F255" s="192"/>
      <c r="G255" s="192"/>
      <c r="H255" s="193">
        <f t="shared" ref="H255:H318" si="181">SUM(E255:G255)</f>
        <v>0</v>
      </c>
      <c r="I255" s="194">
        <f t="shared" ref="I255:I318" si="182">H255*Z255</f>
        <v>0</v>
      </c>
      <c r="J255" s="191"/>
      <c r="K255" s="192"/>
      <c r="L255" s="192"/>
      <c r="M255" s="195">
        <f t="shared" ref="M255:M318" si="183">SUM(J255:L255)</f>
        <v>0</v>
      </c>
      <c r="N255" s="194">
        <f t="shared" ref="N255:N318" si="184">M255*Z255</f>
        <v>0</v>
      </c>
      <c r="O255" s="191"/>
      <c r="P255" s="192"/>
      <c r="Q255" s="192"/>
      <c r="R255" s="195">
        <f t="shared" ref="R255:R318" si="185">SUM(O255:Q255)</f>
        <v>0</v>
      </c>
      <c r="S255" s="194">
        <f t="shared" ref="S255:S318" si="186">R255*Z255</f>
        <v>0</v>
      </c>
      <c r="T255" s="191"/>
      <c r="U255" s="192"/>
      <c r="V255" s="192"/>
      <c r="W255" s="195">
        <f t="shared" ref="W255:W318" si="187">SUM(T255:V255)</f>
        <v>0</v>
      </c>
      <c r="X255" s="194">
        <f t="shared" ref="X255:X318" si="188">W255*Z255</f>
        <v>0</v>
      </c>
      <c r="Y255" s="236">
        <f t="shared" ref="Y255:Y318" si="189">H255+M255+R255+W255</f>
        <v>0</v>
      </c>
      <c r="Z255" s="205">
        <f>(VLOOKUP(B:B,[1]AppLists!M:O,3,FALSE))*$AB$2</f>
        <v>80.442000000000007</v>
      </c>
      <c r="AA255" s="237">
        <f t="shared" ref="AA255:AA318" si="190">Y255*Z255</f>
        <v>0</v>
      </c>
    </row>
    <row r="256" spans="1:27" ht="28.35" customHeight="1">
      <c r="A256" s="232">
        <v>204</v>
      </c>
      <c r="B256" s="233" t="s">
        <v>749</v>
      </c>
      <c r="C256" s="234" t="s">
        <v>750</v>
      </c>
      <c r="D256" s="235" t="s">
        <v>620</v>
      </c>
      <c r="E256" s="191"/>
      <c r="F256" s="192"/>
      <c r="G256" s="192"/>
      <c r="H256" s="193">
        <f t="shared" si="181"/>
        <v>0</v>
      </c>
      <c r="I256" s="194">
        <f t="shared" si="182"/>
        <v>0</v>
      </c>
      <c r="J256" s="191"/>
      <c r="K256" s="192"/>
      <c r="L256" s="192"/>
      <c r="M256" s="195">
        <f t="shared" si="183"/>
        <v>0</v>
      </c>
      <c r="N256" s="194">
        <f t="shared" si="184"/>
        <v>0</v>
      </c>
      <c r="O256" s="191"/>
      <c r="P256" s="192"/>
      <c r="Q256" s="192"/>
      <c r="R256" s="195">
        <f t="shared" si="185"/>
        <v>0</v>
      </c>
      <c r="S256" s="194">
        <f t="shared" si="186"/>
        <v>0</v>
      </c>
      <c r="T256" s="191"/>
      <c r="U256" s="192"/>
      <c r="V256" s="192"/>
      <c r="W256" s="195">
        <f t="shared" si="187"/>
        <v>0</v>
      </c>
      <c r="X256" s="194">
        <f t="shared" si="188"/>
        <v>0</v>
      </c>
      <c r="Y256" s="236">
        <f t="shared" si="189"/>
        <v>0</v>
      </c>
      <c r="Z256" s="205">
        <f>(VLOOKUP(B:B,[1]AppLists!M:O,3,FALSE))*$AB$2</f>
        <v>759.73</v>
      </c>
      <c r="AA256" s="237">
        <f t="shared" si="190"/>
        <v>0</v>
      </c>
    </row>
    <row r="257" spans="1:27" ht="28.35" customHeight="1">
      <c r="A257" s="232">
        <v>205</v>
      </c>
      <c r="B257" s="233" t="s">
        <v>751</v>
      </c>
      <c r="C257" s="234" t="s">
        <v>752</v>
      </c>
      <c r="D257" s="235" t="s">
        <v>620</v>
      </c>
      <c r="E257" s="191"/>
      <c r="F257" s="192"/>
      <c r="G257" s="192"/>
      <c r="H257" s="193">
        <f t="shared" si="181"/>
        <v>0</v>
      </c>
      <c r="I257" s="194">
        <f t="shared" si="182"/>
        <v>0</v>
      </c>
      <c r="J257" s="191"/>
      <c r="K257" s="192"/>
      <c r="L257" s="192"/>
      <c r="M257" s="195">
        <f t="shared" si="183"/>
        <v>0</v>
      </c>
      <c r="N257" s="194">
        <f t="shared" si="184"/>
        <v>0</v>
      </c>
      <c r="O257" s="191"/>
      <c r="P257" s="192"/>
      <c r="Q257" s="192"/>
      <c r="R257" s="195">
        <f t="shared" si="185"/>
        <v>0</v>
      </c>
      <c r="S257" s="194">
        <f t="shared" si="186"/>
        <v>0</v>
      </c>
      <c r="T257" s="191"/>
      <c r="U257" s="192"/>
      <c r="V257" s="192"/>
      <c r="W257" s="195">
        <f t="shared" si="187"/>
        <v>0</v>
      </c>
      <c r="X257" s="194">
        <f t="shared" si="188"/>
        <v>0</v>
      </c>
      <c r="Y257" s="236">
        <f t="shared" si="189"/>
        <v>0</v>
      </c>
      <c r="Z257" s="205">
        <f>(VLOOKUP(B:B,[1]AppLists!M:O,3,FALSE))*$AB$2</f>
        <v>79.570000000000007</v>
      </c>
      <c r="AA257" s="237">
        <f t="shared" si="190"/>
        <v>0</v>
      </c>
    </row>
    <row r="258" spans="1:27" ht="28.35" customHeight="1">
      <c r="A258" s="232">
        <v>206</v>
      </c>
      <c r="B258" s="233" t="s">
        <v>753</v>
      </c>
      <c r="C258" s="234" t="s">
        <v>754</v>
      </c>
      <c r="D258" s="235" t="s">
        <v>620</v>
      </c>
      <c r="E258" s="191"/>
      <c r="F258" s="192"/>
      <c r="G258" s="192"/>
      <c r="H258" s="193">
        <f t="shared" si="181"/>
        <v>0</v>
      </c>
      <c r="I258" s="194">
        <f t="shared" si="182"/>
        <v>0</v>
      </c>
      <c r="J258" s="191"/>
      <c r="K258" s="192"/>
      <c r="L258" s="192"/>
      <c r="M258" s="195">
        <f t="shared" si="183"/>
        <v>0</v>
      </c>
      <c r="N258" s="194">
        <f t="shared" si="184"/>
        <v>0</v>
      </c>
      <c r="O258" s="191"/>
      <c r="P258" s="192"/>
      <c r="Q258" s="192"/>
      <c r="R258" s="195">
        <f t="shared" si="185"/>
        <v>0</v>
      </c>
      <c r="S258" s="194">
        <f t="shared" si="186"/>
        <v>0</v>
      </c>
      <c r="T258" s="191"/>
      <c r="U258" s="192"/>
      <c r="V258" s="192"/>
      <c r="W258" s="195">
        <f t="shared" si="187"/>
        <v>0</v>
      </c>
      <c r="X258" s="194">
        <f t="shared" si="188"/>
        <v>0</v>
      </c>
      <c r="Y258" s="236">
        <f t="shared" si="189"/>
        <v>0</v>
      </c>
      <c r="Z258" s="205">
        <f>(VLOOKUP(B:B,[1]AppLists!M:O,3,FALSE))*$AB$2</f>
        <v>2679.2200000000003</v>
      </c>
      <c r="AA258" s="237">
        <f t="shared" si="190"/>
        <v>0</v>
      </c>
    </row>
    <row r="259" spans="1:27" ht="28.35" customHeight="1">
      <c r="A259" s="232">
        <v>207</v>
      </c>
      <c r="B259" s="233" t="s">
        <v>755</v>
      </c>
      <c r="C259" s="234" t="s">
        <v>756</v>
      </c>
      <c r="D259" s="235" t="s">
        <v>620</v>
      </c>
      <c r="E259" s="191"/>
      <c r="F259" s="192"/>
      <c r="G259" s="192"/>
      <c r="H259" s="193">
        <f t="shared" si="181"/>
        <v>0</v>
      </c>
      <c r="I259" s="194">
        <f t="shared" si="182"/>
        <v>0</v>
      </c>
      <c r="J259" s="191"/>
      <c r="K259" s="192"/>
      <c r="L259" s="192"/>
      <c r="M259" s="195">
        <f t="shared" si="183"/>
        <v>0</v>
      </c>
      <c r="N259" s="194">
        <f t="shared" si="184"/>
        <v>0</v>
      </c>
      <c r="O259" s="191"/>
      <c r="P259" s="192"/>
      <c r="Q259" s="192"/>
      <c r="R259" s="195">
        <f t="shared" si="185"/>
        <v>0</v>
      </c>
      <c r="S259" s="194">
        <f t="shared" si="186"/>
        <v>0</v>
      </c>
      <c r="T259" s="191"/>
      <c r="U259" s="192"/>
      <c r="V259" s="192"/>
      <c r="W259" s="195">
        <f t="shared" si="187"/>
        <v>0</v>
      </c>
      <c r="X259" s="194">
        <f t="shared" si="188"/>
        <v>0</v>
      </c>
      <c r="Y259" s="236">
        <f t="shared" si="189"/>
        <v>0</v>
      </c>
      <c r="Z259" s="205">
        <f>(VLOOKUP(B:B,[1]AppLists!M:O,3,FALSE))*$AB$2</f>
        <v>1907.5000000000002</v>
      </c>
      <c r="AA259" s="237">
        <f t="shared" si="190"/>
        <v>0</v>
      </c>
    </row>
    <row r="260" spans="1:27" ht="28.35" customHeight="1">
      <c r="A260" s="232">
        <v>208</v>
      </c>
      <c r="B260" s="233" t="s">
        <v>757</v>
      </c>
      <c r="C260" s="234" t="s">
        <v>758</v>
      </c>
      <c r="D260" s="235" t="s">
        <v>620</v>
      </c>
      <c r="E260" s="191"/>
      <c r="F260" s="192"/>
      <c r="G260" s="192"/>
      <c r="H260" s="193">
        <f t="shared" si="181"/>
        <v>0</v>
      </c>
      <c r="I260" s="194">
        <f t="shared" si="182"/>
        <v>0</v>
      </c>
      <c r="J260" s="191"/>
      <c r="K260" s="192"/>
      <c r="L260" s="192"/>
      <c r="M260" s="195">
        <f t="shared" si="183"/>
        <v>0</v>
      </c>
      <c r="N260" s="194">
        <f t="shared" si="184"/>
        <v>0</v>
      </c>
      <c r="O260" s="191"/>
      <c r="P260" s="192"/>
      <c r="Q260" s="192"/>
      <c r="R260" s="195">
        <f t="shared" si="185"/>
        <v>0</v>
      </c>
      <c r="S260" s="194">
        <f t="shared" si="186"/>
        <v>0</v>
      </c>
      <c r="T260" s="191"/>
      <c r="U260" s="192"/>
      <c r="V260" s="192"/>
      <c r="W260" s="195">
        <f t="shared" si="187"/>
        <v>0</v>
      </c>
      <c r="X260" s="194">
        <f t="shared" si="188"/>
        <v>0</v>
      </c>
      <c r="Y260" s="236">
        <f t="shared" si="189"/>
        <v>0</v>
      </c>
      <c r="Z260" s="205">
        <f>(VLOOKUP(B:B,[1]AppLists!M:O,3,FALSE))*$AB$2</f>
        <v>2741.3500000000004</v>
      </c>
      <c r="AA260" s="237">
        <f t="shared" si="190"/>
        <v>0</v>
      </c>
    </row>
    <row r="261" spans="1:27" ht="28.35" customHeight="1">
      <c r="A261" s="232">
        <v>209</v>
      </c>
      <c r="B261" s="233" t="s">
        <v>759</v>
      </c>
      <c r="C261" s="234" t="s">
        <v>760</v>
      </c>
      <c r="D261" s="235" t="s">
        <v>620</v>
      </c>
      <c r="E261" s="191"/>
      <c r="F261" s="192"/>
      <c r="G261" s="192"/>
      <c r="H261" s="193">
        <f t="shared" si="181"/>
        <v>0</v>
      </c>
      <c r="I261" s="194">
        <f t="shared" si="182"/>
        <v>0</v>
      </c>
      <c r="J261" s="191"/>
      <c r="K261" s="192"/>
      <c r="L261" s="192"/>
      <c r="M261" s="195">
        <f t="shared" si="183"/>
        <v>0</v>
      </c>
      <c r="N261" s="194">
        <f t="shared" si="184"/>
        <v>0</v>
      </c>
      <c r="O261" s="191"/>
      <c r="P261" s="192"/>
      <c r="Q261" s="192"/>
      <c r="R261" s="195">
        <f t="shared" si="185"/>
        <v>0</v>
      </c>
      <c r="S261" s="194">
        <f t="shared" si="186"/>
        <v>0</v>
      </c>
      <c r="T261" s="191"/>
      <c r="U261" s="192"/>
      <c r="V261" s="192"/>
      <c r="W261" s="195">
        <f t="shared" si="187"/>
        <v>0</v>
      </c>
      <c r="X261" s="194">
        <f t="shared" si="188"/>
        <v>0</v>
      </c>
      <c r="Y261" s="236">
        <f t="shared" si="189"/>
        <v>0</v>
      </c>
      <c r="Z261" s="205">
        <f>(VLOOKUP(B:B,[1]AppLists!M:O,3,FALSE))*$AB$2</f>
        <v>3083.3920000000003</v>
      </c>
      <c r="AA261" s="237">
        <f t="shared" si="190"/>
        <v>0</v>
      </c>
    </row>
    <row r="262" spans="1:27" ht="28.35" customHeight="1">
      <c r="A262" s="232">
        <v>210</v>
      </c>
      <c r="B262" s="233" t="s">
        <v>761</v>
      </c>
      <c r="C262" s="234" t="s">
        <v>762</v>
      </c>
      <c r="D262" s="235" t="s">
        <v>620</v>
      </c>
      <c r="E262" s="191"/>
      <c r="F262" s="192"/>
      <c r="G262" s="192"/>
      <c r="H262" s="193">
        <f t="shared" si="181"/>
        <v>0</v>
      </c>
      <c r="I262" s="194">
        <f t="shared" si="182"/>
        <v>0</v>
      </c>
      <c r="J262" s="191"/>
      <c r="K262" s="192"/>
      <c r="L262" s="192"/>
      <c r="M262" s="195">
        <f t="shared" si="183"/>
        <v>0</v>
      </c>
      <c r="N262" s="194">
        <f t="shared" si="184"/>
        <v>0</v>
      </c>
      <c r="O262" s="191"/>
      <c r="P262" s="192"/>
      <c r="Q262" s="192"/>
      <c r="R262" s="195">
        <f t="shared" si="185"/>
        <v>0</v>
      </c>
      <c r="S262" s="194">
        <f t="shared" si="186"/>
        <v>0</v>
      </c>
      <c r="T262" s="191"/>
      <c r="U262" s="192"/>
      <c r="V262" s="192"/>
      <c r="W262" s="195">
        <f t="shared" si="187"/>
        <v>0</v>
      </c>
      <c r="X262" s="194">
        <f t="shared" si="188"/>
        <v>0</v>
      </c>
      <c r="Y262" s="236">
        <f t="shared" si="189"/>
        <v>0</v>
      </c>
      <c r="Z262" s="205">
        <f>(VLOOKUP(B:B,[1]AppLists!M:O,3,FALSE))*$AB$2</f>
        <v>4494.7240000000011</v>
      </c>
      <c r="AA262" s="237">
        <f t="shared" si="190"/>
        <v>0</v>
      </c>
    </row>
    <row r="263" spans="1:27" ht="28.35" customHeight="1">
      <c r="A263" s="232">
        <v>211</v>
      </c>
      <c r="B263" s="233" t="s">
        <v>763</v>
      </c>
      <c r="C263" s="234" t="s">
        <v>764</v>
      </c>
      <c r="D263" s="235" t="s">
        <v>620</v>
      </c>
      <c r="E263" s="191"/>
      <c r="F263" s="192"/>
      <c r="G263" s="192"/>
      <c r="H263" s="193">
        <f t="shared" si="181"/>
        <v>0</v>
      </c>
      <c r="I263" s="194">
        <f t="shared" si="182"/>
        <v>0</v>
      </c>
      <c r="J263" s="191"/>
      <c r="K263" s="192"/>
      <c r="L263" s="192"/>
      <c r="M263" s="195">
        <f t="shared" si="183"/>
        <v>0</v>
      </c>
      <c r="N263" s="194">
        <f t="shared" si="184"/>
        <v>0</v>
      </c>
      <c r="O263" s="191"/>
      <c r="P263" s="192"/>
      <c r="Q263" s="192"/>
      <c r="R263" s="195">
        <f t="shared" si="185"/>
        <v>0</v>
      </c>
      <c r="S263" s="194">
        <f t="shared" si="186"/>
        <v>0</v>
      </c>
      <c r="T263" s="191"/>
      <c r="U263" s="192"/>
      <c r="V263" s="192"/>
      <c r="W263" s="195">
        <f t="shared" si="187"/>
        <v>0</v>
      </c>
      <c r="X263" s="194">
        <f t="shared" si="188"/>
        <v>0</v>
      </c>
      <c r="Y263" s="236">
        <f t="shared" si="189"/>
        <v>0</v>
      </c>
      <c r="Z263" s="205">
        <f>(VLOOKUP(B:B,[1]AppLists!M:O,3,FALSE))*$AB$2</f>
        <v>2995.32</v>
      </c>
      <c r="AA263" s="237">
        <f t="shared" si="190"/>
        <v>0</v>
      </c>
    </row>
    <row r="264" spans="1:27" ht="28.35" customHeight="1">
      <c r="A264" s="232">
        <v>212</v>
      </c>
      <c r="B264" s="233" t="s">
        <v>765</v>
      </c>
      <c r="C264" s="234" t="s">
        <v>766</v>
      </c>
      <c r="D264" s="235" t="s">
        <v>620</v>
      </c>
      <c r="E264" s="191"/>
      <c r="F264" s="192"/>
      <c r="G264" s="192"/>
      <c r="H264" s="193">
        <f t="shared" si="181"/>
        <v>0</v>
      </c>
      <c r="I264" s="194">
        <f t="shared" si="182"/>
        <v>0</v>
      </c>
      <c r="J264" s="191"/>
      <c r="K264" s="192"/>
      <c r="L264" s="192"/>
      <c r="M264" s="195">
        <f t="shared" si="183"/>
        <v>0</v>
      </c>
      <c r="N264" s="194">
        <f t="shared" si="184"/>
        <v>0</v>
      </c>
      <c r="O264" s="191"/>
      <c r="P264" s="192"/>
      <c r="Q264" s="192"/>
      <c r="R264" s="195">
        <f t="shared" si="185"/>
        <v>0</v>
      </c>
      <c r="S264" s="194">
        <f t="shared" si="186"/>
        <v>0</v>
      </c>
      <c r="T264" s="191"/>
      <c r="U264" s="192"/>
      <c r="V264" s="192"/>
      <c r="W264" s="195">
        <f t="shared" si="187"/>
        <v>0</v>
      </c>
      <c r="X264" s="194">
        <f t="shared" si="188"/>
        <v>0</v>
      </c>
      <c r="Y264" s="236">
        <f t="shared" si="189"/>
        <v>0</v>
      </c>
      <c r="Z264" s="205">
        <f>(VLOOKUP(B:B,[1]AppLists!M:O,3,FALSE))*$AB$2</f>
        <v>3471.65</v>
      </c>
      <c r="AA264" s="237">
        <f t="shared" si="190"/>
        <v>0</v>
      </c>
    </row>
    <row r="265" spans="1:27" ht="28.35" customHeight="1">
      <c r="A265" s="232">
        <v>213</v>
      </c>
      <c r="B265" s="233" t="s">
        <v>767</v>
      </c>
      <c r="C265" s="234" t="s">
        <v>768</v>
      </c>
      <c r="D265" s="235" t="s">
        <v>620</v>
      </c>
      <c r="E265" s="191"/>
      <c r="F265" s="192"/>
      <c r="G265" s="192"/>
      <c r="H265" s="193">
        <f t="shared" si="181"/>
        <v>0</v>
      </c>
      <c r="I265" s="194">
        <f t="shared" si="182"/>
        <v>0</v>
      </c>
      <c r="J265" s="191"/>
      <c r="K265" s="192"/>
      <c r="L265" s="192"/>
      <c r="M265" s="195">
        <f t="shared" si="183"/>
        <v>0</v>
      </c>
      <c r="N265" s="194">
        <f t="shared" si="184"/>
        <v>0</v>
      </c>
      <c r="O265" s="191"/>
      <c r="P265" s="192"/>
      <c r="Q265" s="192"/>
      <c r="R265" s="195">
        <f t="shared" si="185"/>
        <v>0</v>
      </c>
      <c r="S265" s="194">
        <f t="shared" si="186"/>
        <v>0</v>
      </c>
      <c r="T265" s="191"/>
      <c r="U265" s="192"/>
      <c r="V265" s="192"/>
      <c r="W265" s="195">
        <f t="shared" si="187"/>
        <v>0</v>
      </c>
      <c r="X265" s="194">
        <f t="shared" si="188"/>
        <v>0</v>
      </c>
      <c r="Y265" s="236">
        <f t="shared" si="189"/>
        <v>0</v>
      </c>
      <c r="Z265" s="205">
        <f>(VLOOKUP(B:B,[1]AppLists!M:O,3,FALSE))*$AB$2</f>
        <v>7117.7000000000007</v>
      </c>
      <c r="AA265" s="237">
        <f t="shared" si="190"/>
        <v>0</v>
      </c>
    </row>
    <row r="266" spans="1:27" ht="28.35" customHeight="1">
      <c r="A266" s="232">
        <v>214</v>
      </c>
      <c r="B266" s="233" t="s">
        <v>769</v>
      </c>
      <c r="C266" s="234" t="s">
        <v>770</v>
      </c>
      <c r="D266" s="235" t="s">
        <v>620</v>
      </c>
      <c r="E266" s="191"/>
      <c r="F266" s="192"/>
      <c r="G266" s="192"/>
      <c r="H266" s="193">
        <f t="shared" si="181"/>
        <v>0</v>
      </c>
      <c r="I266" s="194">
        <f t="shared" si="182"/>
        <v>0</v>
      </c>
      <c r="J266" s="191"/>
      <c r="K266" s="192"/>
      <c r="L266" s="192"/>
      <c r="M266" s="195">
        <f t="shared" si="183"/>
        <v>0</v>
      </c>
      <c r="N266" s="194">
        <f t="shared" si="184"/>
        <v>0</v>
      </c>
      <c r="O266" s="191"/>
      <c r="P266" s="192"/>
      <c r="Q266" s="192"/>
      <c r="R266" s="195">
        <f t="shared" si="185"/>
        <v>0</v>
      </c>
      <c r="S266" s="194">
        <f t="shared" si="186"/>
        <v>0</v>
      </c>
      <c r="T266" s="191"/>
      <c r="U266" s="192"/>
      <c r="V266" s="192"/>
      <c r="W266" s="195">
        <f t="shared" si="187"/>
        <v>0</v>
      </c>
      <c r="X266" s="194">
        <f t="shared" si="188"/>
        <v>0</v>
      </c>
      <c r="Y266" s="236">
        <f t="shared" si="189"/>
        <v>0</v>
      </c>
      <c r="Z266" s="205">
        <f>(VLOOKUP(B:B,[1]AppLists!M:O,3,FALSE))*$AB$2</f>
        <v>3332.13</v>
      </c>
      <c r="AA266" s="237">
        <f t="shared" si="190"/>
        <v>0</v>
      </c>
    </row>
    <row r="267" spans="1:27" ht="28.35" customHeight="1">
      <c r="A267" s="232">
        <v>215</v>
      </c>
      <c r="B267" s="233" t="s">
        <v>771</v>
      </c>
      <c r="C267" s="234" t="s">
        <v>772</v>
      </c>
      <c r="D267" s="235" t="s">
        <v>620</v>
      </c>
      <c r="E267" s="191"/>
      <c r="F267" s="192"/>
      <c r="G267" s="192"/>
      <c r="H267" s="193">
        <f t="shared" si="181"/>
        <v>0</v>
      </c>
      <c r="I267" s="194">
        <f t="shared" si="182"/>
        <v>0</v>
      </c>
      <c r="J267" s="191"/>
      <c r="K267" s="192"/>
      <c r="L267" s="192"/>
      <c r="M267" s="195">
        <f t="shared" si="183"/>
        <v>0</v>
      </c>
      <c r="N267" s="194">
        <f t="shared" si="184"/>
        <v>0</v>
      </c>
      <c r="O267" s="191"/>
      <c r="P267" s="192"/>
      <c r="Q267" s="192"/>
      <c r="R267" s="195">
        <f t="shared" si="185"/>
        <v>0</v>
      </c>
      <c r="S267" s="194">
        <f t="shared" si="186"/>
        <v>0</v>
      </c>
      <c r="T267" s="191"/>
      <c r="U267" s="192"/>
      <c r="V267" s="192"/>
      <c r="W267" s="195">
        <f t="shared" si="187"/>
        <v>0</v>
      </c>
      <c r="X267" s="194">
        <f t="shared" si="188"/>
        <v>0</v>
      </c>
      <c r="Y267" s="236">
        <f t="shared" si="189"/>
        <v>0</v>
      </c>
      <c r="Z267" s="205">
        <f>(VLOOKUP(B:B,[1]AppLists!M:O,3,FALSE))*$AB$2</f>
        <v>3095.6000000000004</v>
      </c>
      <c r="AA267" s="237">
        <f t="shared" si="190"/>
        <v>0</v>
      </c>
    </row>
    <row r="268" spans="1:27" ht="28.35" customHeight="1">
      <c r="A268" s="232">
        <v>216</v>
      </c>
      <c r="B268" s="233" t="s">
        <v>773</v>
      </c>
      <c r="C268" s="234" t="s">
        <v>774</v>
      </c>
      <c r="D268" s="235" t="s">
        <v>620</v>
      </c>
      <c r="E268" s="191"/>
      <c r="F268" s="192"/>
      <c r="G268" s="192"/>
      <c r="H268" s="193">
        <f t="shared" si="181"/>
        <v>0</v>
      </c>
      <c r="I268" s="194">
        <f t="shared" si="182"/>
        <v>0</v>
      </c>
      <c r="J268" s="191"/>
      <c r="K268" s="192"/>
      <c r="L268" s="192"/>
      <c r="M268" s="195">
        <f t="shared" si="183"/>
        <v>0</v>
      </c>
      <c r="N268" s="194">
        <f t="shared" si="184"/>
        <v>0</v>
      </c>
      <c r="O268" s="191"/>
      <c r="P268" s="192"/>
      <c r="Q268" s="192"/>
      <c r="R268" s="195">
        <f t="shared" si="185"/>
        <v>0</v>
      </c>
      <c r="S268" s="194">
        <f t="shared" si="186"/>
        <v>0</v>
      </c>
      <c r="T268" s="191"/>
      <c r="U268" s="192"/>
      <c r="V268" s="192"/>
      <c r="W268" s="195">
        <f t="shared" si="187"/>
        <v>0</v>
      </c>
      <c r="X268" s="194">
        <f t="shared" si="188"/>
        <v>0</v>
      </c>
      <c r="Y268" s="236">
        <f t="shared" si="189"/>
        <v>0</v>
      </c>
      <c r="Z268" s="205">
        <f>(VLOOKUP(B:B,[1]AppLists!M:O,3,FALSE))*$AB$2</f>
        <v>2501.5500000000002</v>
      </c>
      <c r="AA268" s="237">
        <f t="shared" si="190"/>
        <v>0</v>
      </c>
    </row>
    <row r="269" spans="1:27" ht="28.35" customHeight="1">
      <c r="A269" s="232">
        <v>217</v>
      </c>
      <c r="B269" s="233" t="s">
        <v>775</v>
      </c>
      <c r="C269" s="234" t="s">
        <v>776</v>
      </c>
      <c r="D269" s="235" t="s">
        <v>620</v>
      </c>
      <c r="E269" s="191"/>
      <c r="F269" s="192"/>
      <c r="G269" s="192"/>
      <c r="H269" s="193">
        <f t="shared" si="181"/>
        <v>0</v>
      </c>
      <c r="I269" s="194">
        <f t="shared" si="182"/>
        <v>0</v>
      </c>
      <c r="J269" s="191"/>
      <c r="K269" s="192"/>
      <c r="L269" s="192"/>
      <c r="M269" s="195">
        <f t="shared" si="183"/>
        <v>0</v>
      </c>
      <c r="N269" s="194">
        <f t="shared" si="184"/>
        <v>0</v>
      </c>
      <c r="O269" s="191"/>
      <c r="P269" s="192"/>
      <c r="Q269" s="192"/>
      <c r="R269" s="195">
        <f t="shared" si="185"/>
        <v>0</v>
      </c>
      <c r="S269" s="194">
        <f t="shared" si="186"/>
        <v>0</v>
      </c>
      <c r="T269" s="191"/>
      <c r="U269" s="192"/>
      <c r="V269" s="192"/>
      <c r="W269" s="195">
        <f t="shared" si="187"/>
        <v>0</v>
      </c>
      <c r="X269" s="194">
        <f t="shared" si="188"/>
        <v>0</v>
      </c>
      <c r="Y269" s="236">
        <f t="shared" si="189"/>
        <v>0</v>
      </c>
      <c r="Z269" s="205">
        <f>(VLOOKUP(B:B,[1]AppLists!M:O,3,FALSE))*$AB$2</f>
        <v>2610.5500000000002</v>
      </c>
      <c r="AA269" s="237">
        <f t="shared" si="190"/>
        <v>0</v>
      </c>
    </row>
    <row r="270" spans="1:27" ht="28.35" customHeight="1">
      <c r="A270" s="232">
        <v>218</v>
      </c>
      <c r="B270" s="233" t="s">
        <v>777</v>
      </c>
      <c r="C270" s="234" t="s">
        <v>778</v>
      </c>
      <c r="D270" s="235" t="s">
        <v>620</v>
      </c>
      <c r="E270" s="191"/>
      <c r="F270" s="192"/>
      <c r="G270" s="192"/>
      <c r="H270" s="193">
        <f t="shared" si="181"/>
        <v>0</v>
      </c>
      <c r="I270" s="194">
        <f t="shared" si="182"/>
        <v>0</v>
      </c>
      <c r="J270" s="191"/>
      <c r="K270" s="192"/>
      <c r="L270" s="192"/>
      <c r="M270" s="195">
        <f t="shared" si="183"/>
        <v>0</v>
      </c>
      <c r="N270" s="194">
        <f t="shared" si="184"/>
        <v>0</v>
      </c>
      <c r="O270" s="191"/>
      <c r="P270" s="192"/>
      <c r="Q270" s="192"/>
      <c r="R270" s="195">
        <f t="shared" si="185"/>
        <v>0</v>
      </c>
      <c r="S270" s="194">
        <f t="shared" si="186"/>
        <v>0</v>
      </c>
      <c r="T270" s="191"/>
      <c r="U270" s="192"/>
      <c r="V270" s="192"/>
      <c r="W270" s="195">
        <f t="shared" si="187"/>
        <v>0</v>
      </c>
      <c r="X270" s="194">
        <f t="shared" si="188"/>
        <v>0</v>
      </c>
      <c r="Y270" s="236">
        <f t="shared" si="189"/>
        <v>0</v>
      </c>
      <c r="Z270" s="205">
        <f>(VLOOKUP(B:B,[1]AppLists!M:O,3,FALSE))*$AB$2</f>
        <v>2610.5500000000002</v>
      </c>
      <c r="AA270" s="237">
        <f t="shared" si="190"/>
        <v>0</v>
      </c>
    </row>
    <row r="271" spans="1:27" ht="28.35" customHeight="1">
      <c r="A271" s="232">
        <v>219</v>
      </c>
      <c r="B271" s="233" t="s">
        <v>779</v>
      </c>
      <c r="C271" s="234" t="s">
        <v>780</v>
      </c>
      <c r="D271" s="235" t="s">
        <v>620</v>
      </c>
      <c r="E271" s="191"/>
      <c r="F271" s="192"/>
      <c r="G271" s="192"/>
      <c r="H271" s="193">
        <f t="shared" si="181"/>
        <v>0</v>
      </c>
      <c r="I271" s="194">
        <f t="shared" si="182"/>
        <v>0</v>
      </c>
      <c r="J271" s="191"/>
      <c r="K271" s="192"/>
      <c r="L271" s="192"/>
      <c r="M271" s="195">
        <f t="shared" si="183"/>
        <v>0</v>
      </c>
      <c r="N271" s="194">
        <f t="shared" si="184"/>
        <v>0</v>
      </c>
      <c r="O271" s="191"/>
      <c r="P271" s="192"/>
      <c r="Q271" s="192"/>
      <c r="R271" s="195">
        <f t="shared" si="185"/>
        <v>0</v>
      </c>
      <c r="S271" s="194">
        <f t="shared" si="186"/>
        <v>0</v>
      </c>
      <c r="T271" s="191"/>
      <c r="U271" s="192"/>
      <c r="V271" s="192"/>
      <c r="W271" s="195">
        <f t="shared" si="187"/>
        <v>0</v>
      </c>
      <c r="X271" s="194">
        <f t="shared" si="188"/>
        <v>0</v>
      </c>
      <c r="Y271" s="236">
        <f t="shared" si="189"/>
        <v>0</v>
      </c>
      <c r="Z271" s="205">
        <f>(VLOOKUP(B:B,[1]AppLists!M:O,3,FALSE))*$AB$2</f>
        <v>2610.5500000000002</v>
      </c>
      <c r="AA271" s="237">
        <f t="shared" si="190"/>
        <v>0</v>
      </c>
    </row>
    <row r="272" spans="1:27" ht="28.35" customHeight="1">
      <c r="A272" s="232">
        <v>220</v>
      </c>
      <c r="B272" s="233" t="s">
        <v>781</v>
      </c>
      <c r="C272" s="234" t="s">
        <v>782</v>
      </c>
      <c r="D272" s="235" t="s">
        <v>620</v>
      </c>
      <c r="E272" s="191"/>
      <c r="F272" s="192"/>
      <c r="G272" s="192"/>
      <c r="H272" s="193">
        <f t="shared" si="181"/>
        <v>0</v>
      </c>
      <c r="I272" s="194">
        <f t="shared" si="182"/>
        <v>0</v>
      </c>
      <c r="J272" s="191"/>
      <c r="K272" s="192"/>
      <c r="L272" s="192"/>
      <c r="M272" s="195">
        <f t="shared" si="183"/>
        <v>0</v>
      </c>
      <c r="N272" s="194">
        <f t="shared" si="184"/>
        <v>0</v>
      </c>
      <c r="O272" s="191"/>
      <c r="P272" s="192"/>
      <c r="Q272" s="192"/>
      <c r="R272" s="195">
        <f t="shared" si="185"/>
        <v>0</v>
      </c>
      <c r="S272" s="194">
        <f t="shared" si="186"/>
        <v>0</v>
      </c>
      <c r="T272" s="191"/>
      <c r="U272" s="192"/>
      <c r="V272" s="192"/>
      <c r="W272" s="195">
        <f t="shared" si="187"/>
        <v>0</v>
      </c>
      <c r="X272" s="194">
        <f t="shared" si="188"/>
        <v>0</v>
      </c>
      <c r="Y272" s="236">
        <f t="shared" si="189"/>
        <v>0</v>
      </c>
      <c r="Z272" s="205">
        <f>(VLOOKUP(B:B,[1]AppLists!M:O,3,FALSE))*$AB$2</f>
        <v>2992.05</v>
      </c>
      <c r="AA272" s="237">
        <f t="shared" si="190"/>
        <v>0</v>
      </c>
    </row>
    <row r="273" spans="1:27" ht="28.35" customHeight="1">
      <c r="A273" s="232">
        <v>221</v>
      </c>
      <c r="B273" s="233" t="s">
        <v>783</v>
      </c>
      <c r="C273" s="234" t="s">
        <v>784</v>
      </c>
      <c r="D273" s="235" t="s">
        <v>620</v>
      </c>
      <c r="E273" s="191"/>
      <c r="F273" s="192"/>
      <c r="G273" s="192"/>
      <c r="H273" s="193">
        <f t="shared" si="181"/>
        <v>0</v>
      </c>
      <c r="I273" s="194">
        <f t="shared" si="182"/>
        <v>0</v>
      </c>
      <c r="J273" s="191"/>
      <c r="K273" s="192"/>
      <c r="L273" s="192"/>
      <c r="M273" s="195">
        <f t="shared" si="183"/>
        <v>0</v>
      </c>
      <c r="N273" s="194">
        <f t="shared" si="184"/>
        <v>0</v>
      </c>
      <c r="O273" s="191"/>
      <c r="P273" s="192"/>
      <c r="Q273" s="192"/>
      <c r="R273" s="195">
        <f t="shared" si="185"/>
        <v>0</v>
      </c>
      <c r="S273" s="194">
        <f t="shared" si="186"/>
        <v>0</v>
      </c>
      <c r="T273" s="191"/>
      <c r="U273" s="192"/>
      <c r="V273" s="192"/>
      <c r="W273" s="195">
        <f t="shared" si="187"/>
        <v>0</v>
      </c>
      <c r="X273" s="194">
        <f t="shared" si="188"/>
        <v>0</v>
      </c>
      <c r="Y273" s="236">
        <f t="shared" si="189"/>
        <v>0</v>
      </c>
      <c r="Z273" s="205">
        <f>(VLOOKUP(B:B,[1]AppLists!M:O,3,FALSE))*$AB$2</f>
        <v>3155.55</v>
      </c>
      <c r="AA273" s="237">
        <f t="shared" si="190"/>
        <v>0</v>
      </c>
    </row>
    <row r="274" spans="1:27" ht="28.35" customHeight="1">
      <c r="A274" s="232">
        <v>222</v>
      </c>
      <c r="B274" s="233" t="s">
        <v>785</v>
      </c>
      <c r="C274" s="234" t="s">
        <v>786</v>
      </c>
      <c r="D274" s="235" t="s">
        <v>620</v>
      </c>
      <c r="E274" s="191"/>
      <c r="F274" s="192"/>
      <c r="G274" s="192"/>
      <c r="H274" s="193">
        <f t="shared" si="181"/>
        <v>0</v>
      </c>
      <c r="I274" s="194">
        <f t="shared" si="182"/>
        <v>0</v>
      </c>
      <c r="J274" s="191"/>
      <c r="K274" s="192"/>
      <c r="L274" s="192"/>
      <c r="M274" s="195">
        <f t="shared" si="183"/>
        <v>0</v>
      </c>
      <c r="N274" s="194">
        <f t="shared" si="184"/>
        <v>0</v>
      </c>
      <c r="O274" s="191"/>
      <c r="P274" s="192"/>
      <c r="Q274" s="192"/>
      <c r="R274" s="195">
        <f t="shared" si="185"/>
        <v>0</v>
      </c>
      <c r="S274" s="194">
        <f t="shared" si="186"/>
        <v>0</v>
      </c>
      <c r="T274" s="191"/>
      <c r="U274" s="192"/>
      <c r="V274" s="192"/>
      <c r="W274" s="195">
        <f t="shared" si="187"/>
        <v>0</v>
      </c>
      <c r="X274" s="194">
        <f t="shared" si="188"/>
        <v>0</v>
      </c>
      <c r="Y274" s="236">
        <f t="shared" si="189"/>
        <v>0</v>
      </c>
      <c r="Z274" s="205">
        <f>(VLOOKUP(B:B,[1]AppLists!M:O,3,FALSE))*$AB$2</f>
        <v>3155.55</v>
      </c>
      <c r="AA274" s="237">
        <f t="shared" si="190"/>
        <v>0</v>
      </c>
    </row>
    <row r="275" spans="1:27" ht="28.35" customHeight="1">
      <c r="A275" s="232">
        <v>223</v>
      </c>
      <c r="B275" s="233" t="s">
        <v>787</v>
      </c>
      <c r="C275" s="234" t="s">
        <v>788</v>
      </c>
      <c r="D275" s="235" t="s">
        <v>620</v>
      </c>
      <c r="E275" s="191"/>
      <c r="F275" s="192"/>
      <c r="G275" s="192"/>
      <c r="H275" s="193">
        <f t="shared" si="181"/>
        <v>0</v>
      </c>
      <c r="I275" s="194">
        <f t="shared" si="182"/>
        <v>0</v>
      </c>
      <c r="J275" s="191"/>
      <c r="K275" s="192"/>
      <c r="L275" s="192"/>
      <c r="M275" s="195">
        <f t="shared" si="183"/>
        <v>0</v>
      </c>
      <c r="N275" s="194">
        <f t="shared" si="184"/>
        <v>0</v>
      </c>
      <c r="O275" s="191"/>
      <c r="P275" s="192"/>
      <c r="Q275" s="192"/>
      <c r="R275" s="195">
        <f t="shared" si="185"/>
        <v>0</v>
      </c>
      <c r="S275" s="194">
        <f t="shared" si="186"/>
        <v>0</v>
      </c>
      <c r="T275" s="191"/>
      <c r="U275" s="192"/>
      <c r="V275" s="192"/>
      <c r="W275" s="195">
        <f t="shared" si="187"/>
        <v>0</v>
      </c>
      <c r="X275" s="194">
        <f t="shared" si="188"/>
        <v>0</v>
      </c>
      <c r="Y275" s="236">
        <f t="shared" si="189"/>
        <v>0</v>
      </c>
      <c r="Z275" s="205">
        <f>(VLOOKUP(B:B,[1]AppLists!M:O,3,FALSE))*$AB$2</f>
        <v>3155.55</v>
      </c>
      <c r="AA275" s="237">
        <f t="shared" si="190"/>
        <v>0</v>
      </c>
    </row>
    <row r="276" spans="1:27" ht="28.35" customHeight="1">
      <c r="A276" s="232">
        <v>224</v>
      </c>
      <c r="B276" s="233" t="s">
        <v>789</v>
      </c>
      <c r="C276" s="234" t="s">
        <v>790</v>
      </c>
      <c r="D276" s="235" t="s">
        <v>620</v>
      </c>
      <c r="E276" s="191"/>
      <c r="F276" s="192"/>
      <c r="G276" s="192"/>
      <c r="H276" s="193">
        <f t="shared" si="181"/>
        <v>0</v>
      </c>
      <c r="I276" s="194">
        <f t="shared" si="182"/>
        <v>0</v>
      </c>
      <c r="J276" s="191"/>
      <c r="K276" s="192"/>
      <c r="L276" s="192"/>
      <c r="M276" s="195">
        <f t="shared" si="183"/>
        <v>0</v>
      </c>
      <c r="N276" s="194">
        <f t="shared" si="184"/>
        <v>0</v>
      </c>
      <c r="O276" s="191"/>
      <c r="P276" s="192"/>
      <c r="Q276" s="192"/>
      <c r="R276" s="195">
        <f t="shared" si="185"/>
        <v>0</v>
      </c>
      <c r="S276" s="194">
        <f t="shared" si="186"/>
        <v>0</v>
      </c>
      <c r="T276" s="191"/>
      <c r="U276" s="192"/>
      <c r="V276" s="192"/>
      <c r="W276" s="195">
        <f t="shared" si="187"/>
        <v>0</v>
      </c>
      <c r="X276" s="194">
        <f t="shared" si="188"/>
        <v>0</v>
      </c>
      <c r="Y276" s="236">
        <f t="shared" si="189"/>
        <v>0</v>
      </c>
      <c r="Z276" s="205">
        <f>(VLOOKUP(B:B,[1]AppLists!M:O,3,FALSE))*$AB$2</f>
        <v>8060.55</v>
      </c>
      <c r="AA276" s="237">
        <f t="shared" si="190"/>
        <v>0</v>
      </c>
    </row>
    <row r="277" spans="1:27" ht="28.35" customHeight="1">
      <c r="A277" s="232">
        <v>225</v>
      </c>
      <c r="B277" s="233" t="s">
        <v>791</v>
      </c>
      <c r="C277" s="234" t="s">
        <v>792</v>
      </c>
      <c r="D277" s="235" t="s">
        <v>620</v>
      </c>
      <c r="E277" s="191"/>
      <c r="F277" s="192"/>
      <c r="G277" s="192"/>
      <c r="H277" s="193">
        <f t="shared" si="181"/>
        <v>0</v>
      </c>
      <c r="I277" s="194">
        <f t="shared" si="182"/>
        <v>0</v>
      </c>
      <c r="J277" s="191"/>
      <c r="K277" s="192"/>
      <c r="L277" s="192"/>
      <c r="M277" s="195">
        <f t="shared" si="183"/>
        <v>0</v>
      </c>
      <c r="N277" s="194">
        <f t="shared" si="184"/>
        <v>0</v>
      </c>
      <c r="O277" s="191"/>
      <c r="P277" s="192"/>
      <c r="Q277" s="192"/>
      <c r="R277" s="195">
        <f t="shared" si="185"/>
        <v>0</v>
      </c>
      <c r="S277" s="194">
        <f t="shared" si="186"/>
        <v>0</v>
      </c>
      <c r="T277" s="191"/>
      <c r="U277" s="192"/>
      <c r="V277" s="192"/>
      <c r="W277" s="195">
        <f t="shared" si="187"/>
        <v>0</v>
      </c>
      <c r="X277" s="194">
        <f t="shared" si="188"/>
        <v>0</v>
      </c>
      <c r="Y277" s="236">
        <f t="shared" si="189"/>
        <v>0</v>
      </c>
      <c r="Z277" s="205">
        <f>(VLOOKUP(B:B,[1]AppLists!M:O,3,FALSE))*$AB$2</f>
        <v>7079.55</v>
      </c>
      <c r="AA277" s="237">
        <f t="shared" si="190"/>
        <v>0</v>
      </c>
    </row>
    <row r="278" spans="1:27" ht="28.35" customHeight="1">
      <c r="A278" s="232">
        <v>226</v>
      </c>
      <c r="B278" s="233" t="s">
        <v>793</v>
      </c>
      <c r="C278" s="234" t="s">
        <v>794</v>
      </c>
      <c r="D278" s="235" t="s">
        <v>620</v>
      </c>
      <c r="E278" s="191"/>
      <c r="F278" s="192"/>
      <c r="G278" s="192"/>
      <c r="H278" s="193">
        <f t="shared" si="181"/>
        <v>0</v>
      </c>
      <c r="I278" s="194">
        <f t="shared" si="182"/>
        <v>0</v>
      </c>
      <c r="J278" s="191"/>
      <c r="K278" s="192"/>
      <c r="L278" s="192"/>
      <c r="M278" s="195">
        <f t="shared" si="183"/>
        <v>0</v>
      </c>
      <c r="N278" s="194">
        <f t="shared" si="184"/>
        <v>0</v>
      </c>
      <c r="O278" s="191"/>
      <c r="P278" s="192"/>
      <c r="Q278" s="192"/>
      <c r="R278" s="195">
        <f t="shared" si="185"/>
        <v>0</v>
      </c>
      <c r="S278" s="194">
        <f t="shared" si="186"/>
        <v>0</v>
      </c>
      <c r="T278" s="191"/>
      <c r="U278" s="192"/>
      <c r="V278" s="192"/>
      <c r="W278" s="195">
        <f t="shared" si="187"/>
        <v>0</v>
      </c>
      <c r="X278" s="194">
        <f t="shared" si="188"/>
        <v>0</v>
      </c>
      <c r="Y278" s="236">
        <f t="shared" si="189"/>
        <v>0</v>
      </c>
      <c r="Z278" s="205">
        <f>(VLOOKUP(B:B,[1]AppLists!M:O,3,FALSE))*$AB$2</f>
        <v>10458.550000000001</v>
      </c>
      <c r="AA278" s="237">
        <f t="shared" si="190"/>
        <v>0</v>
      </c>
    </row>
    <row r="279" spans="1:27" ht="28.35" customHeight="1">
      <c r="A279" s="232">
        <v>227</v>
      </c>
      <c r="B279" s="233" t="s">
        <v>795</v>
      </c>
      <c r="C279" s="234" t="s">
        <v>796</v>
      </c>
      <c r="D279" s="235" t="s">
        <v>620</v>
      </c>
      <c r="E279" s="191"/>
      <c r="F279" s="192"/>
      <c r="G279" s="192"/>
      <c r="H279" s="193">
        <f t="shared" si="181"/>
        <v>0</v>
      </c>
      <c r="I279" s="194">
        <f t="shared" si="182"/>
        <v>0</v>
      </c>
      <c r="J279" s="191"/>
      <c r="K279" s="192"/>
      <c r="L279" s="192"/>
      <c r="M279" s="195">
        <f t="shared" si="183"/>
        <v>0</v>
      </c>
      <c r="N279" s="194">
        <f t="shared" si="184"/>
        <v>0</v>
      </c>
      <c r="O279" s="191"/>
      <c r="P279" s="192"/>
      <c r="Q279" s="192"/>
      <c r="R279" s="195">
        <f t="shared" si="185"/>
        <v>0</v>
      </c>
      <c r="S279" s="194">
        <f t="shared" si="186"/>
        <v>0</v>
      </c>
      <c r="T279" s="191"/>
      <c r="U279" s="192"/>
      <c r="V279" s="192"/>
      <c r="W279" s="195">
        <f t="shared" si="187"/>
        <v>0</v>
      </c>
      <c r="X279" s="194">
        <f t="shared" si="188"/>
        <v>0</v>
      </c>
      <c r="Y279" s="236">
        <f t="shared" si="189"/>
        <v>0</v>
      </c>
      <c r="Z279" s="205">
        <f>(VLOOKUP(B:B,[1]AppLists!M:O,3,FALSE))*$AB$2</f>
        <v>10458.550000000001</v>
      </c>
      <c r="AA279" s="237">
        <f t="shared" si="190"/>
        <v>0</v>
      </c>
    </row>
    <row r="280" spans="1:27" ht="28.35" customHeight="1">
      <c r="A280" s="232">
        <v>228</v>
      </c>
      <c r="B280" s="233" t="s">
        <v>797</v>
      </c>
      <c r="C280" s="234" t="s">
        <v>798</v>
      </c>
      <c r="D280" s="235" t="s">
        <v>620</v>
      </c>
      <c r="E280" s="191"/>
      <c r="F280" s="192"/>
      <c r="G280" s="192"/>
      <c r="H280" s="193">
        <f t="shared" si="181"/>
        <v>0</v>
      </c>
      <c r="I280" s="194">
        <f t="shared" si="182"/>
        <v>0</v>
      </c>
      <c r="J280" s="191"/>
      <c r="K280" s="192"/>
      <c r="L280" s="192"/>
      <c r="M280" s="195">
        <f t="shared" si="183"/>
        <v>0</v>
      </c>
      <c r="N280" s="194">
        <f t="shared" si="184"/>
        <v>0</v>
      </c>
      <c r="O280" s="191"/>
      <c r="P280" s="192"/>
      <c r="Q280" s="192"/>
      <c r="R280" s="195">
        <f t="shared" si="185"/>
        <v>0</v>
      </c>
      <c r="S280" s="194">
        <f t="shared" si="186"/>
        <v>0</v>
      </c>
      <c r="T280" s="191"/>
      <c r="U280" s="192"/>
      <c r="V280" s="192"/>
      <c r="W280" s="195">
        <f t="shared" si="187"/>
        <v>0</v>
      </c>
      <c r="X280" s="194">
        <f t="shared" si="188"/>
        <v>0</v>
      </c>
      <c r="Y280" s="236">
        <f t="shared" si="189"/>
        <v>0</v>
      </c>
      <c r="Z280" s="205">
        <f>(VLOOKUP(B:B,[1]AppLists!M:O,3,FALSE))*$AB$2</f>
        <v>10458.550000000001</v>
      </c>
      <c r="AA280" s="237">
        <f t="shared" si="190"/>
        <v>0</v>
      </c>
    </row>
    <row r="281" spans="1:27" ht="28.35" customHeight="1">
      <c r="A281" s="232">
        <v>229</v>
      </c>
      <c r="B281" s="233" t="s">
        <v>799</v>
      </c>
      <c r="C281" s="234" t="s">
        <v>800</v>
      </c>
      <c r="D281" s="235" t="s">
        <v>620</v>
      </c>
      <c r="E281" s="191"/>
      <c r="F281" s="192"/>
      <c r="G281" s="192"/>
      <c r="H281" s="193">
        <f t="shared" si="181"/>
        <v>0</v>
      </c>
      <c r="I281" s="194">
        <f t="shared" si="182"/>
        <v>0</v>
      </c>
      <c r="J281" s="191"/>
      <c r="K281" s="192"/>
      <c r="L281" s="192"/>
      <c r="M281" s="195">
        <f t="shared" si="183"/>
        <v>0</v>
      </c>
      <c r="N281" s="194">
        <f t="shared" si="184"/>
        <v>0</v>
      </c>
      <c r="O281" s="191"/>
      <c r="P281" s="192"/>
      <c r="Q281" s="192"/>
      <c r="R281" s="195">
        <f t="shared" si="185"/>
        <v>0</v>
      </c>
      <c r="S281" s="194">
        <f t="shared" si="186"/>
        <v>0</v>
      </c>
      <c r="T281" s="191"/>
      <c r="U281" s="192"/>
      <c r="V281" s="192"/>
      <c r="W281" s="195">
        <f t="shared" si="187"/>
        <v>0</v>
      </c>
      <c r="X281" s="194">
        <f t="shared" si="188"/>
        <v>0</v>
      </c>
      <c r="Y281" s="236">
        <f t="shared" si="189"/>
        <v>0</v>
      </c>
      <c r="Z281" s="205">
        <f>(VLOOKUP(B:B,[1]AppLists!M:O,3,FALSE))*$AB$2</f>
        <v>4054.8</v>
      </c>
      <c r="AA281" s="237">
        <f t="shared" si="190"/>
        <v>0</v>
      </c>
    </row>
    <row r="282" spans="1:27" ht="28.35" customHeight="1">
      <c r="A282" s="232">
        <v>230</v>
      </c>
      <c r="B282" s="233" t="s">
        <v>801</v>
      </c>
      <c r="C282" s="234" t="s">
        <v>802</v>
      </c>
      <c r="D282" s="235" t="s">
        <v>620</v>
      </c>
      <c r="E282" s="191"/>
      <c r="F282" s="192"/>
      <c r="G282" s="192"/>
      <c r="H282" s="193">
        <f t="shared" si="181"/>
        <v>0</v>
      </c>
      <c r="I282" s="194">
        <f t="shared" si="182"/>
        <v>0</v>
      </c>
      <c r="J282" s="191"/>
      <c r="K282" s="192"/>
      <c r="L282" s="192"/>
      <c r="M282" s="195">
        <f t="shared" si="183"/>
        <v>0</v>
      </c>
      <c r="N282" s="194">
        <f t="shared" si="184"/>
        <v>0</v>
      </c>
      <c r="O282" s="191"/>
      <c r="P282" s="192"/>
      <c r="Q282" s="192"/>
      <c r="R282" s="195">
        <f t="shared" si="185"/>
        <v>0</v>
      </c>
      <c r="S282" s="194">
        <f t="shared" si="186"/>
        <v>0</v>
      </c>
      <c r="T282" s="191"/>
      <c r="U282" s="192"/>
      <c r="V282" s="192"/>
      <c r="W282" s="195">
        <f t="shared" si="187"/>
        <v>0</v>
      </c>
      <c r="X282" s="194">
        <f t="shared" si="188"/>
        <v>0</v>
      </c>
      <c r="Y282" s="236">
        <f t="shared" si="189"/>
        <v>0</v>
      </c>
      <c r="Z282" s="205">
        <f>(VLOOKUP(B:B,[1]AppLists!M:O,3,FALSE))*$AB$2</f>
        <v>5777</v>
      </c>
      <c r="AA282" s="237">
        <f t="shared" si="190"/>
        <v>0</v>
      </c>
    </row>
    <row r="283" spans="1:27" ht="28.35" customHeight="1">
      <c r="A283" s="232">
        <v>231</v>
      </c>
      <c r="B283" s="233" t="s">
        <v>803</v>
      </c>
      <c r="C283" s="234" t="s">
        <v>804</v>
      </c>
      <c r="D283" s="235" t="s">
        <v>620</v>
      </c>
      <c r="E283" s="191"/>
      <c r="F283" s="192"/>
      <c r="G283" s="192"/>
      <c r="H283" s="193">
        <f t="shared" si="181"/>
        <v>0</v>
      </c>
      <c r="I283" s="194">
        <f t="shared" si="182"/>
        <v>0</v>
      </c>
      <c r="J283" s="191"/>
      <c r="K283" s="192"/>
      <c r="L283" s="192"/>
      <c r="M283" s="195">
        <f t="shared" si="183"/>
        <v>0</v>
      </c>
      <c r="N283" s="194">
        <f t="shared" si="184"/>
        <v>0</v>
      </c>
      <c r="O283" s="191"/>
      <c r="P283" s="192"/>
      <c r="Q283" s="192"/>
      <c r="R283" s="195">
        <f t="shared" si="185"/>
        <v>0</v>
      </c>
      <c r="S283" s="194">
        <f t="shared" si="186"/>
        <v>0</v>
      </c>
      <c r="T283" s="191"/>
      <c r="U283" s="192"/>
      <c r="V283" s="192"/>
      <c r="W283" s="195">
        <f t="shared" si="187"/>
        <v>0</v>
      </c>
      <c r="X283" s="194">
        <f t="shared" si="188"/>
        <v>0</v>
      </c>
      <c r="Y283" s="236">
        <f t="shared" si="189"/>
        <v>0</v>
      </c>
      <c r="Z283" s="205">
        <f>(VLOOKUP(B:B,[1]AppLists!M:O,3,FALSE))*$AB$2</f>
        <v>5777</v>
      </c>
      <c r="AA283" s="237">
        <f t="shared" si="190"/>
        <v>0</v>
      </c>
    </row>
    <row r="284" spans="1:27" ht="28.35" customHeight="1">
      <c r="A284" s="232">
        <v>232</v>
      </c>
      <c r="B284" s="233" t="s">
        <v>805</v>
      </c>
      <c r="C284" s="234" t="s">
        <v>806</v>
      </c>
      <c r="D284" s="238" t="s">
        <v>620</v>
      </c>
      <c r="E284" s="191"/>
      <c r="F284" s="192"/>
      <c r="G284" s="192"/>
      <c r="H284" s="193">
        <f t="shared" si="181"/>
        <v>0</v>
      </c>
      <c r="I284" s="194">
        <f t="shared" si="182"/>
        <v>0</v>
      </c>
      <c r="J284" s="191"/>
      <c r="K284" s="192"/>
      <c r="L284" s="192"/>
      <c r="M284" s="195">
        <f t="shared" si="183"/>
        <v>0</v>
      </c>
      <c r="N284" s="194">
        <f t="shared" si="184"/>
        <v>0</v>
      </c>
      <c r="O284" s="191"/>
      <c r="P284" s="192"/>
      <c r="Q284" s="192"/>
      <c r="R284" s="195">
        <f t="shared" si="185"/>
        <v>0</v>
      </c>
      <c r="S284" s="194">
        <f t="shared" si="186"/>
        <v>0</v>
      </c>
      <c r="T284" s="191"/>
      <c r="U284" s="192"/>
      <c r="V284" s="192"/>
      <c r="W284" s="195">
        <f t="shared" si="187"/>
        <v>0</v>
      </c>
      <c r="X284" s="194">
        <f t="shared" si="188"/>
        <v>0</v>
      </c>
      <c r="Y284" s="236">
        <f t="shared" si="189"/>
        <v>0</v>
      </c>
      <c r="Z284" s="205">
        <f>(VLOOKUP(B:B,[1]AppLists!M:O,3,FALSE))*$AB$2</f>
        <v>5777</v>
      </c>
      <c r="AA284" s="237">
        <f t="shared" si="190"/>
        <v>0</v>
      </c>
    </row>
    <row r="285" spans="1:27" ht="28.35" customHeight="1">
      <c r="A285" s="232">
        <v>233</v>
      </c>
      <c r="B285" s="233" t="s">
        <v>807</v>
      </c>
      <c r="C285" s="234" t="s">
        <v>808</v>
      </c>
      <c r="D285" s="235" t="s">
        <v>620</v>
      </c>
      <c r="E285" s="191"/>
      <c r="F285" s="192"/>
      <c r="G285" s="192"/>
      <c r="H285" s="193">
        <f t="shared" si="181"/>
        <v>0</v>
      </c>
      <c r="I285" s="194">
        <f t="shared" si="182"/>
        <v>0</v>
      </c>
      <c r="J285" s="191"/>
      <c r="K285" s="192"/>
      <c r="L285" s="192"/>
      <c r="M285" s="195">
        <f t="shared" si="183"/>
        <v>0</v>
      </c>
      <c r="N285" s="194">
        <f t="shared" si="184"/>
        <v>0</v>
      </c>
      <c r="O285" s="191"/>
      <c r="P285" s="192"/>
      <c r="Q285" s="192"/>
      <c r="R285" s="195">
        <f t="shared" si="185"/>
        <v>0</v>
      </c>
      <c r="S285" s="194">
        <f t="shared" si="186"/>
        <v>0</v>
      </c>
      <c r="T285" s="191"/>
      <c r="U285" s="192"/>
      <c r="V285" s="192"/>
      <c r="W285" s="195">
        <f t="shared" si="187"/>
        <v>0</v>
      </c>
      <c r="X285" s="194">
        <f t="shared" si="188"/>
        <v>0</v>
      </c>
      <c r="Y285" s="236">
        <f t="shared" si="189"/>
        <v>0</v>
      </c>
      <c r="Z285" s="205">
        <f>(VLOOKUP(B:B,[1]AppLists!M:O,3,FALSE))*$AB$2</f>
        <v>4276.0700000000006</v>
      </c>
      <c r="AA285" s="237">
        <f t="shared" si="190"/>
        <v>0</v>
      </c>
    </row>
    <row r="286" spans="1:27" ht="28.35" customHeight="1">
      <c r="A286" s="232">
        <v>234</v>
      </c>
      <c r="B286" s="233" t="s">
        <v>809</v>
      </c>
      <c r="C286" s="234" t="s">
        <v>810</v>
      </c>
      <c r="D286" s="235" t="s">
        <v>620</v>
      </c>
      <c r="E286" s="191"/>
      <c r="F286" s="192"/>
      <c r="G286" s="192"/>
      <c r="H286" s="193">
        <f t="shared" si="181"/>
        <v>0</v>
      </c>
      <c r="I286" s="194">
        <f t="shared" si="182"/>
        <v>0</v>
      </c>
      <c r="J286" s="191"/>
      <c r="K286" s="192"/>
      <c r="L286" s="192"/>
      <c r="M286" s="195">
        <f t="shared" si="183"/>
        <v>0</v>
      </c>
      <c r="N286" s="194">
        <f t="shared" si="184"/>
        <v>0</v>
      </c>
      <c r="O286" s="191"/>
      <c r="P286" s="192"/>
      <c r="Q286" s="192"/>
      <c r="R286" s="195">
        <f t="shared" si="185"/>
        <v>0</v>
      </c>
      <c r="S286" s="194">
        <f t="shared" si="186"/>
        <v>0</v>
      </c>
      <c r="T286" s="191"/>
      <c r="U286" s="192"/>
      <c r="V286" s="192"/>
      <c r="W286" s="195">
        <f t="shared" si="187"/>
        <v>0</v>
      </c>
      <c r="X286" s="194">
        <f t="shared" si="188"/>
        <v>0</v>
      </c>
      <c r="Y286" s="236">
        <f t="shared" si="189"/>
        <v>0</v>
      </c>
      <c r="Z286" s="205">
        <f>(VLOOKUP(B:B,[1]AppLists!M:O,3,FALSE))*$AB$2</f>
        <v>7560.2400000000007</v>
      </c>
      <c r="AA286" s="237">
        <f t="shared" si="190"/>
        <v>0</v>
      </c>
    </row>
    <row r="287" spans="1:27" ht="28.35" customHeight="1">
      <c r="A287" s="232">
        <v>235</v>
      </c>
      <c r="B287" s="233" t="s">
        <v>811</v>
      </c>
      <c r="C287" s="234" t="s">
        <v>812</v>
      </c>
      <c r="D287" s="235" t="s">
        <v>620</v>
      </c>
      <c r="E287" s="191"/>
      <c r="F287" s="192"/>
      <c r="G287" s="192"/>
      <c r="H287" s="193">
        <f t="shared" si="181"/>
        <v>0</v>
      </c>
      <c r="I287" s="194">
        <f t="shared" si="182"/>
        <v>0</v>
      </c>
      <c r="J287" s="191"/>
      <c r="K287" s="192"/>
      <c r="L287" s="192"/>
      <c r="M287" s="195">
        <f t="shared" si="183"/>
        <v>0</v>
      </c>
      <c r="N287" s="194">
        <f t="shared" si="184"/>
        <v>0</v>
      </c>
      <c r="O287" s="191"/>
      <c r="P287" s="192"/>
      <c r="Q287" s="192"/>
      <c r="R287" s="195">
        <f t="shared" si="185"/>
        <v>0</v>
      </c>
      <c r="S287" s="194">
        <f t="shared" si="186"/>
        <v>0</v>
      </c>
      <c r="T287" s="191"/>
      <c r="U287" s="192"/>
      <c r="V287" s="192"/>
      <c r="W287" s="195">
        <f t="shared" si="187"/>
        <v>0</v>
      </c>
      <c r="X287" s="194">
        <f t="shared" si="188"/>
        <v>0</v>
      </c>
      <c r="Y287" s="236">
        <f t="shared" si="189"/>
        <v>0</v>
      </c>
      <c r="Z287" s="205">
        <f>(VLOOKUP(B:B,[1]AppLists!M:O,3,FALSE))*$AB$2</f>
        <v>3073.8</v>
      </c>
      <c r="AA287" s="237">
        <f t="shared" si="190"/>
        <v>0</v>
      </c>
    </row>
    <row r="288" spans="1:27" ht="28.35" customHeight="1">
      <c r="A288" s="232">
        <v>236</v>
      </c>
      <c r="B288" s="233" t="s">
        <v>813</v>
      </c>
      <c r="C288" s="234" t="s">
        <v>814</v>
      </c>
      <c r="D288" s="235" t="s">
        <v>620</v>
      </c>
      <c r="E288" s="191"/>
      <c r="F288" s="192"/>
      <c r="G288" s="192"/>
      <c r="H288" s="193">
        <f t="shared" si="181"/>
        <v>0</v>
      </c>
      <c r="I288" s="194">
        <f t="shared" si="182"/>
        <v>0</v>
      </c>
      <c r="J288" s="191"/>
      <c r="K288" s="192"/>
      <c r="L288" s="192"/>
      <c r="M288" s="195">
        <f t="shared" si="183"/>
        <v>0</v>
      </c>
      <c r="N288" s="194">
        <f t="shared" si="184"/>
        <v>0</v>
      </c>
      <c r="O288" s="191"/>
      <c r="P288" s="192"/>
      <c r="Q288" s="192"/>
      <c r="R288" s="195">
        <f t="shared" si="185"/>
        <v>0</v>
      </c>
      <c r="S288" s="194">
        <f t="shared" si="186"/>
        <v>0</v>
      </c>
      <c r="T288" s="191"/>
      <c r="U288" s="192"/>
      <c r="V288" s="192"/>
      <c r="W288" s="195">
        <f t="shared" si="187"/>
        <v>0</v>
      </c>
      <c r="X288" s="194">
        <f t="shared" si="188"/>
        <v>0</v>
      </c>
      <c r="Y288" s="236">
        <f t="shared" si="189"/>
        <v>0</v>
      </c>
      <c r="Z288" s="205">
        <f>(VLOOKUP(B:B,[1]AppLists!M:O,3,FALSE))*$AB$2</f>
        <v>0</v>
      </c>
      <c r="AA288" s="237">
        <f t="shared" si="190"/>
        <v>0</v>
      </c>
    </row>
    <row r="289" spans="1:27" ht="28.35" customHeight="1">
      <c r="A289" s="232">
        <v>237</v>
      </c>
      <c r="B289" s="233" t="s">
        <v>815</v>
      </c>
      <c r="C289" s="234" t="s">
        <v>816</v>
      </c>
      <c r="D289" s="239" t="s">
        <v>620</v>
      </c>
      <c r="E289" s="191"/>
      <c r="F289" s="192"/>
      <c r="G289" s="192"/>
      <c r="H289" s="193">
        <f t="shared" si="181"/>
        <v>0</v>
      </c>
      <c r="I289" s="194">
        <f t="shared" si="182"/>
        <v>0</v>
      </c>
      <c r="J289" s="191"/>
      <c r="K289" s="192"/>
      <c r="L289" s="192"/>
      <c r="M289" s="195">
        <f t="shared" si="183"/>
        <v>0</v>
      </c>
      <c r="N289" s="194">
        <f t="shared" si="184"/>
        <v>0</v>
      </c>
      <c r="O289" s="191"/>
      <c r="P289" s="192"/>
      <c r="Q289" s="192"/>
      <c r="R289" s="195">
        <f t="shared" si="185"/>
        <v>0</v>
      </c>
      <c r="S289" s="194">
        <f t="shared" si="186"/>
        <v>0</v>
      </c>
      <c r="T289" s="191"/>
      <c r="U289" s="192"/>
      <c r="V289" s="192"/>
      <c r="W289" s="195">
        <f t="shared" si="187"/>
        <v>0</v>
      </c>
      <c r="X289" s="194">
        <f t="shared" si="188"/>
        <v>0</v>
      </c>
      <c r="Y289" s="236">
        <f t="shared" si="189"/>
        <v>0</v>
      </c>
      <c r="Z289" s="205">
        <f>(VLOOKUP(B:B,[1]AppLists!M:O,3,FALSE))*$AB$2</f>
        <v>0</v>
      </c>
      <c r="AA289" s="237">
        <f t="shared" si="190"/>
        <v>0</v>
      </c>
    </row>
    <row r="290" spans="1:27" ht="28.35" customHeight="1">
      <c r="A290" s="232">
        <v>238</v>
      </c>
      <c r="B290" s="233" t="s">
        <v>817</v>
      </c>
      <c r="C290" s="234" t="s">
        <v>818</v>
      </c>
      <c r="D290" s="239" t="s">
        <v>620</v>
      </c>
      <c r="E290" s="191"/>
      <c r="F290" s="192"/>
      <c r="G290" s="192"/>
      <c r="H290" s="193">
        <f t="shared" si="181"/>
        <v>0</v>
      </c>
      <c r="I290" s="194">
        <f t="shared" si="182"/>
        <v>0</v>
      </c>
      <c r="J290" s="191"/>
      <c r="K290" s="192"/>
      <c r="L290" s="192"/>
      <c r="M290" s="195">
        <f t="shared" si="183"/>
        <v>0</v>
      </c>
      <c r="N290" s="194">
        <f t="shared" si="184"/>
        <v>0</v>
      </c>
      <c r="O290" s="191"/>
      <c r="P290" s="192"/>
      <c r="Q290" s="192"/>
      <c r="R290" s="195">
        <f t="shared" si="185"/>
        <v>0</v>
      </c>
      <c r="S290" s="194">
        <f t="shared" si="186"/>
        <v>0</v>
      </c>
      <c r="T290" s="191"/>
      <c r="U290" s="192"/>
      <c r="V290" s="192"/>
      <c r="W290" s="195">
        <f t="shared" si="187"/>
        <v>0</v>
      </c>
      <c r="X290" s="194">
        <f t="shared" si="188"/>
        <v>0</v>
      </c>
      <c r="Y290" s="236">
        <f t="shared" si="189"/>
        <v>0</v>
      </c>
      <c r="Z290" s="205">
        <f>(VLOOKUP(B:B,[1]AppLists!M:O,3,FALSE))*$AB$2</f>
        <v>0</v>
      </c>
      <c r="AA290" s="237">
        <f t="shared" si="190"/>
        <v>0</v>
      </c>
    </row>
    <row r="291" spans="1:27" ht="28.35" customHeight="1">
      <c r="A291" s="232">
        <v>239</v>
      </c>
      <c r="B291" s="233" t="s">
        <v>819</v>
      </c>
      <c r="C291" s="234" t="s">
        <v>820</v>
      </c>
      <c r="D291" s="239" t="s">
        <v>620</v>
      </c>
      <c r="E291" s="191"/>
      <c r="F291" s="192"/>
      <c r="G291" s="192"/>
      <c r="H291" s="193">
        <f t="shared" si="181"/>
        <v>0</v>
      </c>
      <c r="I291" s="194">
        <f t="shared" si="182"/>
        <v>0</v>
      </c>
      <c r="J291" s="191"/>
      <c r="K291" s="192"/>
      <c r="L291" s="192"/>
      <c r="M291" s="195">
        <f t="shared" si="183"/>
        <v>0</v>
      </c>
      <c r="N291" s="194">
        <f t="shared" si="184"/>
        <v>0</v>
      </c>
      <c r="O291" s="191"/>
      <c r="P291" s="192"/>
      <c r="Q291" s="192"/>
      <c r="R291" s="195">
        <f t="shared" si="185"/>
        <v>0</v>
      </c>
      <c r="S291" s="194">
        <f t="shared" si="186"/>
        <v>0</v>
      </c>
      <c r="T291" s="191"/>
      <c r="U291" s="192"/>
      <c r="V291" s="192"/>
      <c r="W291" s="195">
        <f t="shared" si="187"/>
        <v>0</v>
      </c>
      <c r="X291" s="194">
        <f t="shared" si="188"/>
        <v>0</v>
      </c>
      <c r="Y291" s="236">
        <f t="shared" si="189"/>
        <v>0</v>
      </c>
      <c r="Z291" s="205">
        <f>(VLOOKUP(B:B,[1]AppLists!M:O,3,FALSE))*$AB$2</f>
        <v>7297.55</v>
      </c>
      <c r="AA291" s="237">
        <f t="shared" si="190"/>
        <v>0</v>
      </c>
    </row>
    <row r="292" spans="1:27" ht="28.35" customHeight="1">
      <c r="A292" s="232">
        <v>240</v>
      </c>
      <c r="B292" s="233" t="s">
        <v>821</v>
      </c>
      <c r="C292" s="234" t="s">
        <v>822</v>
      </c>
      <c r="D292" s="239" t="s">
        <v>620</v>
      </c>
      <c r="E292" s="191"/>
      <c r="F292" s="192"/>
      <c r="G292" s="192"/>
      <c r="H292" s="193">
        <f t="shared" si="181"/>
        <v>0</v>
      </c>
      <c r="I292" s="194">
        <f t="shared" si="182"/>
        <v>0</v>
      </c>
      <c r="J292" s="191"/>
      <c r="K292" s="192"/>
      <c r="L292" s="192"/>
      <c r="M292" s="195">
        <f t="shared" si="183"/>
        <v>0</v>
      </c>
      <c r="N292" s="194">
        <f t="shared" si="184"/>
        <v>0</v>
      </c>
      <c r="O292" s="191"/>
      <c r="P292" s="192"/>
      <c r="Q292" s="192"/>
      <c r="R292" s="195">
        <f t="shared" si="185"/>
        <v>0</v>
      </c>
      <c r="S292" s="194">
        <f t="shared" si="186"/>
        <v>0</v>
      </c>
      <c r="T292" s="191"/>
      <c r="U292" s="192"/>
      <c r="V292" s="192"/>
      <c r="W292" s="195">
        <f t="shared" si="187"/>
        <v>0</v>
      </c>
      <c r="X292" s="194">
        <f t="shared" si="188"/>
        <v>0</v>
      </c>
      <c r="Y292" s="236">
        <f t="shared" si="189"/>
        <v>0</v>
      </c>
      <c r="Z292" s="205">
        <f>(VLOOKUP(B:B,[1]AppLists!M:O,3,FALSE))*$AB$2</f>
        <v>9056.2759000000005</v>
      </c>
      <c r="AA292" s="237">
        <f t="shared" si="190"/>
        <v>0</v>
      </c>
    </row>
    <row r="293" spans="1:27" ht="28.35" customHeight="1">
      <c r="A293" s="232">
        <v>241</v>
      </c>
      <c r="B293" s="233" t="s">
        <v>823</v>
      </c>
      <c r="C293" s="234" t="s">
        <v>824</v>
      </c>
      <c r="D293" s="239" t="s">
        <v>620</v>
      </c>
      <c r="E293" s="191"/>
      <c r="F293" s="192"/>
      <c r="G293" s="192"/>
      <c r="H293" s="193">
        <f t="shared" si="181"/>
        <v>0</v>
      </c>
      <c r="I293" s="194">
        <f t="shared" si="182"/>
        <v>0</v>
      </c>
      <c r="J293" s="191"/>
      <c r="K293" s="192"/>
      <c r="L293" s="192"/>
      <c r="M293" s="195">
        <f t="shared" si="183"/>
        <v>0</v>
      </c>
      <c r="N293" s="194">
        <f t="shared" si="184"/>
        <v>0</v>
      </c>
      <c r="O293" s="191"/>
      <c r="P293" s="192"/>
      <c r="Q293" s="192"/>
      <c r="R293" s="195">
        <f t="shared" si="185"/>
        <v>0</v>
      </c>
      <c r="S293" s="194">
        <f t="shared" si="186"/>
        <v>0</v>
      </c>
      <c r="T293" s="191"/>
      <c r="U293" s="192"/>
      <c r="V293" s="192"/>
      <c r="W293" s="195">
        <f t="shared" si="187"/>
        <v>0</v>
      </c>
      <c r="X293" s="194">
        <f t="shared" si="188"/>
        <v>0</v>
      </c>
      <c r="Y293" s="236">
        <f t="shared" si="189"/>
        <v>0</v>
      </c>
      <c r="Z293" s="205">
        <f>(VLOOKUP(B:B,[1]AppLists!M:O,3,FALSE))*$AB$2</f>
        <v>3397.5518000000002</v>
      </c>
      <c r="AA293" s="237">
        <f t="shared" si="190"/>
        <v>0</v>
      </c>
    </row>
    <row r="294" spans="1:27" ht="28.35" customHeight="1">
      <c r="A294" s="232">
        <v>242</v>
      </c>
      <c r="B294" s="233" t="s">
        <v>825</v>
      </c>
      <c r="C294" s="234" t="s">
        <v>826</v>
      </c>
      <c r="D294" s="239" t="s">
        <v>620</v>
      </c>
      <c r="E294" s="191"/>
      <c r="F294" s="192"/>
      <c r="G294" s="192"/>
      <c r="H294" s="193">
        <f t="shared" si="181"/>
        <v>0</v>
      </c>
      <c r="I294" s="194">
        <f t="shared" si="182"/>
        <v>0</v>
      </c>
      <c r="J294" s="191"/>
      <c r="K294" s="192"/>
      <c r="L294" s="192"/>
      <c r="M294" s="195">
        <f t="shared" si="183"/>
        <v>0</v>
      </c>
      <c r="N294" s="194">
        <f t="shared" si="184"/>
        <v>0</v>
      </c>
      <c r="O294" s="191"/>
      <c r="P294" s="192"/>
      <c r="Q294" s="192"/>
      <c r="R294" s="195">
        <f t="shared" si="185"/>
        <v>0</v>
      </c>
      <c r="S294" s="194">
        <f t="shared" si="186"/>
        <v>0</v>
      </c>
      <c r="T294" s="191"/>
      <c r="U294" s="192"/>
      <c r="V294" s="192"/>
      <c r="W294" s="195">
        <f t="shared" si="187"/>
        <v>0</v>
      </c>
      <c r="X294" s="194">
        <f t="shared" si="188"/>
        <v>0</v>
      </c>
      <c r="Y294" s="236">
        <f t="shared" si="189"/>
        <v>0</v>
      </c>
      <c r="Z294" s="205">
        <f>(VLOOKUP(B:B,[1]AppLists!M:O,3,FALSE))*$AB$2</f>
        <v>4136.55</v>
      </c>
      <c r="AA294" s="237">
        <f t="shared" si="190"/>
        <v>0</v>
      </c>
    </row>
    <row r="295" spans="1:27" ht="28.35" customHeight="1">
      <c r="A295" s="232">
        <v>243</v>
      </c>
      <c r="B295" s="233" t="s">
        <v>827</v>
      </c>
      <c r="C295" s="234" t="s">
        <v>828</v>
      </c>
      <c r="D295" s="235" t="s">
        <v>620</v>
      </c>
      <c r="E295" s="191"/>
      <c r="F295" s="192"/>
      <c r="G295" s="192"/>
      <c r="H295" s="193">
        <f t="shared" si="181"/>
        <v>0</v>
      </c>
      <c r="I295" s="194">
        <f t="shared" si="182"/>
        <v>0</v>
      </c>
      <c r="J295" s="191"/>
      <c r="K295" s="192"/>
      <c r="L295" s="192"/>
      <c r="M295" s="195">
        <f t="shared" si="183"/>
        <v>0</v>
      </c>
      <c r="N295" s="194">
        <f t="shared" si="184"/>
        <v>0</v>
      </c>
      <c r="O295" s="191"/>
      <c r="P295" s="192"/>
      <c r="Q295" s="192"/>
      <c r="R295" s="195">
        <f t="shared" si="185"/>
        <v>0</v>
      </c>
      <c r="S295" s="194">
        <f t="shared" si="186"/>
        <v>0</v>
      </c>
      <c r="T295" s="191"/>
      <c r="U295" s="192"/>
      <c r="V295" s="192"/>
      <c r="W295" s="195">
        <f t="shared" si="187"/>
        <v>0</v>
      </c>
      <c r="X295" s="194">
        <f t="shared" si="188"/>
        <v>0</v>
      </c>
      <c r="Y295" s="236">
        <f t="shared" si="189"/>
        <v>0</v>
      </c>
      <c r="Z295" s="205">
        <f>(VLOOKUP(B:B,[1]AppLists!M:O,3,FALSE))*$AB$2</f>
        <v>10534.85</v>
      </c>
      <c r="AA295" s="237">
        <f t="shared" si="190"/>
        <v>0</v>
      </c>
    </row>
    <row r="296" spans="1:27" ht="28.35" customHeight="1">
      <c r="A296" s="232">
        <v>244</v>
      </c>
      <c r="B296" s="233" t="s">
        <v>829</v>
      </c>
      <c r="C296" s="234" t="s">
        <v>830</v>
      </c>
      <c r="D296" s="235" t="s">
        <v>620</v>
      </c>
      <c r="E296" s="191"/>
      <c r="F296" s="192"/>
      <c r="G296" s="192"/>
      <c r="H296" s="193">
        <f t="shared" si="181"/>
        <v>0</v>
      </c>
      <c r="I296" s="194">
        <f t="shared" si="182"/>
        <v>0</v>
      </c>
      <c r="J296" s="191"/>
      <c r="K296" s="192"/>
      <c r="L296" s="192"/>
      <c r="M296" s="195">
        <f t="shared" si="183"/>
        <v>0</v>
      </c>
      <c r="N296" s="194">
        <f t="shared" si="184"/>
        <v>0</v>
      </c>
      <c r="O296" s="191"/>
      <c r="P296" s="192"/>
      <c r="Q296" s="192"/>
      <c r="R296" s="195">
        <f t="shared" si="185"/>
        <v>0</v>
      </c>
      <c r="S296" s="194">
        <f t="shared" si="186"/>
        <v>0</v>
      </c>
      <c r="T296" s="191"/>
      <c r="U296" s="192"/>
      <c r="V296" s="192"/>
      <c r="W296" s="195">
        <f t="shared" si="187"/>
        <v>0</v>
      </c>
      <c r="X296" s="194">
        <f t="shared" si="188"/>
        <v>0</v>
      </c>
      <c r="Y296" s="236">
        <f t="shared" si="189"/>
        <v>0</v>
      </c>
      <c r="Z296" s="205">
        <f>(VLOOKUP(B:B,[1]AppLists!M:O,3,FALSE))*$AB$2</f>
        <v>0</v>
      </c>
      <c r="AA296" s="237">
        <f t="shared" si="190"/>
        <v>0</v>
      </c>
    </row>
    <row r="297" spans="1:27" ht="28.35" customHeight="1">
      <c r="A297" s="232">
        <v>245</v>
      </c>
      <c r="B297" s="233" t="s">
        <v>831</v>
      </c>
      <c r="C297" s="234" t="s">
        <v>832</v>
      </c>
      <c r="D297" s="235" t="s">
        <v>620</v>
      </c>
      <c r="E297" s="191"/>
      <c r="F297" s="192"/>
      <c r="G297" s="192"/>
      <c r="H297" s="193">
        <f t="shared" si="181"/>
        <v>0</v>
      </c>
      <c r="I297" s="194">
        <f t="shared" si="182"/>
        <v>0</v>
      </c>
      <c r="J297" s="191"/>
      <c r="K297" s="192"/>
      <c r="L297" s="192"/>
      <c r="M297" s="195">
        <f t="shared" si="183"/>
        <v>0</v>
      </c>
      <c r="N297" s="194">
        <f t="shared" si="184"/>
        <v>0</v>
      </c>
      <c r="O297" s="191"/>
      <c r="P297" s="192"/>
      <c r="Q297" s="192"/>
      <c r="R297" s="195">
        <f t="shared" si="185"/>
        <v>0</v>
      </c>
      <c r="S297" s="194">
        <f t="shared" si="186"/>
        <v>0</v>
      </c>
      <c r="T297" s="191"/>
      <c r="U297" s="192"/>
      <c r="V297" s="192"/>
      <c r="W297" s="195">
        <f t="shared" si="187"/>
        <v>0</v>
      </c>
      <c r="X297" s="194">
        <f t="shared" si="188"/>
        <v>0</v>
      </c>
      <c r="Y297" s="236">
        <f t="shared" si="189"/>
        <v>0</v>
      </c>
      <c r="Z297" s="205">
        <f>(VLOOKUP(B:B,[1]AppLists!M:O,3,FALSE))*$AB$2</f>
        <v>0</v>
      </c>
      <c r="AA297" s="237">
        <f t="shared" si="190"/>
        <v>0</v>
      </c>
    </row>
    <row r="298" spans="1:27" ht="28.35" customHeight="1">
      <c r="A298" s="232">
        <v>246</v>
      </c>
      <c r="B298" s="233" t="s">
        <v>833</v>
      </c>
      <c r="C298" s="234" t="s">
        <v>834</v>
      </c>
      <c r="D298" s="235" t="s">
        <v>620</v>
      </c>
      <c r="E298" s="191"/>
      <c r="F298" s="192"/>
      <c r="G298" s="192"/>
      <c r="H298" s="193">
        <f t="shared" si="181"/>
        <v>0</v>
      </c>
      <c r="I298" s="194">
        <f t="shared" si="182"/>
        <v>0</v>
      </c>
      <c r="J298" s="191"/>
      <c r="K298" s="192"/>
      <c r="L298" s="192"/>
      <c r="M298" s="195">
        <f t="shared" si="183"/>
        <v>0</v>
      </c>
      <c r="N298" s="194">
        <f t="shared" si="184"/>
        <v>0</v>
      </c>
      <c r="O298" s="191"/>
      <c r="P298" s="192"/>
      <c r="Q298" s="192"/>
      <c r="R298" s="195">
        <f t="shared" si="185"/>
        <v>0</v>
      </c>
      <c r="S298" s="194">
        <f t="shared" si="186"/>
        <v>0</v>
      </c>
      <c r="T298" s="191"/>
      <c r="U298" s="192"/>
      <c r="V298" s="192"/>
      <c r="W298" s="195">
        <f t="shared" si="187"/>
        <v>0</v>
      </c>
      <c r="X298" s="194">
        <f t="shared" si="188"/>
        <v>0</v>
      </c>
      <c r="Y298" s="236">
        <f t="shared" si="189"/>
        <v>0</v>
      </c>
      <c r="Z298" s="205">
        <f>(VLOOKUP(B:B,[1]AppLists!M:O,3,FALSE))*$AB$2</f>
        <v>0</v>
      </c>
      <c r="AA298" s="237">
        <f t="shared" si="190"/>
        <v>0</v>
      </c>
    </row>
    <row r="299" spans="1:27" ht="28.35" customHeight="1">
      <c r="A299" s="232">
        <v>247</v>
      </c>
      <c r="B299" s="233" t="s">
        <v>835</v>
      </c>
      <c r="C299" s="234" t="s">
        <v>836</v>
      </c>
      <c r="D299" s="235" t="s">
        <v>620</v>
      </c>
      <c r="E299" s="191"/>
      <c r="F299" s="192"/>
      <c r="G299" s="192"/>
      <c r="H299" s="193">
        <f t="shared" si="181"/>
        <v>0</v>
      </c>
      <c r="I299" s="194">
        <f t="shared" si="182"/>
        <v>0</v>
      </c>
      <c r="J299" s="191"/>
      <c r="K299" s="192"/>
      <c r="L299" s="192"/>
      <c r="M299" s="195">
        <f t="shared" si="183"/>
        <v>0</v>
      </c>
      <c r="N299" s="194">
        <f t="shared" si="184"/>
        <v>0</v>
      </c>
      <c r="O299" s="191"/>
      <c r="P299" s="192"/>
      <c r="Q299" s="192"/>
      <c r="R299" s="195">
        <f t="shared" si="185"/>
        <v>0</v>
      </c>
      <c r="S299" s="194">
        <f t="shared" si="186"/>
        <v>0</v>
      </c>
      <c r="T299" s="191"/>
      <c r="U299" s="192"/>
      <c r="V299" s="192"/>
      <c r="W299" s="195">
        <f t="shared" si="187"/>
        <v>0</v>
      </c>
      <c r="X299" s="194">
        <f t="shared" si="188"/>
        <v>0</v>
      </c>
      <c r="Y299" s="236">
        <f t="shared" si="189"/>
        <v>0</v>
      </c>
      <c r="Z299" s="205">
        <f>(VLOOKUP(B:B,[1]AppLists!M:O,3,FALSE))*$AB$2</f>
        <v>0</v>
      </c>
      <c r="AA299" s="237">
        <f t="shared" si="190"/>
        <v>0</v>
      </c>
    </row>
    <row r="300" spans="1:27" ht="28.35" customHeight="1">
      <c r="A300" s="232">
        <v>248</v>
      </c>
      <c r="B300" s="233" t="s">
        <v>837</v>
      </c>
      <c r="C300" s="234" t="s">
        <v>838</v>
      </c>
      <c r="D300" s="235" t="s">
        <v>620</v>
      </c>
      <c r="E300" s="191"/>
      <c r="F300" s="192"/>
      <c r="G300" s="192"/>
      <c r="H300" s="193">
        <f t="shared" si="181"/>
        <v>0</v>
      </c>
      <c r="I300" s="194">
        <f t="shared" si="182"/>
        <v>0</v>
      </c>
      <c r="J300" s="191"/>
      <c r="K300" s="192"/>
      <c r="L300" s="192"/>
      <c r="M300" s="195">
        <f t="shared" si="183"/>
        <v>0</v>
      </c>
      <c r="N300" s="194">
        <f t="shared" si="184"/>
        <v>0</v>
      </c>
      <c r="O300" s="191"/>
      <c r="P300" s="192"/>
      <c r="Q300" s="192"/>
      <c r="R300" s="195">
        <f t="shared" si="185"/>
        <v>0</v>
      </c>
      <c r="S300" s="194">
        <f t="shared" si="186"/>
        <v>0</v>
      </c>
      <c r="T300" s="191"/>
      <c r="U300" s="192"/>
      <c r="V300" s="192"/>
      <c r="W300" s="195">
        <f t="shared" si="187"/>
        <v>0</v>
      </c>
      <c r="X300" s="194">
        <f t="shared" si="188"/>
        <v>0</v>
      </c>
      <c r="Y300" s="236">
        <f t="shared" si="189"/>
        <v>0</v>
      </c>
      <c r="Z300" s="205">
        <f>(VLOOKUP(B:B,[1]AppLists!M:O,3,FALSE))*$AB$2</f>
        <v>13788.500000000002</v>
      </c>
      <c r="AA300" s="237">
        <f t="shared" si="190"/>
        <v>0</v>
      </c>
    </row>
    <row r="301" spans="1:27" ht="28.35" customHeight="1">
      <c r="A301" s="232">
        <v>249</v>
      </c>
      <c r="B301" s="233" t="s">
        <v>839</v>
      </c>
      <c r="C301" s="234" t="s">
        <v>840</v>
      </c>
      <c r="D301" s="235" t="s">
        <v>620</v>
      </c>
      <c r="E301" s="191"/>
      <c r="F301" s="192"/>
      <c r="G301" s="192"/>
      <c r="H301" s="193">
        <f t="shared" si="181"/>
        <v>0</v>
      </c>
      <c r="I301" s="194">
        <f t="shared" si="182"/>
        <v>0</v>
      </c>
      <c r="J301" s="191"/>
      <c r="K301" s="192"/>
      <c r="L301" s="192"/>
      <c r="M301" s="195">
        <f t="shared" si="183"/>
        <v>0</v>
      </c>
      <c r="N301" s="194">
        <f t="shared" si="184"/>
        <v>0</v>
      </c>
      <c r="O301" s="191"/>
      <c r="P301" s="192"/>
      <c r="Q301" s="192"/>
      <c r="R301" s="195">
        <f t="shared" si="185"/>
        <v>0</v>
      </c>
      <c r="S301" s="194">
        <f t="shared" si="186"/>
        <v>0</v>
      </c>
      <c r="T301" s="191"/>
      <c r="U301" s="192"/>
      <c r="V301" s="192"/>
      <c r="W301" s="195">
        <f t="shared" si="187"/>
        <v>0</v>
      </c>
      <c r="X301" s="194">
        <f t="shared" si="188"/>
        <v>0</v>
      </c>
      <c r="Y301" s="236">
        <f t="shared" si="189"/>
        <v>0</v>
      </c>
      <c r="Z301" s="205">
        <f>(VLOOKUP(B:B,[1]AppLists!M:O,3,FALSE))*$AB$2</f>
        <v>3041.1000000000004</v>
      </c>
      <c r="AA301" s="237">
        <f t="shared" si="190"/>
        <v>0</v>
      </c>
    </row>
    <row r="302" spans="1:27" ht="28.35" customHeight="1">
      <c r="A302" s="232">
        <v>250</v>
      </c>
      <c r="B302" s="233" t="s">
        <v>841</v>
      </c>
      <c r="C302" s="234" t="s">
        <v>842</v>
      </c>
      <c r="D302" s="235" t="s">
        <v>620</v>
      </c>
      <c r="E302" s="191"/>
      <c r="F302" s="192"/>
      <c r="G302" s="192"/>
      <c r="H302" s="193">
        <f t="shared" si="181"/>
        <v>0</v>
      </c>
      <c r="I302" s="194">
        <f t="shared" si="182"/>
        <v>0</v>
      </c>
      <c r="J302" s="191"/>
      <c r="K302" s="192"/>
      <c r="L302" s="192"/>
      <c r="M302" s="195">
        <f t="shared" si="183"/>
        <v>0</v>
      </c>
      <c r="N302" s="194">
        <f t="shared" si="184"/>
        <v>0</v>
      </c>
      <c r="O302" s="191"/>
      <c r="P302" s="192"/>
      <c r="Q302" s="192"/>
      <c r="R302" s="195">
        <f t="shared" si="185"/>
        <v>0</v>
      </c>
      <c r="S302" s="194">
        <f t="shared" si="186"/>
        <v>0</v>
      </c>
      <c r="T302" s="191"/>
      <c r="U302" s="192"/>
      <c r="V302" s="192"/>
      <c r="W302" s="195">
        <f t="shared" si="187"/>
        <v>0</v>
      </c>
      <c r="X302" s="194">
        <f t="shared" si="188"/>
        <v>0</v>
      </c>
      <c r="Y302" s="236">
        <f t="shared" si="189"/>
        <v>0</v>
      </c>
      <c r="Z302" s="205">
        <f>(VLOOKUP(B:B,[1]AppLists!M:O,3,FALSE))*$AB$2</f>
        <v>3084.7000000000003</v>
      </c>
      <c r="AA302" s="237">
        <f t="shared" si="190"/>
        <v>0</v>
      </c>
    </row>
    <row r="303" spans="1:27" ht="28.35" customHeight="1">
      <c r="A303" s="232">
        <v>251</v>
      </c>
      <c r="B303" s="233" t="s">
        <v>843</v>
      </c>
      <c r="C303" s="234" t="s">
        <v>844</v>
      </c>
      <c r="D303" s="235" t="s">
        <v>620</v>
      </c>
      <c r="E303" s="191"/>
      <c r="F303" s="192"/>
      <c r="G303" s="192"/>
      <c r="H303" s="193">
        <f t="shared" si="181"/>
        <v>0</v>
      </c>
      <c r="I303" s="194">
        <f t="shared" si="182"/>
        <v>0</v>
      </c>
      <c r="J303" s="191"/>
      <c r="K303" s="192"/>
      <c r="L303" s="192"/>
      <c r="M303" s="195">
        <f t="shared" si="183"/>
        <v>0</v>
      </c>
      <c r="N303" s="194">
        <f t="shared" si="184"/>
        <v>0</v>
      </c>
      <c r="O303" s="191"/>
      <c r="P303" s="192"/>
      <c r="Q303" s="192"/>
      <c r="R303" s="195">
        <f t="shared" si="185"/>
        <v>0</v>
      </c>
      <c r="S303" s="194">
        <f t="shared" si="186"/>
        <v>0</v>
      </c>
      <c r="T303" s="191"/>
      <c r="U303" s="192"/>
      <c r="V303" s="192"/>
      <c r="W303" s="195">
        <f t="shared" si="187"/>
        <v>0</v>
      </c>
      <c r="X303" s="194">
        <f t="shared" si="188"/>
        <v>0</v>
      </c>
      <c r="Y303" s="236">
        <f t="shared" si="189"/>
        <v>0</v>
      </c>
      <c r="Z303" s="205">
        <f>(VLOOKUP(B:B,[1]AppLists!M:O,3,FALSE))*$AB$2</f>
        <v>3084.7000000000003</v>
      </c>
      <c r="AA303" s="237">
        <f t="shared" si="190"/>
        <v>0</v>
      </c>
    </row>
    <row r="304" spans="1:27" ht="28.35" customHeight="1">
      <c r="A304" s="232">
        <v>252</v>
      </c>
      <c r="B304" s="233" t="s">
        <v>845</v>
      </c>
      <c r="C304" s="234" t="s">
        <v>846</v>
      </c>
      <c r="D304" s="235" t="s">
        <v>620</v>
      </c>
      <c r="E304" s="191"/>
      <c r="F304" s="192"/>
      <c r="G304" s="192"/>
      <c r="H304" s="193">
        <f t="shared" si="181"/>
        <v>0</v>
      </c>
      <c r="I304" s="194">
        <f t="shared" si="182"/>
        <v>0</v>
      </c>
      <c r="J304" s="191"/>
      <c r="K304" s="192"/>
      <c r="L304" s="192"/>
      <c r="M304" s="195">
        <f t="shared" si="183"/>
        <v>0</v>
      </c>
      <c r="N304" s="194">
        <f t="shared" si="184"/>
        <v>0</v>
      </c>
      <c r="O304" s="191"/>
      <c r="P304" s="192"/>
      <c r="Q304" s="192"/>
      <c r="R304" s="195">
        <f t="shared" si="185"/>
        <v>0</v>
      </c>
      <c r="S304" s="194">
        <f t="shared" si="186"/>
        <v>0</v>
      </c>
      <c r="T304" s="191"/>
      <c r="U304" s="192"/>
      <c r="V304" s="192"/>
      <c r="W304" s="195">
        <f t="shared" si="187"/>
        <v>0</v>
      </c>
      <c r="X304" s="194">
        <f t="shared" si="188"/>
        <v>0</v>
      </c>
      <c r="Y304" s="236">
        <f t="shared" si="189"/>
        <v>0</v>
      </c>
      <c r="Z304" s="205">
        <f>(VLOOKUP(B:B,[1]AppLists!M:O,3,FALSE))*$AB$2</f>
        <v>3084.7000000000003</v>
      </c>
      <c r="AA304" s="237">
        <f t="shared" si="190"/>
        <v>0</v>
      </c>
    </row>
    <row r="305" spans="1:27" ht="28.35" customHeight="1">
      <c r="A305" s="232">
        <v>253</v>
      </c>
      <c r="B305" s="233" t="s">
        <v>847</v>
      </c>
      <c r="C305" s="234" t="s">
        <v>848</v>
      </c>
      <c r="D305" s="235" t="s">
        <v>620</v>
      </c>
      <c r="E305" s="191"/>
      <c r="F305" s="192"/>
      <c r="G305" s="192"/>
      <c r="H305" s="193">
        <f t="shared" si="181"/>
        <v>0</v>
      </c>
      <c r="I305" s="194">
        <f t="shared" si="182"/>
        <v>0</v>
      </c>
      <c r="J305" s="191"/>
      <c r="K305" s="192"/>
      <c r="L305" s="192"/>
      <c r="M305" s="195">
        <f t="shared" si="183"/>
        <v>0</v>
      </c>
      <c r="N305" s="194">
        <f t="shared" si="184"/>
        <v>0</v>
      </c>
      <c r="O305" s="191"/>
      <c r="P305" s="192"/>
      <c r="Q305" s="192"/>
      <c r="R305" s="195">
        <f t="shared" si="185"/>
        <v>0</v>
      </c>
      <c r="S305" s="194">
        <f t="shared" si="186"/>
        <v>0</v>
      </c>
      <c r="T305" s="191"/>
      <c r="U305" s="192"/>
      <c r="V305" s="192"/>
      <c r="W305" s="195">
        <f t="shared" si="187"/>
        <v>0</v>
      </c>
      <c r="X305" s="194">
        <f t="shared" si="188"/>
        <v>0</v>
      </c>
      <c r="Y305" s="236">
        <f t="shared" si="189"/>
        <v>0</v>
      </c>
      <c r="Z305" s="205">
        <f>(VLOOKUP(B:B,[1]AppLists!M:O,3,FALSE))*$AB$2</f>
        <v>7744.4500000000007</v>
      </c>
      <c r="AA305" s="237">
        <f t="shared" si="190"/>
        <v>0</v>
      </c>
    </row>
    <row r="306" spans="1:27" ht="28.35" customHeight="1">
      <c r="A306" s="232">
        <v>254</v>
      </c>
      <c r="B306" s="233" t="s">
        <v>849</v>
      </c>
      <c r="C306" s="234" t="s">
        <v>850</v>
      </c>
      <c r="D306" s="235" t="s">
        <v>620</v>
      </c>
      <c r="E306" s="191"/>
      <c r="F306" s="192"/>
      <c r="G306" s="192"/>
      <c r="H306" s="193">
        <f t="shared" si="181"/>
        <v>0</v>
      </c>
      <c r="I306" s="194">
        <f t="shared" si="182"/>
        <v>0</v>
      </c>
      <c r="J306" s="191"/>
      <c r="K306" s="192"/>
      <c r="L306" s="192"/>
      <c r="M306" s="195">
        <f t="shared" si="183"/>
        <v>0</v>
      </c>
      <c r="N306" s="194">
        <f t="shared" si="184"/>
        <v>0</v>
      </c>
      <c r="O306" s="191"/>
      <c r="P306" s="192"/>
      <c r="Q306" s="192"/>
      <c r="R306" s="195">
        <f t="shared" si="185"/>
        <v>0</v>
      </c>
      <c r="S306" s="194">
        <f t="shared" si="186"/>
        <v>0</v>
      </c>
      <c r="T306" s="191"/>
      <c r="U306" s="192"/>
      <c r="V306" s="192"/>
      <c r="W306" s="195">
        <f t="shared" si="187"/>
        <v>0</v>
      </c>
      <c r="X306" s="194">
        <f t="shared" si="188"/>
        <v>0</v>
      </c>
      <c r="Y306" s="236">
        <f t="shared" si="189"/>
        <v>0</v>
      </c>
      <c r="Z306" s="205">
        <f>(VLOOKUP(B:B,[1]AppLists!M:O,3,FALSE))*$AB$2</f>
        <v>0</v>
      </c>
      <c r="AA306" s="237">
        <f t="shared" si="190"/>
        <v>0</v>
      </c>
    </row>
    <row r="307" spans="1:27" ht="28.35" customHeight="1">
      <c r="A307" s="232">
        <v>255</v>
      </c>
      <c r="B307" s="233" t="s">
        <v>851</v>
      </c>
      <c r="C307" s="234" t="s">
        <v>852</v>
      </c>
      <c r="D307" s="235" t="s">
        <v>620</v>
      </c>
      <c r="E307" s="191"/>
      <c r="F307" s="192"/>
      <c r="G307" s="192"/>
      <c r="H307" s="193">
        <f t="shared" si="181"/>
        <v>0</v>
      </c>
      <c r="I307" s="194">
        <f t="shared" si="182"/>
        <v>0</v>
      </c>
      <c r="J307" s="191"/>
      <c r="K307" s="192"/>
      <c r="L307" s="192"/>
      <c r="M307" s="195">
        <f t="shared" si="183"/>
        <v>0</v>
      </c>
      <c r="N307" s="194">
        <f t="shared" si="184"/>
        <v>0</v>
      </c>
      <c r="O307" s="191"/>
      <c r="P307" s="192"/>
      <c r="Q307" s="192"/>
      <c r="R307" s="195">
        <f t="shared" si="185"/>
        <v>0</v>
      </c>
      <c r="S307" s="194">
        <f t="shared" si="186"/>
        <v>0</v>
      </c>
      <c r="T307" s="191"/>
      <c r="U307" s="192"/>
      <c r="V307" s="192"/>
      <c r="W307" s="195">
        <f t="shared" si="187"/>
        <v>0</v>
      </c>
      <c r="X307" s="194">
        <f t="shared" si="188"/>
        <v>0</v>
      </c>
      <c r="Y307" s="236">
        <f t="shared" si="189"/>
        <v>0</v>
      </c>
      <c r="Z307" s="205">
        <f>(VLOOKUP(B:B,[1]AppLists!M:O,3,FALSE))*$AB$2</f>
        <v>9929.9000000000015</v>
      </c>
      <c r="AA307" s="237">
        <f t="shared" si="190"/>
        <v>0</v>
      </c>
    </row>
    <row r="308" spans="1:27" ht="28.35" customHeight="1">
      <c r="A308" s="232">
        <v>256</v>
      </c>
      <c r="B308" s="233" t="s">
        <v>853</v>
      </c>
      <c r="C308" s="234" t="s">
        <v>854</v>
      </c>
      <c r="D308" s="235" t="s">
        <v>620</v>
      </c>
      <c r="E308" s="191"/>
      <c r="F308" s="192"/>
      <c r="G308" s="192"/>
      <c r="H308" s="193">
        <f t="shared" si="181"/>
        <v>0</v>
      </c>
      <c r="I308" s="194">
        <f t="shared" si="182"/>
        <v>0</v>
      </c>
      <c r="J308" s="191"/>
      <c r="K308" s="192"/>
      <c r="L308" s="192"/>
      <c r="M308" s="195">
        <f t="shared" si="183"/>
        <v>0</v>
      </c>
      <c r="N308" s="194">
        <f t="shared" si="184"/>
        <v>0</v>
      </c>
      <c r="O308" s="191"/>
      <c r="P308" s="192"/>
      <c r="Q308" s="192"/>
      <c r="R308" s="195">
        <f t="shared" si="185"/>
        <v>0</v>
      </c>
      <c r="S308" s="194">
        <f t="shared" si="186"/>
        <v>0</v>
      </c>
      <c r="T308" s="191"/>
      <c r="U308" s="192"/>
      <c r="V308" s="192"/>
      <c r="W308" s="195">
        <f t="shared" si="187"/>
        <v>0</v>
      </c>
      <c r="X308" s="194">
        <f t="shared" si="188"/>
        <v>0</v>
      </c>
      <c r="Y308" s="236">
        <f t="shared" si="189"/>
        <v>0</v>
      </c>
      <c r="Z308" s="205">
        <f>(VLOOKUP(B:B,[1]AppLists!M:O,3,FALSE))*$AB$2</f>
        <v>0</v>
      </c>
      <c r="AA308" s="237">
        <f t="shared" si="190"/>
        <v>0</v>
      </c>
    </row>
    <row r="309" spans="1:27" ht="28.35" customHeight="1">
      <c r="A309" s="232">
        <v>257</v>
      </c>
      <c r="B309" s="233" t="s">
        <v>855</v>
      </c>
      <c r="C309" s="234" t="s">
        <v>856</v>
      </c>
      <c r="D309" s="235" t="s">
        <v>620</v>
      </c>
      <c r="E309" s="191"/>
      <c r="F309" s="192"/>
      <c r="G309" s="192"/>
      <c r="H309" s="193">
        <f t="shared" si="181"/>
        <v>0</v>
      </c>
      <c r="I309" s="194">
        <f t="shared" si="182"/>
        <v>0</v>
      </c>
      <c r="J309" s="191"/>
      <c r="K309" s="192"/>
      <c r="L309" s="192"/>
      <c r="M309" s="195">
        <f t="shared" si="183"/>
        <v>0</v>
      </c>
      <c r="N309" s="194">
        <f t="shared" si="184"/>
        <v>0</v>
      </c>
      <c r="O309" s="191"/>
      <c r="P309" s="192"/>
      <c r="Q309" s="192"/>
      <c r="R309" s="195">
        <f t="shared" si="185"/>
        <v>0</v>
      </c>
      <c r="S309" s="194">
        <f t="shared" si="186"/>
        <v>0</v>
      </c>
      <c r="T309" s="191"/>
      <c r="U309" s="192"/>
      <c r="V309" s="192"/>
      <c r="W309" s="195">
        <f t="shared" si="187"/>
        <v>0</v>
      </c>
      <c r="X309" s="194">
        <f t="shared" si="188"/>
        <v>0</v>
      </c>
      <c r="Y309" s="236">
        <f t="shared" si="189"/>
        <v>0</v>
      </c>
      <c r="Z309" s="205">
        <f>(VLOOKUP(B:B,[1]AppLists!M:O,3,FALSE))*$AB$2</f>
        <v>9929.9000000000015</v>
      </c>
      <c r="AA309" s="237">
        <f t="shared" si="190"/>
        <v>0</v>
      </c>
    </row>
    <row r="310" spans="1:27" ht="28.35" customHeight="1">
      <c r="A310" s="232">
        <v>258</v>
      </c>
      <c r="B310" s="233" t="s">
        <v>857</v>
      </c>
      <c r="C310" s="234" t="s">
        <v>858</v>
      </c>
      <c r="D310" s="235" t="s">
        <v>620</v>
      </c>
      <c r="E310" s="191"/>
      <c r="F310" s="192"/>
      <c r="G310" s="192"/>
      <c r="H310" s="193">
        <f t="shared" si="181"/>
        <v>0</v>
      </c>
      <c r="I310" s="194">
        <f t="shared" si="182"/>
        <v>0</v>
      </c>
      <c r="J310" s="191"/>
      <c r="K310" s="192"/>
      <c r="L310" s="192"/>
      <c r="M310" s="195">
        <f t="shared" si="183"/>
        <v>0</v>
      </c>
      <c r="N310" s="194">
        <f t="shared" si="184"/>
        <v>0</v>
      </c>
      <c r="O310" s="191"/>
      <c r="P310" s="192"/>
      <c r="Q310" s="192"/>
      <c r="R310" s="195">
        <f t="shared" si="185"/>
        <v>0</v>
      </c>
      <c r="S310" s="194">
        <f t="shared" si="186"/>
        <v>0</v>
      </c>
      <c r="T310" s="191"/>
      <c r="U310" s="192"/>
      <c r="V310" s="192"/>
      <c r="W310" s="195">
        <f t="shared" si="187"/>
        <v>0</v>
      </c>
      <c r="X310" s="194">
        <f t="shared" si="188"/>
        <v>0</v>
      </c>
      <c r="Y310" s="236">
        <f t="shared" si="189"/>
        <v>0</v>
      </c>
      <c r="Z310" s="205">
        <f>(VLOOKUP(B:B,[1]AppLists!M:O,3,FALSE))*$AB$2</f>
        <v>0</v>
      </c>
      <c r="AA310" s="237">
        <f t="shared" si="190"/>
        <v>0</v>
      </c>
    </row>
    <row r="311" spans="1:27" ht="28.35" customHeight="1">
      <c r="A311" s="232">
        <v>259</v>
      </c>
      <c r="B311" s="233" t="s">
        <v>859</v>
      </c>
      <c r="C311" s="234" t="s">
        <v>860</v>
      </c>
      <c r="D311" s="235" t="s">
        <v>620</v>
      </c>
      <c r="E311" s="191"/>
      <c r="F311" s="192"/>
      <c r="G311" s="192"/>
      <c r="H311" s="193">
        <f t="shared" si="181"/>
        <v>0</v>
      </c>
      <c r="I311" s="194">
        <f t="shared" si="182"/>
        <v>0</v>
      </c>
      <c r="J311" s="191"/>
      <c r="K311" s="192"/>
      <c r="L311" s="192"/>
      <c r="M311" s="195">
        <f t="shared" si="183"/>
        <v>0</v>
      </c>
      <c r="N311" s="194">
        <f t="shared" si="184"/>
        <v>0</v>
      </c>
      <c r="O311" s="191"/>
      <c r="P311" s="192"/>
      <c r="Q311" s="192"/>
      <c r="R311" s="195">
        <f t="shared" si="185"/>
        <v>0</v>
      </c>
      <c r="S311" s="194">
        <f t="shared" si="186"/>
        <v>0</v>
      </c>
      <c r="T311" s="191"/>
      <c r="U311" s="192"/>
      <c r="V311" s="192"/>
      <c r="W311" s="195">
        <f t="shared" si="187"/>
        <v>0</v>
      </c>
      <c r="X311" s="194">
        <f t="shared" si="188"/>
        <v>0</v>
      </c>
      <c r="Y311" s="236">
        <f t="shared" si="189"/>
        <v>0</v>
      </c>
      <c r="Z311" s="205">
        <f>(VLOOKUP(B:B,[1]AppLists!M:O,3,FALSE))*$AB$2</f>
        <v>9929.9000000000015</v>
      </c>
      <c r="AA311" s="237">
        <f t="shared" si="190"/>
        <v>0</v>
      </c>
    </row>
    <row r="312" spans="1:27" ht="28.35" customHeight="1">
      <c r="A312" s="232">
        <v>260</v>
      </c>
      <c r="B312" s="233" t="s">
        <v>861</v>
      </c>
      <c r="C312" s="234" t="s">
        <v>862</v>
      </c>
      <c r="D312" s="235" t="s">
        <v>620</v>
      </c>
      <c r="E312" s="191"/>
      <c r="F312" s="192"/>
      <c r="G312" s="192"/>
      <c r="H312" s="193">
        <f t="shared" si="181"/>
        <v>0</v>
      </c>
      <c r="I312" s="194">
        <f t="shared" si="182"/>
        <v>0</v>
      </c>
      <c r="J312" s="191"/>
      <c r="K312" s="192"/>
      <c r="L312" s="192"/>
      <c r="M312" s="195">
        <f t="shared" si="183"/>
        <v>0</v>
      </c>
      <c r="N312" s="194">
        <f t="shared" si="184"/>
        <v>0</v>
      </c>
      <c r="O312" s="191"/>
      <c r="P312" s="192"/>
      <c r="Q312" s="192"/>
      <c r="R312" s="195">
        <f t="shared" si="185"/>
        <v>0</v>
      </c>
      <c r="S312" s="194">
        <f t="shared" si="186"/>
        <v>0</v>
      </c>
      <c r="T312" s="191"/>
      <c r="U312" s="192"/>
      <c r="V312" s="192"/>
      <c r="W312" s="195">
        <f t="shared" si="187"/>
        <v>0</v>
      </c>
      <c r="X312" s="194">
        <f t="shared" si="188"/>
        <v>0</v>
      </c>
      <c r="Y312" s="236">
        <f t="shared" si="189"/>
        <v>0</v>
      </c>
      <c r="Z312" s="205">
        <f>(VLOOKUP(B:B,[1]AppLists!M:O,3,FALSE))*$AB$2</f>
        <v>0</v>
      </c>
      <c r="AA312" s="237">
        <f t="shared" si="190"/>
        <v>0</v>
      </c>
    </row>
    <row r="313" spans="1:27" ht="28.35" customHeight="1">
      <c r="A313" s="232">
        <v>261</v>
      </c>
      <c r="B313" s="233" t="s">
        <v>863</v>
      </c>
      <c r="C313" s="234" t="s">
        <v>864</v>
      </c>
      <c r="D313" s="235" t="s">
        <v>620</v>
      </c>
      <c r="E313" s="191"/>
      <c r="F313" s="192"/>
      <c r="G313" s="192"/>
      <c r="H313" s="193">
        <f t="shared" si="181"/>
        <v>0</v>
      </c>
      <c r="I313" s="194">
        <f t="shared" si="182"/>
        <v>0</v>
      </c>
      <c r="J313" s="191"/>
      <c r="K313" s="192"/>
      <c r="L313" s="192"/>
      <c r="M313" s="195">
        <f t="shared" si="183"/>
        <v>0</v>
      </c>
      <c r="N313" s="194">
        <f t="shared" si="184"/>
        <v>0</v>
      </c>
      <c r="O313" s="191"/>
      <c r="P313" s="192"/>
      <c r="Q313" s="192"/>
      <c r="R313" s="195">
        <f t="shared" si="185"/>
        <v>0</v>
      </c>
      <c r="S313" s="194">
        <f t="shared" si="186"/>
        <v>0</v>
      </c>
      <c r="T313" s="191"/>
      <c r="U313" s="192"/>
      <c r="V313" s="192"/>
      <c r="W313" s="195">
        <f t="shared" si="187"/>
        <v>0</v>
      </c>
      <c r="X313" s="194">
        <f t="shared" si="188"/>
        <v>0</v>
      </c>
      <c r="Y313" s="236">
        <f t="shared" si="189"/>
        <v>0</v>
      </c>
      <c r="Z313" s="205">
        <f>(VLOOKUP(B:B,[1]AppLists!M:O,3,FALSE))*$AB$2</f>
        <v>0</v>
      </c>
      <c r="AA313" s="237">
        <f t="shared" si="190"/>
        <v>0</v>
      </c>
    </row>
    <row r="314" spans="1:27" ht="28.35" customHeight="1">
      <c r="A314" s="232">
        <v>262</v>
      </c>
      <c r="B314" s="233" t="s">
        <v>865</v>
      </c>
      <c r="C314" s="234" t="s">
        <v>866</v>
      </c>
      <c r="D314" s="235" t="s">
        <v>620</v>
      </c>
      <c r="E314" s="191"/>
      <c r="F314" s="192"/>
      <c r="G314" s="192"/>
      <c r="H314" s="193">
        <f t="shared" si="181"/>
        <v>0</v>
      </c>
      <c r="I314" s="194">
        <f t="shared" si="182"/>
        <v>0</v>
      </c>
      <c r="J314" s="191"/>
      <c r="K314" s="192"/>
      <c r="L314" s="192"/>
      <c r="M314" s="195">
        <f t="shared" si="183"/>
        <v>0</v>
      </c>
      <c r="N314" s="194">
        <f t="shared" si="184"/>
        <v>0</v>
      </c>
      <c r="O314" s="191"/>
      <c r="P314" s="192"/>
      <c r="Q314" s="192"/>
      <c r="R314" s="195">
        <f t="shared" si="185"/>
        <v>0</v>
      </c>
      <c r="S314" s="194">
        <f t="shared" si="186"/>
        <v>0</v>
      </c>
      <c r="T314" s="191"/>
      <c r="U314" s="192"/>
      <c r="V314" s="192"/>
      <c r="W314" s="195">
        <f t="shared" si="187"/>
        <v>0</v>
      </c>
      <c r="X314" s="194">
        <f t="shared" si="188"/>
        <v>0</v>
      </c>
      <c r="Y314" s="236">
        <f t="shared" si="189"/>
        <v>0</v>
      </c>
      <c r="Z314" s="205">
        <f>(VLOOKUP(B:B,[1]AppLists!M:O,3,FALSE))*$AB$2</f>
        <v>0</v>
      </c>
      <c r="AA314" s="237">
        <f t="shared" si="190"/>
        <v>0</v>
      </c>
    </row>
    <row r="315" spans="1:27" ht="28.35" customHeight="1">
      <c r="A315" s="232">
        <v>263</v>
      </c>
      <c r="B315" s="233" t="s">
        <v>867</v>
      </c>
      <c r="C315" s="234" t="s">
        <v>868</v>
      </c>
      <c r="D315" s="235" t="s">
        <v>620</v>
      </c>
      <c r="E315" s="191"/>
      <c r="F315" s="192"/>
      <c r="G315" s="192"/>
      <c r="H315" s="193">
        <f t="shared" si="181"/>
        <v>0</v>
      </c>
      <c r="I315" s="194">
        <f t="shared" si="182"/>
        <v>0</v>
      </c>
      <c r="J315" s="191"/>
      <c r="K315" s="192"/>
      <c r="L315" s="192"/>
      <c r="M315" s="195">
        <f t="shared" si="183"/>
        <v>0</v>
      </c>
      <c r="N315" s="194">
        <f t="shared" si="184"/>
        <v>0</v>
      </c>
      <c r="O315" s="191"/>
      <c r="P315" s="192"/>
      <c r="Q315" s="192"/>
      <c r="R315" s="195">
        <f t="shared" si="185"/>
        <v>0</v>
      </c>
      <c r="S315" s="194">
        <f t="shared" si="186"/>
        <v>0</v>
      </c>
      <c r="T315" s="191"/>
      <c r="U315" s="192"/>
      <c r="V315" s="192"/>
      <c r="W315" s="195">
        <f t="shared" si="187"/>
        <v>0</v>
      </c>
      <c r="X315" s="194">
        <f t="shared" si="188"/>
        <v>0</v>
      </c>
      <c r="Y315" s="236">
        <f t="shared" si="189"/>
        <v>0</v>
      </c>
      <c r="Z315" s="205">
        <f>(VLOOKUP(B:B,[1]AppLists!M:O,3,FALSE))*$AB$2</f>
        <v>0</v>
      </c>
      <c r="AA315" s="237">
        <f t="shared" si="190"/>
        <v>0</v>
      </c>
    </row>
    <row r="316" spans="1:27" ht="28.35" customHeight="1">
      <c r="A316" s="232">
        <v>264</v>
      </c>
      <c r="B316" s="233" t="s">
        <v>869</v>
      </c>
      <c r="C316" s="234" t="s">
        <v>870</v>
      </c>
      <c r="D316" s="235" t="s">
        <v>620</v>
      </c>
      <c r="E316" s="191"/>
      <c r="F316" s="192"/>
      <c r="G316" s="192"/>
      <c r="H316" s="193">
        <f t="shared" si="181"/>
        <v>0</v>
      </c>
      <c r="I316" s="194">
        <f t="shared" si="182"/>
        <v>0</v>
      </c>
      <c r="J316" s="191"/>
      <c r="K316" s="192"/>
      <c r="L316" s="192"/>
      <c r="M316" s="195">
        <f t="shared" si="183"/>
        <v>0</v>
      </c>
      <c r="N316" s="194">
        <f t="shared" si="184"/>
        <v>0</v>
      </c>
      <c r="O316" s="191"/>
      <c r="P316" s="192"/>
      <c r="Q316" s="192"/>
      <c r="R316" s="195">
        <f t="shared" si="185"/>
        <v>0</v>
      </c>
      <c r="S316" s="194">
        <f t="shared" si="186"/>
        <v>0</v>
      </c>
      <c r="T316" s="191"/>
      <c r="U316" s="192"/>
      <c r="V316" s="192"/>
      <c r="W316" s="195">
        <f t="shared" si="187"/>
        <v>0</v>
      </c>
      <c r="X316" s="194">
        <f t="shared" si="188"/>
        <v>0</v>
      </c>
      <c r="Y316" s="236">
        <f t="shared" si="189"/>
        <v>0</v>
      </c>
      <c r="Z316" s="205">
        <f>(VLOOKUP(B:B,[1]AppLists!M:O,3,FALSE))*$AB$2</f>
        <v>0</v>
      </c>
      <c r="AA316" s="237">
        <f t="shared" si="190"/>
        <v>0</v>
      </c>
    </row>
    <row r="317" spans="1:27" ht="28.35" customHeight="1">
      <c r="A317" s="232">
        <v>265</v>
      </c>
      <c r="B317" s="233" t="s">
        <v>871</v>
      </c>
      <c r="C317" s="234" t="s">
        <v>872</v>
      </c>
      <c r="D317" s="235" t="s">
        <v>620</v>
      </c>
      <c r="E317" s="191"/>
      <c r="F317" s="192"/>
      <c r="G317" s="192"/>
      <c r="H317" s="193">
        <f t="shared" si="181"/>
        <v>0</v>
      </c>
      <c r="I317" s="194">
        <f t="shared" si="182"/>
        <v>0</v>
      </c>
      <c r="J317" s="191"/>
      <c r="K317" s="192"/>
      <c r="L317" s="192"/>
      <c r="M317" s="195">
        <f t="shared" si="183"/>
        <v>0</v>
      </c>
      <c r="N317" s="194">
        <f t="shared" si="184"/>
        <v>0</v>
      </c>
      <c r="O317" s="191"/>
      <c r="P317" s="192"/>
      <c r="Q317" s="192"/>
      <c r="R317" s="195">
        <f t="shared" si="185"/>
        <v>0</v>
      </c>
      <c r="S317" s="194">
        <f t="shared" si="186"/>
        <v>0</v>
      </c>
      <c r="T317" s="191"/>
      <c r="U317" s="192"/>
      <c r="V317" s="192"/>
      <c r="W317" s="195">
        <f t="shared" si="187"/>
        <v>0</v>
      </c>
      <c r="X317" s="194">
        <f t="shared" si="188"/>
        <v>0</v>
      </c>
      <c r="Y317" s="236">
        <f t="shared" si="189"/>
        <v>0</v>
      </c>
      <c r="Z317" s="205">
        <f>(VLOOKUP(B:B,[1]AppLists!M:O,3,FALSE))*$AB$2</f>
        <v>4654.3</v>
      </c>
      <c r="AA317" s="237">
        <f t="shared" si="190"/>
        <v>0</v>
      </c>
    </row>
    <row r="318" spans="1:27" ht="28.35" customHeight="1">
      <c r="A318" s="232">
        <v>266</v>
      </c>
      <c r="B318" s="233" t="s">
        <v>873</v>
      </c>
      <c r="C318" s="234" t="s">
        <v>874</v>
      </c>
      <c r="D318" s="235" t="s">
        <v>620</v>
      </c>
      <c r="E318" s="191"/>
      <c r="F318" s="192"/>
      <c r="G318" s="192"/>
      <c r="H318" s="193">
        <f t="shared" si="181"/>
        <v>0</v>
      </c>
      <c r="I318" s="194">
        <f t="shared" si="182"/>
        <v>0</v>
      </c>
      <c r="J318" s="191"/>
      <c r="K318" s="192"/>
      <c r="L318" s="192"/>
      <c r="M318" s="195">
        <f t="shared" si="183"/>
        <v>0</v>
      </c>
      <c r="N318" s="194">
        <f t="shared" si="184"/>
        <v>0</v>
      </c>
      <c r="O318" s="191"/>
      <c r="P318" s="192"/>
      <c r="Q318" s="192"/>
      <c r="R318" s="195">
        <f t="shared" si="185"/>
        <v>0</v>
      </c>
      <c r="S318" s="194">
        <f t="shared" si="186"/>
        <v>0</v>
      </c>
      <c r="T318" s="191"/>
      <c r="U318" s="192"/>
      <c r="V318" s="192"/>
      <c r="W318" s="195">
        <f t="shared" si="187"/>
        <v>0</v>
      </c>
      <c r="X318" s="194">
        <f t="shared" si="188"/>
        <v>0</v>
      </c>
      <c r="Y318" s="236">
        <f t="shared" si="189"/>
        <v>0</v>
      </c>
      <c r="Z318" s="205">
        <f>(VLOOKUP(B:B,[1]AppLists!M:O,3,FALSE))*$AB$2</f>
        <v>7798.9500000000007</v>
      </c>
      <c r="AA318" s="237">
        <f t="shared" si="190"/>
        <v>0</v>
      </c>
    </row>
    <row r="319" spans="1:27" ht="28.35" customHeight="1">
      <c r="A319" s="232">
        <v>267</v>
      </c>
      <c r="B319" s="233" t="s">
        <v>875</v>
      </c>
      <c r="C319" s="234" t="s">
        <v>876</v>
      </c>
      <c r="D319" s="235" t="s">
        <v>620</v>
      </c>
      <c r="E319" s="191"/>
      <c r="F319" s="192"/>
      <c r="G319" s="192"/>
      <c r="H319" s="193">
        <f t="shared" ref="H319:H342" si="191">SUM(E319:G319)</f>
        <v>0</v>
      </c>
      <c r="I319" s="194">
        <f t="shared" ref="I319:I342" si="192">H319*Z319</f>
        <v>0</v>
      </c>
      <c r="J319" s="191"/>
      <c r="K319" s="192"/>
      <c r="L319" s="192"/>
      <c r="M319" s="195">
        <f t="shared" ref="M319:M342" si="193">SUM(J319:L319)</f>
        <v>0</v>
      </c>
      <c r="N319" s="194">
        <f t="shared" ref="N319:N342" si="194">M319*Z319</f>
        <v>0</v>
      </c>
      <c r="O319" s="191"/>
      <c r="P319" s="192"/>
      <c r="Q319" s="192"/>
      <c r="R319" s="195">
        <f t="shared" ref="R319:R342" si="195">SUM(O319:Q319)</f>
        <v>0</v>
      </c>
      <c r="S319" s="194">
        <f t="shared" ref="S319:S342" si="196">R319*Z319</f>
        <v>0</v>
      </c>
      <c r="T319" s="191"/>
      <c r="U319" s="192"/>
      <c r="V319" s="192"/>
      <c r="W319" s="195">
        <f t="shared" ref="W319:W342" si="197">SUM(T319:V319)</f>
        <v>0</v>
      </c>
      <c r="X319" s="194">
        <f t="shared" ref="X319:X342" si="198">W319*Z319</f>
        <v>0</v>
      </c>
      <c r="Y319" s="236">
        <f t="shared" ref="Y319:Y342" si="199">H319+M319+R319+W319</f>
        <v>0</v>
      </c>
      <c r="Z319" s="205">
        <f>(VLOOKUP(B:B,[1]AppLists!M:O,3,FALSE))*$AB$2</f>
        <v>5291.9500000000007</v>
      </c>
      <c r="AA319" s="237">
        <f t="shared" ref="AA319:AA342" si="200">Y319*Z319</f>
        <v>0</v>
      </c>
    </row>
    <row r="320" spans="1:27" ht="28.35" customHeight="1">
      <c r="A320" s="232">
        <v>268</v>
      </c>
      <c r="B320" s="233" t="s">
        <v>877</v>
      </c>
      <c r="C320" s="234" t="s">
        <v>878</v>
      </c>
      <c r="D320" s="235" t="s">
        <v>620</v>
      </c>
      <c r="E320" s="191"/>
      <c r="F320" s="192"/>
      <c r="G320" s="192"/>
      <c r="H320" s="193">
        <f t="shared" si="191"/>
        <v>0</v>
      </c>
      <c r="I320" s="194">
        <f t="shared" si="192"/>
        <v>0</v>
      </c>
      <c r="J320" s="191"/>
      <c r="K320" s="192"/>
      <c r="L320" s="192"/>
      <c r="M320" s="195">
        <f t="shared" si="193"/>
        <v>0</v>
      </c>
      <c r="N320" s="194">
        <f t="shared" si="194"/>
        <v>0</v>
      </c>
      <c r="O320" s="191"/>
      <c r="P320" s="192"/>
      <c r="Q320" s="192"/>
      <c r="R320" s="195">
        <f t="shared" si="195"/>
        <v>0</v>
      </c>
      <c r="S320" s="194">
        <f t="shared" si="196"/>
        <v>0</v>
      </c>
      <c r="T320" s="191"/>
      <c r="U320" s="192"/>
      <c r="V320" s="192"/>
      <c r="W320" s="195">
        <f t="shared" si="197"/>
        <v>0</v>
      </c>
      <c r="X320" s="194">
        <f t="shared" si="198"/>
        <v>0</v>
      </c>
      <c r="Y320" s="236">
        <f t="shared" si="199"/>
        <v>0</v>
      </c>
      <c r="Z320" s="205">
        <f>(VLOOKUP(B:B,[1]AppLists!M:O,3,FALSE))*$AB$2</f>
        <v>7831.6500000000005</v>
      </c>
      <c r="AA320" s="237">
        <f t="shared" si="200"/>
        <v>0</v>
      </c>
    </row>
    <row r="321" spans="1:27" ht="28.35" customHeight="1">
      <c r="A321" s="232">
        <v>269</v>
      </c>
      <c r="B321" s="233" t="s">
        <v>879</v>
      </c>
      <c r="C321" s="234" t="s">
        <v>880</v>
      </c>
      <c r="D321" s="235" t="s">
        <v>620</v>
      </c>
      <c r="E321" s="191"/>
      <c r="F321" s="192"/>
      <c r="G321" s="192"/>
      <c r="H321" s="193">
        <f t="shared" si="191"/>
        <v>0</v>
      </c>
      <c r="I321" s="194">
        <f t="shared" si="192"/>
        <v>0</v>
      </c>
      <c r="J321" s="191"/>
      <c r="K321" s="192"/>
      <c r="L321" s="192"/>
      <c r="M321" s="195">
        <f t="shared" si="193"/>
        <v>0</v>
      </c>
      <c r="N321" s="194">
        <f t="shared" si="194"/>
        <v>0</v>
      </c>
      <c r="O321" s="191"/>
      <c r="P321" s="192"/>
      <c r="Q321" s="192"/>
      <c r="R321" s="195">
        <f t="shared" si="195"/>
        <v>0</v>
      </c>
      <c r="S321" s="194">
        <f t="shared" si="196"/>
        <v>0</v>
      </c>
      <c r="T321" s="191"/>
      <c r="U321" s="192"/>
      <c r="V321" s="192"/>
      <c r="W321" s="195">
        <f t="shared" si="197"/>
        <v>0</v>
      </c>
      <c r="X321" s="194">
        <f t="shared" si="198"/>
        <v>0</v>
      </c>
      <c r="Y321" s="236">
        <f t="shared" si="199"/>
        <v>0</v>
      </c>
      <c r="Z321" s="205">
        <f>(VLOOKUP(B:B,[1]AppLists!M:O,3,FALSE))*$AB$2</f>
        <v>5291.9500000000007</v>
      </c>
      <c r="AA321" s="237">
        <f t="shared" si="200"/>
        <v>0</v>
      </c>
    </row>
    <row r="322" spans="1:27" ht="28.35" customHeight="1">
      <c r="A322" s="232">
        <v>270</v>
      </c>
      <c r="B322" s="233" t="s">
        <v>881</v>
      </c>
      <c r="C322" s="234" t="s">
        <v>882</v>
      </c>
      <c r="D322" s="235" t="s">
        <v>620</v>
      </c>
      <c r="E322" s="191"/>
      <c r="F322" s="192"/>
      <c r="G322" s="192"/>
      <c r="H322" s="193">
        <f t="shared" si="191"/>
        <v>0</v>
      </c>
      <c r="I322" s="194">
        <f t="shared" si="192"/>
        <v>0</v>
      </c>
      <c r="J322" s="191"/>
      <c r="K322" s="192"/>
      <c r="L322" s="192"/>
      <c r="M322" s="195">
        <f t="shared" si="193"/>
        <v>0</v>
      </c>
      <c r="N322" s="194">
        <f t="shared" si="194"/>
        <v>0</v>
      </c>
      <c r="O322" s="191"/>
      <c r="P322" s="192"/>
      <c r="Q322" s="192"/>
      <c r="R322" s="195">
        <f t="shared" si="195"/>
        <v>0</v>
      </c>
      <c r="S322" s="194">
        <f t="shared" si="196"/>
        <v>0</v>
      </c>
      <c r="T322" s="191"/>
      <c r="U322" s="192"/>
      <c r="V322" s="192"/>
      <c r="W322" s="195">
        <f t="shared" si="197"/>
        <v>0</v>
      </c>
      <c r="X322" s="194">
        <f t="shared" si="198"/>
        <v>0</v>
      </c>
      <c r="Y322" s="236">
        <f t="shared" si="199"/>
        <v>0</v>
      </c>
      <c r="Z322" s="205">
        <f>(VLOOKUP(B:B,[1]AppLists!M:O,3,FALSE))*$AB$2</f>
        <v>7831.6500000000005</v>
      </c>
      <c r="AA322" s="237">
        <f t="shared" si="200"/>
        <v>0</v>
      </c>
    </row>
    <row r="323" spans="1:27" ht="28.35" customHeight="1">
      <c r="A323" s="232">
        <v>271</v>
      </c>
      <c r="B323" s="233" t="s">
        <v>883</v>
      </c>
      <c r="C323" s="234" t="s">
        <v>884</v>
      </c>
      <c r="D323" s="235" t="s">
        <v>620</v>
      </c>
      <c r="E323" s="191"/>
      <c r="F323" s="192"/>
      <c r="G323" s="192"/>
      <c r="H323" s="193">
        <f t="shared" si="191"/>
        <v>0</v>
      </c>
      <c r="I323" s="194">
        <f t="shared" si="192"/>
        <v>0</v>
      </c>
      <c r="J323" s="191"/>
      <c r="K323" s="192"/>
      <c r="L323" s="192"/>
      <c r="M323" s="195">
        <f t="shared" si="193"/>
        <v>0</v>
      </c>
      <c r="N323" s="194">
        <f t="shared" si="194"/>
        <v>0</v>
      </c>
      <c r="O323" s="191"/>
      <c r="P323" s="192"/>
      <c r="Q323" s="192"/>
      <c r="R323" s="195">
        <f t="shared" si="195"/>
        <v>0</v>
      </c>
      <c r="S323" s="194">
        <f t="shared" si="196"/>
        <v>0</v>
      </c>
      <c r="T323" s="191"/>
      <c r="U323" s="192"/>
      <c r="V323" s="192"/>
      <c r="W323" s="195">
        <f t="shared" si="197"/>
        <v>0</v>
      </c>
      <c r="X323" s="194">
        <f t="shared" si="198"/>
        <v>0</v>
      </c>
      <c r="Y323" s="236">
        <f t="shared" si="199"/>
        <v>0</v>
      </c>
      <c r="Z323" s="205">
        <f>(VLOOKUP(B:B,[1]AppLists!M:O,3,FALSE))*$AB$2</f>
        <v>5291.9500000000007</v>
      </c>
      <c r="AA323" s="237">
        <f t="shared" si="200"/>
        <v>0</v>
      </c>
    </row>
    <row r="324" spans="1:27" ht="28.35" customHeight="1">
      <c r="A324" s="232">
        <v>272</v>
      </c>
      <c r="B324" s="233" t="s">
        <v>885</v>
      </c>
      <c r="C324" s="234" t="s">
        <v>886</v>
      </c>
      <c r="D324" s="235" t="s">
        <v>620</v>
      </c>
      <c r="E324" s="191"/>
      <c r="F324" s="192"/>
      <c r="G324" s="192"/>
      <c r="H324" s="193">
        <f t="shared" si="191"/>
        <v>0</v>
      </c>
      <c r="I324" s="194">
        <f t="shared" si="192"/>
        <v>0</v>
      </c>
      <c r="J324" s="191"/>
      <c r="K324" s="192"/>
      <c r="L324" s="192"/>
      <c r="M324" s="195">
        <f t="shared" si="193"/>
        <v>0</v>
      </c>
      <c r="N324" s="194">
        <f t="shared" si="194"/>
        <v>0</v>
      </c>
      <c r="O324" s="191"/>
      <c r="P324" s="192"/>
      <c r="Q324" s="192"/>
      <c r="R324" s="195">
        <f t="shared" si="195"/>
        <v>0</v>
      </c>
      <c r="S324" s="194">
        <f t="shared" si="196"/>
        <v>0</v>
      </c>
      <c r="T324" s="191"/>
      <c r="U324" s="192"/>
      <c r="V324" s="192"/>
      <c r="W324" s="195">
        <f t="shared" si="197"/>
        <v>0</v>
      </c>
      <c r="X324" s="194">
        <f t="shared" si="198"/>
        <v>0</v>
      </c>
      <c r="Y324" s="236">
        <f t="shared" si="199"/>
        <v>0</v>
      </c>
      <c r="Z324" s="205">
        <f>(VLOOKUP(B:B,[1]AppLists!M:O,3,FALSE))*$AB$2</f>
        <v>7831.6500000000005</v>
      </c>
      <c r="AA324" s="237">
        <f t="shared" si="200"/>
        <v>0</v>
      </c>
    </row>
    <row r="325" spans="1:27" ht="28.35" customHeight="1">
      <c r="A325" s="232">
        <v>273</v>
      </c>
      <c r="B325" s="233" t="s">
        <v>887</v>
      </c>
      <c r="C325" s="234" t="s">
        <v>888</v>
      </c>
      <c r="D325" s="235" t="s">
        <v>620</v>
      </c>
      <c r="E325" s="191"/>
      <c r="F325" s="192"/>
      <c r="G325" s="192"/>
      <c r="H325" s="193">
        <f t="shared" si="191"/>
        <v>0</v>
      </c>
      <c r="I325" s="194">
        <f t="shared" si="192"/>
        <v>0</v>
      </c>
      <c r="J325" s="191"/>
      <c r="K325" s="192"/>
      <c r="L325" s="192"/>
      <c r="M325" s="195">
        <f t="shared" si="193"/>
        <v>0</v>
      </c>
      <c r="N325" s="194">
        <f t="shared" si="194"/>
        <v>0</v>
      </c>
      <c r="O325" s="191"/>
      <c r="P325" s="192"/>
      <c r="Q325" s="192"/>
      <c r="R325" s="195">
        <f t="shared" si="195"/>
        <v>0</v>
      </c>
      <c r="S325" s="194">
        <f t="shared" si="196"/>
        <v>0</v>
      </c>
      <c r="T325" s="191"/>
      <c r="U325" s="192"/>
      <c r="V325" s="192"/>
      <c r="W325" s="195">
        <f t="shared" si="197"/>
        <v>0</v>
      </c>
      <c r="X325" s="194">
        <f t="shared" si="198"/>
        <v>0</v>
      </c>
      <c r="Y325" s="236">
        <f t="shared" si="199"/>
        <v>0</v>
      </c>
      <c r="Z325" s="205">
        <f>(VLOOKUP(B:B,[1]AppLists!M:O,3,FALSE))*$AB$2</f>
        <v>3316.8700000000003</v>
      </c>
      <c r="AA325" s="237">
        <f t="shared" si="200"/>
        <v>0</v>
      </c>
    </row>
    <row r="326" spans="1:27" ht="28.35" customHeight="1">
      <c r="A326" s="232">
        <v>274</v>
      </c>
      <c r="B326" s="233" t="s">
        <v>889</v>
      </c>
      <c r="C326" s="234" t="s">
        <v>890</v>
      </c>
      <c r="D326" s="235" t="s">
        <v>620</v>
      </c>
      <c r="E326" s="191"/>
      <c r="F326" s="192"/>
      <c r="G326" s="192"/>
      <c r="H326" s="193">
        <f t="shared" si="191"/>
        <v>0</v>
      </c>
      <c r="I326" s="194">
        <f t="shared" si="192"/>
        <v>0</v>
      </c>
      <c r="J326" s="191"/>
      <c r="K326" s="192"/>
      <c r="L326" s="192"/>
      <c r="M326" s="195">
        <f t="shared" si="193"/>
        <v>0</v>
      </c>
      <c r="N326" s="194">
        <f t="shared" si="194"/>
        <v>0</v>
      </c>
      <c r="O326" s="191"/>
      <c r="P326" s="192"/>
      <c r="Q326" s="192"/>
      <c r="R326" s="195">
        <f t="shared" si="195"/>
        <v>0</v>
      </c>
      <c r="S326" s="194">
        <f t="shared" si="196"/>
        <v>0</v>
      </c>
      <c r="T326" s="191"/>
      <c r="U326" s="192"/>
      <c r="V326" s="192"/>
      <c r="W326" s="195">
        <f t="shared" si="197"/>
        <v>0</v>
      </c>
      <c r="X326" s="194">
        <f t="shared" si="198"/>
        <v>0</v>
      </c>
      <c r="Y326" s="236">
        <f t="shared" si="199"/>
        <v>0</v>
      </c>
      <c r="Z326" s="205">
        <f>(VLOOKUP(B:B,[1]AppLists!M:O,3,FALSE))*$AB$2</f>
        <v>7842.55</v>
      </c>
      <c r="AA326" s="237">
        <f t="shared" si="200"/>
        <v>0</v>
      </c>
    </row>
    <row r="327" spans="1:27" ht="28.35" customHeight="1">
      <c r="A327" s="232">
        <v>275</v>
      </c>
      <c r="B327" s="233" t="s">
        <v>891</v>
      </c>
      <c r="C327" s="234" t="s">
        <v>892</v>
      </c>
      <c r="D327" s="235" t="s">
        <v>620</v>
      </c>
      <c r="E327" s="191"/>
      <c r="F327" s="192"/>
      <c r="G327" s="192"/>
      <c r="H327" s="193">
        <f t="shared" si="191"/>
        <v>0</v>
      </c>
      <c r="I327" s="194">
        <f t="shared" si="192"/>
        <v>0</v>
      </c>
      <c r="J327" s="191"/>
      <c r="K327" s="192"/>
      <c r="L327" s="192"/>
      <c r="M327" s="195">
        <f t="shared" si="193"/>
        <v>0</v>
      </c>
      <c r="N327" s="194">
        <f t="shared" si="194"/>
        <v>0</v>
      </c>
      <c r="O327" s="191"/>
      <c r="P327" s="192"/>
      <c r="Q327" s="192"/>
      <c r="R327" s="195">
        <f t="shared" si="195"/>
        <v>0</v>
      </c>
      <c r="S327" s="194">
        <f t="shared" si="196"/>
        <v>0</v>
      </c>
      <c r="T327" s="191"/>
      <c r="U327" s="192"/>
      <c r="V327" s="192"/>
      <c r="W327" s="195">
        <f t="shared" si="197"/>
        <v>0</v>
      </c>
      <c r="X327" s="194">
        <f t="shared" si="198"/>
        <v>0</v>
      </c>
      <c r="Y327" s="236">
        <f t="shared" si="199"/>
        <v>0</v>
      </c>
      <c r="Z327" s="205">
        <f>(VLOOKUP(B:B,[1]AppLists!M:O,3,FALSE))*$AB$2</f>
        <v>4163.8</v>
      </c>
      <c r="AA327" s="237">
        <f t="shared" si="200"/>
        <v>0</v>
      </c>
    </row>
    <row r="328" spans="1:27" ht="28.35" customHeight="1">
      <c r="A328" s="232">
        <v>276</v>
      </c>
      <c r="B328" s="233" t="s">
        <v>893</v>
      </c>
      <c r="C328" s="234" t="s">
        <v>894</v>
      </c>
      <c r="D328" s="235" t="s">
        <v>620</v>
      </c>
      <c r="E328" s="191"/>
      <c r="F328" s="192"/>
      <c r="G328" s="192"/>
      <c r="H328" s="193">
        <f t="shared" si="191"/>
        <v>0</v>
      </c>
      <c r="I328" s="194">
        <f t="shared" si="192"/>
        <v>0</v>
      </c>
      <c r="J328" s="191"/>
      <c r="K328" s="192"/>
      <c r="L328" s="192"/>
      <c r="M328" s="195">
        <f t="shared" si="193"/>
        <v>0</v>
      </c>
      <c r="N328" s="194">
        <f t="shared" si="194"/>
        <v>0</v>
      </c>
      <c r="O328" s="191"/>
      <c r="P328" s="192"/>
      <c r="Q328" s="192"/>
      <c r="R328" s="195">
        <f t="shared" si="195"/>
        <v>0</v>
      </c>
      <c r="S328" s="194">
        <f t="shared" si="196"/>
        <v>0</v>
      </c>
      <c r="T328" s="191"/>
      <c r="U328" s="192"/>
      <c r="V328" s="192"/>
      <c r="W328" s="195">
        <f t="shared" si="197"/>
        <v>0</v>
      </c>
      <c r="X328" s="194">
        <f t="shared" si="198"/>
        <v>0</v>
      </c>
      <c r="Y328" s="236">
        <f t="shared" si="199"/>
        <v>0</v>
      </c>
      <c r="Z328" s="205">
        <f>(VLOOKUP(B:B,[1]AppLists!M:O,3,FALSE))*$AB$2</f>
        <v>9300.9700000000012</v>
      </c>
      <c r="AA328" s="237">
        <f t="shared" si="200"/>
        <v>0</v>
      </c>
    </row>
    <row r="329" spans="1:27" ht="28.35" customHeight="1">
      <c r="A329" s="232">
        <v>277</v>
      </c>
      <c r="B329" s="233" t="s">
        <v>895</v>
      </c>
      <c r="C329" s="234" t="s">
        <v>896</v>
      </c>
      <c r="D329" s="235" t="s">
        <v>620</v>
      </c>
      <c r="E329" s="191"/>
      <c r="F329" s="192"/>
      <c r="G329" s="192"/>
      <c r="H329" s="193">
        <f t="shared" si="191"/>
        <v>0</v>
      </c>
      <c r="I329" s="194">
        <f t="shared" si="192"/>
        <v>0</v>
      </c>
      <c r="J329" s="191"/>
      <c r="K329" s="192"/>
      <c r="L329" s="192"/>
      <c r="M329" s="195">
        <f t="shared" si="193"/>
        <v>0</v>
      </c>
      <c r="N329" s="194">
        <f t="shared" si="194"/>
        <v>0</v>
      </c>
      <c r="O329" s="191"/>
      <c r="P329" s="192"/>
      <c r="Q329" s="192"/>
      <c r="R329" s="195">
        <f t="shared" si="195"/>
        <v>0</v>
      </c>
      <c r="S329" s="194">
        <f t="shared" si="196"/>
        <v>0</v>
      </c>
      <c r="T329" s="191"/>
      <c r="U329" s="192"/>
      <c r="V329" s="192"/>
      <c r="W329" s="195">
        <f t="shared" si="197"/>
        <v>0</v>
      </c>
      <c r="X329" s="194">
        <f t="shared" si="198"/>
        <v>0</v>
      </c>
      <c r="Y329" s="236">
        <f t="shared" si="199"/>
        <v>0</v>
      </c>
      <c r="Z329" s="205">
        <f>(VLOOKUP(B:B,[1]AppLists!M:O,3,FALSE))*$AB$2</f>
        <v>10093.400000000001</v>
      </c>
      <c r="AA329" s="237">
        <f t="shared" si="200"/>
        <v>0</v>
      </c>
    </row>
    <row r="330" spans="1:27" ht="28.35" customHeight="1">
      <c r="A330" s="232">
        <v>278</v>
      </c>
      <c r="B330" s="233" t="s">
        <v>897</v>
      </c>
      <c r="C330" s="234" t="s">
        <v>898</v>
      </c>
      <c r="D330" s="235" t="s">
        <v>620</v>
      </c>
      <c r="E330" s="191"/>
      <c r="F330" s="192"/>
      <c r="G330" s="192"/>
      <c r="H330" s="193">
        <f t="shared" si="191"/>
        <v>0</v>
      </c>
      <c r="I330" s="194">
        <f t="shared" si="192"/>
        <v>0</v>
      </c>
      <c r="J330" s="191"/>
      <c r="K330" s="192"/>
      <c r="L330" s="192"/>
      <c r="M330" s="195">
        <f t="shared" si="193"/>
        <v>0</v>
      </c>
      <c r="N330" s="194">
        <f t="shared" si="194"/>
        <v>0</v>
      </c>
      <c r="O330" s="191"/>
      <c r="P330" s="192"/>
      <c r="Q330" s="192"/>
      <c r="R330" s="195">
        <f t="shared" si="195"/>
        <v>0</v>
      </c>
      <c r="S330" s="194">
        <f t="shared" si="196"/>
        <v>0</v>
      </c>
      <c r="T330" s="191"/>
      <c r="U330" s="192"/>
      <c r="V330" s="192"/>
      <c r="W330" s="195">
        <f t="shared" si="197"/>
        <v>0</v>
      </c>
      <c r="X330" s="194">
        <f t="shared" si="198"/>
        <v>0</v>
      </c>
      <c r="Y330" s="236">
        <f t="shared" si="199"/>
        <v>0</v>
      </c>
      <c r="Z330" s="205">
        <f>(VLOOKUP(B:B,[1]AppLists!M:O,3,FALSE))*$AB$2</f>
        <v>2768.6000000000004</v>
      </c>
      <c r="AA330" s="237">
        <f t="shared" si="200"/>
        <v>0</v>
      </c>
    </row>
    <row r="331" spans="1:27" ht="28.35" customHeight="1">
      <c r="A331" s="232">
        <v>279</v>
      </c>
      <c r="B331" s="233" t="s">
        <v>899</v>
      </c>
      <c r="C331" s="234" t="s">
        <v>900</v>
      </c>
      <c r="D331" s="235" t="s">
        <v>620</v>
      </c>
      <c r="E331" s="191"/>
      <c r="F331" s="192"/>
      <c r="G331" s="192"/>
      <c r="H331" s="193">
        <f t="shared" si="191"/>
        <v>0</v>
      </c>
      <c r="I331" s="194">
        <f t="shared" si="192"/>
        <v>0</v>
      </c>
      <c r="J331" s="191"/>
      <c r="K331" s="192"/>
      <c r="L331" s="192"/>
      <c r="M331" s="195">
        <f t="shared" si="193"/>
        <v>0</v>
      </c>
      <c r="N331" s="194">
        <f t="shared" si="194"/>
        <v>0</v>
      </c>
      <c r="O331" s="191"/>
      <c r="P331" s="192"/>
      <c r="Q331" s="192"/>
      <c r="R331" s="195">
        <f t="shared" si="195"/>
        <v>0</v>
      </c>
      <c r="S331" s="194">
        <f t="shared" si="196"/>
        <v>0</v>
      </c>
      <c r="T331" s="191"/>
      <c r="U331" s="192"/>
      <c r="V331" s="192"/>
      <c r="W331" s="195">
        <f t="shared" si="197"/>
        <v>0</v>
      </c>
      <c r="X331" s="194">
        <f t="shared" si="198"/>
        <v>0</v>
      </c>
      <c r="Y331" s="236">
        <f t="shared" si="199"/>
        <v>0</v>
      </c>
      <c r="Z331" s="205">
        <f>(VLOOKUP(B:B,[1]AppLists!M:O,3,FALSE))*$AB$2</f>
        <v>3052</v>
      </c>
      <c r="AA331" s="237">
        <f t="shared" si="200"/>
        <v>0</v>
      </c>
    </row>
    <row r="332" spans="1:27" ht="28.35" customHeight="1">
      <c r="A332" s="232">
        <v>280</v>
      </c>
      <c r="B332" s="233" t="s">
        <v>901</v>
      </c>
      <c r="C332" s="234" t="s">
        <v>902</v>
      </c>
      <c r="D332" s="235" t="s">
        <v>620</v>
      </c>
      <c r="E332" s="191"/>
      <c r="F332" s="192"/>
      <c r="G332" s="192"/>
      <c r="H332" s="193">
        <f t="shared" si="191"/>
        <v>0</v>
      </c>
      <c r="I332" s="194">
        <f t="shared" si="192"/>
        <v>0</v>
      </c>
      <c r="J332" s="191"/>
      <c r="K332" s="192"/>
      <c r="L332" s="192"/>
      <c r="M332" s="195">
        <f t="shared" si="193"/>
        <v>0</v>
      </c>
      <c r="N332" s="194">
        <f t="shared" si="194"/>
        <v>0</v>
      </c>
      <c r="O332" s="191"/>
      <c r="P332" s="192"/>
      <c r="Q332" s="192"/>
      <c r="R332" s="195">
        <f t="shared" si="195"/>
        <v>0</v>
      </c>
      <c r="S332" s="194">
        <f t="shared" si="196"/>
        <v>0</v>
      </c>
      <c r="T332" s="191"/>
      <c r="U332" s="192"/>
      <c r="V332" s="192"/>
      <c r="W332" s="195">
        <f t="shared" si="197"/>
        <v>0</v>
      </c>
      <c r="X332" s="194">
        <f t="shared" si="198"/>
        <v>0</v>
      </c>
      <c r="Y332" s="236">
        <f t="shared" si="199"/>
        <v>0</v>
      </c>
      <c r="Z332" s="205">
        <f>(VLOOKUP(B:B,[1]AppLists!M:O,3,FALSE))*$AB$2</f>
        <v>2561.5</v>
      </c>
      <c r="AA332" s="237">
        <f t="shared" si="200"/>
        <v>0</v>
      </c>
    </row>
    <row r="333" spans="1:27" ht="28.35" customHeight="1">
      <c r="A333" s="232">
        <v>281</v>
      </c>
      <c r="B333" s="233" t="s">
        <v>903</v>
      </c>
      <c r="C333" s="234" t="s">
        <v>904</v>
      </c>
      <c r="D333" s="235" t="s">
        <v>620</v>
      </c>
      <c r="E333" s="191"/>
      <c r="F333" s="192"/>
      <c r="G333" s="192"/>
      <c r="H333" s="193">
        <f t="shared" si="191"/>
        <v>0</v>
      </c>
      <c r="I333" s="194">
        <f t="shared" si="192"/>
        <v>0</v>
      </c>
      <c r="J333" s="191"/>
      <c r="K333" s="192"/>
      <c r="L333" s="192"/>
      <c r="M333" s="195">
        <f t="shared" si="193"/>
        <v>0</v>
      </c>
      <c r="N333" s="194">
        <f t="shared" si="194"/>
        <v>0</v>
      </c>
      <c r="O333" s="191"/>
      <c r="P333" s="192"/>
      <c r="Q333" s="192"/>
      <c r="R333" s="195">
        <f t="shared" si="195"/>
        <v>0</v>
      </c>
      <c r="S333" s="194">
        <f t="shared" si="196"/>
        <v>0</v>
      </c>
      <c r="T333" s="191"/>
      <c r="U333" s="192"/>
      <c r="V333" s="192"/>
      <c r="W333" s="195">
        <f t="shared" si="197"/>
        <v>0</v>
      </c>
      <c r="X333" s="194">
        <f t="shared" si="198"/>
        <v>0</v>
      </c>
      <c r="Y333" s="236">
        <f t="shared" si="199"/>
        <v>0</v>
      </c>
      <c r="Z333" s="205">
        <f>(VLOOKUP(B:B,[1]AppLists!M:O,3,FALSE))*$AB$2</f>
        <v>2921.2000000000003</v>
      </c>
      <c r="AA333" s="237">
        <f t="shared" si="200"/>
        <v>0</v>
      </c>
    </row>
    <row r="334" spans="1:27" ht="28.35" customHeight="1">
      <c r="A334" s="232">
        <v>282</v>
      </c>
      <c r="B334" s="233" t="s">
        <v>905</v>
      </c>
      <c r="C334" s="234" t="s">
        <v>906</v>
      </c>
      <c r="D334" s="235" t="s">
        <v>620</v>
      </c>
      <c r="E334" s="191"/>
      <c r="F334" s="192"/>
      <c r="G334" s="192"/>
      <c r="H334" s="193">
        <f t="shared" si="191"/>
        <v>0</v>
      </c>
      <c r="I334" s="194">
        <f t="shared" si="192"/>
        <v>0</v>
      </c>
      <c r="J334" s="191"/>
      <c r="K334" s="192"/>
      <c r="L334" s="192"/>
      <c r="M334" s="195">
        <f t="shared" si="193"/>
        <v>0</v>
      </c>
      <c r="N334" s="194">
        <f t="shared" si="194"/>
        <v>0</v>
      </c>
      <c r="O334" s="191"/>
      <c r="P334" s="192"/>
      <c r="Q334" s="192"/>
      <c r="R334" s="195">
        <f t="shared" si="195"/>
        <v>0</v>
      </c>
      <c r="S334" s="194">
        <f t="shared" si="196"/>
        <v>0</v>
      </c>
      <c r="T334" s="191"/>
      <c r="U334" s="192"/>
      <c r="V334" s="192"/>
      <c r="W334" s="195">
        <f t="shared" si="197"/>
        <v>0</v>
      </c>
      <c r="X334" s="194">
        <f t="shared" si="198"/>
        <v>0</v>
      </c>
      <c r="Y334" s="236">
        <f t="shared" si="199"/>
        <v>0</v>
      </c>
      <c r="Z334" s="205">
        <f>(VLOOKUP(B:B,[1]AppLists!M:O,3,FALSE))*$AB$2</f>
        <v>2877.6000000000004</v>
      </c>
      <c r="AA334" s="237">
        <f t="shared" si="200"/>
        <v>0</v>
      </c>
    </row>
    <row r="335" spans="1:27" ht="28.35" customHeight="1">
      <c r="A335" s="232">
        <v>283</v>
      </c>
      <c r="B335" s="233" t="s">
        <v>907</v>
      </c>
      <c r="C335" s="234" t="s">
        <v>908</v>
      </c>
      <c r="D335" s="235" t="s">
        <v>620</v>
      </c>
      <c r="E335" s="191"/>
      <c r="F335" s="192"/>
      <c r="G335" s="192"/>
      <c r="H335" s="193">
        <f t="shared" si="191"/>
        <v>0</v>
      </c>
      <c r="I335" s="194">
        <f t="shared" si="192"/>
        <v>0</v>
      </c>
      <c r="J335" s="191"/>
      <c r="K335" s="192"/>
      <c r="L335" s="192"/>
      <c r="M335" s="195">
        <f t="shared" si="193"/>
        <v>0</v>
      </c>
      <c r="N335" s="194">
        <f t="shared" si="194"/>
        <v>0</v>
      </c>
      <c r="O335" s="191"/>
      <c r="P335" s="192"/>
      <c r="Q335" s="192"/>
      <c r="R335" s="195">
        <f t="shared" si="195"/>
        <v>0</v>
      </c>
      <c r="S335" s="194">
        <f t="shared" si="196"/>
        <v>0</v>
      </c>
      <c r="T335" s="191"/>
      <c r="U335" s="192"/>
      <c r="V335" s="192"/>
      <c r="W335" s="195">
        <f t="shared" si="197"/>
        <v>0</v>
      </c>
      <c r="X335" s="194">
        <f t="shared" si="198"/>
        <v>0</v>
      </c>
      <c r="Y335" s="236">
        <f t="shared" si="199"/>
        <v>0</v>
      </c>
      <c r="Z335" s="205">
        <f>(VLOOKUP(B:B,[1]AppLists!M:O,3,FALSE))*$AB$2</f>
        <v>7466.5000000000009</v>
      </c>
      <c r="AA335" s="237">
        <f t="shared" si="200"/>
        <v>0</v>
      </c>
    </row>
    <row r="336" spans="1:27" ht="28.35" customHeight="1">
      <c r="A336" s="232">
        <v>284</v>
      </c>
      <c r="B336" s="233" t="s">
        <v>909</v>
      </c>
      <c r="C336" s="234" t="s">
        <v>910</v>
      </c>
      <c r="D336" s="235" t="s">
        <v>620</v>
      </c>
      <c r="E336" s="191"/>
      <c r="F336" s="192"/>
      <c r="G336" s="192"/>
      <c r="H336" s="193">
        <f t="shared" si="191"/>
        <v>0</v>
      </c>
      <c r="I336" s="194">
        <f t="shared" si="192"/>
        <v>0</v>
      </c>
      <c r="J336" s="191"/>
      <c r="K336" s="192"/>
      <c r="L336" s="192"/>
      <c r="M336" s="195">
        <f t="shared" si="193"/>
        <v>0</v>
      </c>
      <c r="N336" s="194">
        <f t="shared" si="194"/>
        <v>0</v>
      </c>
      <c r="O336" s="191"/>
      <c r="P336" s="192"/>
      <c r="Q336" s="192"/>
      <c r="R336" s="195">
        <f t="shared" si="195"/>
        <v>0</v>
      </c>
      <c r="S336" s="194">
        <f t="shared" si="196"/>
        <v>0</v>
      </c>
      <c r="T336" s="191"/>
      <c r="U336" s="192"/>
      <c r="V336" s="192"/>
      <c r="W336" s="195">
        <f t="shared" si="197"/>
        <v>0</v>
      </c>
      <c r="X336" s="194">
        <f t="shared" si="198"/>
        <v>0</v>
      </c>
      <c r="Y336" s="236">
        <f t="shared" si="199"/>
        <v>0</v>
      </c>
      <c r="Z336" s="205">
        <f>(VLOOKUP(B:B,[1]AppLists!M:O,3,FALSE))*$AB$2</f>
        <v>4839.6000000000004</v>
      </c>
      <c r="AA336" s="237">
        <f t="shared" si="200"/>
        <v>0</v>
      </c>
    </row>
    <row r="337" spans="1:27" ht="28.35" customHeight="1">
      <c r="A337" s="232">
        <v>285</v>
      </c>
      <c r="B337" s="233" t="s">
        <v>911</v>
      </c>
      <c r="C337" s="234" t="s">
        <v>912</v>
      </c>
      <c r="D337" s="235" t="s">
        <v>620</v>
      </c>
      <c r="E337" s="191"/>
      <c r="F337" s="192"/>
      <c r="G337" s="192"/>
      <c r="H337" s="193">
        <f t="shared" si="191"/>
        <v>0</v>
      </c>
      <c r="I337" s="194">
        <f t="shared" si="192"/>
        <v>0</v>
      </c>
      <c r="J337" s="191"/>
      <c r="K337" s="192"/>
      <c r="L337" s="192"/>
      <c r="M337" s="195">
        <f t="shared" si="193"/>
        <v>0</v>
      </c>
      <c r="N337" s="194">
        <f t="shared" si="194"/>
        <v>0</v>
      </c>
      <c r="O337" s="191"/>
      <c r="P337" s="192"/>
      <c r="Q337" s="192"/>
      <c r="R337" s="195">
        <f t="shared" si="195"/>
        <v>0</v>
      </c>
      <c r="S337" s="194">
        <f t="shared" si="196"/>
        <v>0</v>
      </c>
      <c r="T337" s="191"/>
      <c r="U337" s="192"/>
      <c r="V337" s="192"/>
      <c r="W337" s="195">
        <f t="shared" si="197"/>
        <v>0</v>
      </c>
      <c r="X337" s="194">
        <f t="shared" si="198"/>
        <v>0</v>
      </c>
      <c r="Y337" s="236">
        <f t="shared" si="199"/>
        <v>0</v>
      </c>
      <c r="Z337" s="205">
        <f>(VLOOKUP(B:B,[1]AppLists!M:O,3,FALSE))*$AB$2</f>
        <v>9919</v>
      </c>
      <c r="AA337" s="237">
        <f t="shared" si="200"/>
        <v>0</v>
      </c>
    </row>
    <row r="338" spans="1:27" ht="28.35" customHeight="1">
      <c r="A338" s="232">
        <v>286</v>
      </c>
      <c r="B338" s="233" t="s">
        <v>913</v>
      </c>
      <c r="C338" s="234" t="s">
        <v>914</v>
      </c>
      <c r="D338" s="235" t="s">
        <v>620</v>
      </c>
      <c r="E338" s="191"/>
      <c r="F338" s="192"/>
      <c r="G338" s="192"/>
      <c r="H338" s="193">
        <f t="shared" si="191"/>
        <v>0</v>
      </c>
      <c r="I338" s="194">
        <f t="shared" si="192"/>
        <v>0</v>
      </c>
      <c r="J338" s="191"/>
      <c r="K338" s="192"/>
      <c r="L338" s="192"/>
      <c r="M338" s="195">
        <f t="shared" si="193"/>
        <v>0</v>
      </c>
      <c r="N338" s="194">
        <f t="shared" si="194"/>
        <v>0</v>
      </c>
      <c r="O338" s="191"/>
      <c r="P338" s="192"/>
      <c r="Q338" s="192"/>
      <c r="R338" s="195">
        <f t="shared" si="195"/>
        <v>0</v>
      </c>
      <c r="S338" s="194">
        <f t="shared" si="196"/>
        <v>0</v>
      </c>
      <c r="T338" s="191"/>
      <c r="U338" s="192"/>
      <c r="V338" s="192"/>
      <c r="W338" s="195">
        <f t="shared" si="197"/>
        <v>0</v>
      </c>
      <c r="X338" s="194">
        <f t="shared" si="198"/>
        <v>0</v>
      </c>
      <c r="Y338" s="236">
        <f t="shared" si="199"/>
        <v>0</v>
      </c>
      <c r="Z338" s="205">
        <f>(VLOOKUP(B:B,[1]AppLists!M:O,3,FALSE))*$AB$2</f>
        <v>9646.5</v>
      </c>
      <c r="AA338" s="237">
        <f t="shared" si="200"/>
        <v>0</v>
      </c>
    </row>
    <row r="339" spans="1:27" ht="28.35" customHeight="1">
      <c r="A339" s="232">
        <v>287</v>
      </c>
      <c r="B339" s="233" t="s">
        <v>915</v>
      </c>
      <c r="C339" s="234" t="s">
        <v>916</v>
      </c>
      <c r="D339" s="235" t="s">
        <v>620</v>
      </c>
      <c r="E339" s="191"/>
      <c r="F339" s="192"/>
      <c r="G339" s="192"/>
      <c r="H339" s="193">
        <f t="shared" si="191"/>
        <v>0</v>
      </c>
      <c r="I339" s="194">
        <f t="shared" si="192"/>
        <v>0</v>
      </c>
      <c r="J339" s="191"/>
      <c r="K339" s="192"/>
      <c r="L339" s="192"/>
      <c r="M339" s="195">
        <f t="shared" si="193"/>
        <v>0</v>
      </c>
      <c r="N339" s="194">
        <f t="shared" si="194"/>
        <v>0</v>
      </c>
      <c r="O339" s="191"/>
      <c r="P339" s="192"/>
      <c r="Q339" s="192"/>
      <c r="R339" s="195">
        <f t="shared" si="195"/>
        <v>0</v>
      </c>
      <c r="S339" s="194">
        <f t="shared" si="196"/>
        <v>0</v>
      </c>
      <c r="T339" s="191"/>
      <c r="U339" s="192"/>
      <c r="V339" s="192"/>
      <c r="W339" s="195">
        <f t="shared" si="197"/>
        <v>0</v>
      </c>
      <c r="X339" s="194">
        <f t="shared" si="198"/>
        <v>0</v>
      </c>
      <c r="Y339" s="236">
        <f t="shared" si="199"/>
        <v>0</v>
      </c>
      <c r="Z339" s="205">
        <f>(VLOOKUP(B:B,[1]AppLists!M:O,3,FALSE))*$AB$2</f>
        <v>5308.3</v>
      </c>
      <c r="AA339" s="237">
        <f t="shared" si="200"/>
        <v>0</v>
      </c>
    </row>
    <row r="340" spans="1:27" ht="28.35" customHeight="1">
      <c r="A340" s="232">
        <v>288</v>
      </c>
      <c r="B340" s="233" t="s">
        <v>917</v>
      </c>
      <c r="C340" s="234" t="s">
        <v>918</v>
      </c>
      <c r="D340" s="235" t="s">
        <v>620</v>
      </c>
      <c r="E340" s="191"/>
      <c r="F340" s="192"/>
      <c r="G340" s="192"/>
      <c r="H340" s="193">
        <f t="shared" si="191"/>
        <v>0</v>
      </c>
      <c r="I340" s="194">
        <f t="shared" si="192"/>
        <v>0</v>
      </c>
      <c r="J340" s="191"/>
      <c r="K340" s="192"/>
      <c r="L340" s="192"/>
      <c r="M340" s="195">
        <f t="shared" si="193"/>
        <v>0</v>
      </c>
      <c r="N340" s="194">
        <f t="shared" si="194"/>
        <v>0</v>
      </c>
      <c r="O340" s="191"/>
      <c r="P340" s="192"/>
      <c r="Q340" s="192"/>
      <c r="R340" s="195">
        <f t="shared" si="195"/>
        <v>0</v>
      </c>
      <c r="S340" s="194">
        <f t="shared" si="196"/>
        <v>0</v>
      </c>
      <c r="T340" s="191"/>
      <c r="U340" s="192"/>
      <c r="V340" s="192"/>
      <c r="W340" s="195">
        <f t="shared" si="197"/>
        <v>0</v>
      </c>
      <c r="X340" s="194">
        <f t="shared" si="198"/>
        <v>0</v>
      </c>
      <c r="Y340" s="236">
        <f t="shared" si="199"/>
        <v>0</v>
      </c>
      <c r="Z340" s="205">
        <f>(VLOOKUP(B:B,[1]AppLists!M:O,3,FALSE))*$AB$2</f>
        <v>4567.1000000000004</v>
      </c>
      <c r="AA340" s="237">
        <f t="shared" si="200"/>
        <v>0</v>
      </c>
    </row>
    <row r="341" spans="1:27" ht="28.35" customHeight="1">
      <c r="A341" s="232">
        <v>289</v>
      </c>
      <c r="B341" s="233" t="s">
        <v>919</v>
      </c>
      <c r="C341" s="234" t="s">
        <v>920</v>
      </c>
      <c r="D341" s="235" t="s">
        <v>620</v>
      </c>
      <c r="E341" s="191"/>
      <c r="F341" s="192"/>
      <c r="G341" s="192"/>
      <c r="H341" s="193">
        <f t="shared" si="191"/>
        <v>0</v>
      </c>
      <c r="I341" s="194">
        <f t="shared" si="192"/>
        <v>0</v>
      </c>
      <c r="J341" s="191"/>
      <c r="K341" s="192"/>
      <c r="L341" s="192"/>
      <c r="M341" s="195">
        <f t="shared" si="193"/>
        <v>0</v>
      </c>
      <c r="N341" s="194">
        <f t="shared" si="194"/>
        <v>0</v>
      </c>
      <c r="O341" s="191"/>
      <c r="P341" s="192"/>
      <c r="Q341" s="192"/>
      <c r="R341" s="195">
        <f t="shared" si="195"/>
        <v>0</v>
      </c>
      <c r="S341" s="194">
        <f t="shared" si="196"/>
        <v>0</v>
      </c>
      <c r="T341" s="191"/>
      <c r="U341" s="192"/>
      <c r="V341" s="192"/>
      <c r="W341" s="195">
        <f t="shared" si="197"/>
        <v>0</v>
      </c>
      <c r="X341" s="194">
        <f t="shared" si="198"/>
        <v>0</v>
      </c>
      <c r="Y341" s="236">
        <f t="shared" si="199"/>
        <v>0</v>
      </c>
      <c r="Z341" s="205">
        <f>(VLOOKUP(B:B,[1]AppLists!M:O,3,FALSE))*$AB$2</f>
        <v>6361.2400000000007</v>
      </c>
      <c r="AA341" s="237">
        <f t="shared" si="200"/>
        <v>0</v>
      </c>
    </row>
    <row r="342" spans="1:27" ht="28.35" customHeight="1" thickBot="1">
      <c r="A342" s="240">
        <v>290</v>
      </c>
      <c r="B342" s="241" t="s">
        <v>921</v>
      </c>
      <c r="C342" s="242" t="s">
        <v>922</v>
      </c>
      <c r="D342" s="243" t="s">
        <v>620</v>
      </c>
      <c r="E342" s="191"/>
      <c r="F342" s="192"/>
      <c r="G342" s="192"/>
      <c r="H342" s="193">
        <f t="shared" si="191"/>
        <v>0</v>
      </c>
      <c r="I342" s="194">
        <f t="shared" si="192"/>
        <v>0</v>
      </c>
      <c r="J342" s="191"/>
      <c r="K342" s="192"/>
      <c r="L342" s="192"/>
      <c r="M342" s="195">
        <f t="shared" si="193"/>
        <v>0</v>
      </c>
      <c r="N342" s="194">
        <f t="shared" si="194"/>
        <v>0</v>
      </c>
      <c r="O342" s="191"/>
      <c r="P342" s="192"/>
      <c r="Q342" s="192"/>
      <c r="R342" s="195">
        <f t="shared" si="195"/>
        <v>0</v>
      </c>
      <c r="S342" s="194">
        <f t="shared" si="196"/>
        <v>0</v>
      </c>
      <c r="T342" s="191"/>
      <c r="U342" s="192"/>
      <c r="V342" s="192"/>
      <c r="W342" s="195">
        <f t="shared" si="197"/>
        <v>0</v>
      </c>
      <c r="X342" s="194">
        <f t="shared" si="198"/>
        <v>0</v>
      </c>
      <c r="Y342" s="244">
        <f t="shared" si="199"/>
        <v>0</v>
      </c>
      <c r="Z342" s="175">
        <f>(VLOOKUP(B:B,[1]AppLists!M:O,3,FALSE))*$AB$2</f>
        <v>14043.560000000001</v>
      </c>
      <c r="AA342" s="245">
        <f t="shared" si="200"/>
        <v>0</v>
      </c>
    </row>
    <row r="343" spans="1:27" ht="30" customHeight="1" thickBot="1">
      <c r="A343" s="160" t="s">
        <v>923</v>
      </c>
      <c r="B343" s="161"/>
      <c r="C343" s="161"/>
      <c r="D343" s="161"/>
      <c r="E343" s="162"/>
      <c r="F343" s="162"/>
      <c r="G343" s="162"/>
      <c r="H343" s="162"/>
      <c r="I343" s="163"/>
      <c r="J343" s="162"/>
      <c r="K343" s="162"/>
      <c r="L343" s="162"/>
      <c r="M343" s="162"/>
      <c r="N343" s="163"/>
      <c r="O343" s="162"/>
      <c r="P343" s="162"/>
      <c r="Q343" s="162"/>
      <c r="R343" s="162"/>
      <c r="S343" s="163"/>
      <c r="T343" s="162"/>
      <c r="U343" s="162"/>
      <c r="V343" s="162"/>
      <c r="W343" s="162"/>
      <c r="X343" s="163"/>
      <c r="Y343" s="163"/>
      <c r="Z343" s="177"/>
      <c r="AA343" s="178"/>
    </row>
    <row r="344" spans="1:27" ht="28.35" customHeight="1">
      <c r="A344" s="232">
        <v>291</v>
      </c>
      <c r="B344" s="246" t="s">
        <v>924</v>
      </c>
      <c r="C344" s="234" t="s">
        <v>925</v>
      </c>
      <c r="D344" s="247" t="s">
        <v>420</v>
      </c>
      <c r="E344" s="191"/>
      <c r="F344" s="192"/>
      <c r="G344" s="192"/>
      <c r="H344" s="193">
        <f t="shared" ref="H344:H345" si="201">SUM(E344:G344)</f>
        <v>0</v>
      </c>
      <c r="I344" s="194">
        <f t="shared" ref="I344:I345" si="202">H344*Z344</f>
        <v>0</v>
      </c>
      <c r="J344" s="191"/>
      <c r="K344" s="192"/>
      <c r="L344" s="192"/>
      <c r="M344" s="195">
        <f t="shared" ref="M344:M345" si="203">SUM(J344:L344)</f>
        <v>0</v>
      </c>
      <c r="N344" s="194">
        <f t="shared" ref="N344:N345" si="204">M344*Z344</f>
        <v>0</v>
      </c>
      <c r="O344" s="191"/>
      <c r="P344" s="192"/>
      <c r="Q344" s="192"/>
      <c r="R344" s="195">
        <f t="shared" ref="R344:R345" si="205">SUM(O344:Q344)</f>
        <v>0</v>
      </c>
      <c r="S344" s="194">
        <f t="shared" ref="S344:S345" si="206">R344*Z344</f>
        <v>0</v>
      </c>
      <c r="T344" s="191"/>
      <c r="U344" s="192"/>
      <c r="V344" s="192"/>
      <c r="W344" s="195">
        <f t="shared" ref="W344:W345" si="207">SUM(T344:V344)</f>
        <v>0</v>
      </c>
      <c r="X344" s="194">
        <f t="shared" ref="X344:X345" si="208">W344*Z344</f>
        <v>0</v>
      </c>
      <c r="Y344" s="236">
        <f t="shared" ref="Y344:Y345" si="209">H344+M344+R344+W344</f>
        <v>0</v>
      </c>
      <c r="Z344" s="205">
        <f>(VLOOKUP(B:B,[1]AppLists!M:O,3,FALSE))*$AB$2</f>
        <v>30247.500000000004</v>
      </c>
      <c r="AA344" s="237">
        <f t="shared" ref="AA344:AA345" si="210">Y344*Z344</f>
        <v>0</v>
      </c>
    </row>
    <row r="345" spans="1:27" ht="28.35" customHeight="1" thickBot="1">
      <c r="A345" s="201">
        <v>292</v>
      </c>
      <c r="B345" s="185" t="s">
        <v>926</v>
      </c>
      <c r="C345" s="168" t="s">
        <v>927</v>
      </c>
      <c r="D345" s="187" t="s">
        <v>420</v>
      </c>
      <c r="E345" s="191"/>
      <c r="F345" s="192"/>
      <c r="G345" s="192"/>
      <c r="H345" s="193">
        <f t="shared" si="201"/>
        <v>0</v>
      </c>
      <c r="I345" s="194">
        <f t="shared" si="202"/>
        <v>0</v>
      </c>
      <c r="J345" s="191"/>
      <c r="K345" s="192"/>
      <c r="L345" s="192"/>
      <c r="M345" s="195">
        <f t="shared" si="203"/>
        <v>0</v>
      </c>
      <c r="N345" s="194">
        <f t="shared" si="204"/>
        <v>0</v>
      </c>
      <c r="O345" s="191"/>
      <c r="P345" s="192"/>
      <c r="Q345" s="192"/>
      <c r="R345" s="195">
        <f t="shared" si="205"/>
        <v>0</v>
      </c>
      <c r="S345" s="194">
        <f t="shared" si="206"/>
        <v>0</v>
      </c>
      <c r="T345" s="191"/>
      <c r="U345" s="192"/>
      <c r="V345" s="192"/>
      <c r="W345" s="195">
        <f t="shared" si="207"/>
        <v>0</v>
      </c>
      <c r="X345" s="194">
        <f t="shared" si="208"/>
        <v>0</v>
      </c>
      <c r="Y345" s="173">
        <f t="shared" si="209"/>
        <v>0</v>
      </c>
      <c r="Z345" s="175">
        <f>(VLOOKUP(B:B,[1]AppLists!M:O,3,FALSE))*$AB$2</f>
        <v>19511</v>
      </c>
      <c r="AA345" s="176">
        <f t="shared" si="210"/>
        <v>0</v>
      </c>
    </row>
    <row r="346" spans="1:27" ht="30" customHeight="1" thickBot="1">
      <c r="A346" s="160" t="s">
        <v>928</v>
      </c>
      <c r="B346" s="161"/>
      <c r="C346" s="161"/>
      <c r="D346" s="161"/>
      <c r="E346" s="162"/>
      <c r="F346" s="162"/>
      <c r="G346" s="162"/>
      <c r="H346" s="162"/>
      <c r="I346" s="163"/>
      <c r="J346" s="162"/>
      <c r="K346" s="162"/>
      <c r="L346" s="162"/>
      <c r="M346" s="162"/>
      <c r="N346" s="163"/>
      <c r="O346" s="162"/>
      <c r="P346" s="162"/>
      <c r="Q346" s="162"/>
      <c r="R346" s="162"/>
      <c r="S346" s="163"/>
      <c r="T346" s="162"/>
      <c r="U346" s="162"/>
      <c r="V346" s="162"/>
      <c r="W346" s="162"/>
      <c r="X346" s="163"/>
      <c r="Y346" s="163"/>
      <c r="Z346" s="177"/>
      <c r="AA346" s="178"/>
    </row>
    <row r="347" spans="1:27" ht="28.35" customHeight="1" thickBot="1">
      <c r="A347" s="179">
        <v>293</v>
      </c>
      <c r="B347" s="180" t="s">
        <v>929</v>
      </c>
      <c r="C347" s="181" t="s">
        <v>930</v>
      </c>
      <c r="D347" s="182" t="s">
        <v>364</v>
      </c>
      <c r="E347" s="191"/>
      <c r="F347" s="192"/>
      <c r="G347" s="192"/>
      <c r="H347" s="193">
        <f t="shared" ref="H347" si="211">SUM(E347:G347)</f>
        <v>0</v>
      </c>
      <c r="I347" s="194">
        <f t="shared" ref="I347" si="212">H347*Z347</f>
        <v>0</v>
      </c>
      <c r="J347" s="191"/>
      <c r="K347" s="192"/>
      <c r="L347" s="192"/>
      <c r="M347" s="195">
        <f t="shared" ref="M347" si="213">SUM(J347:L347)</f>
        <v>0</v>
      </c>
      <c r="N347" s="194">
        <f t="shared" ref="N347" si="214">M347*Z347</f>
        <v>0</v>
      </c>
      <c r="O347" s="191"/>
      <c r="P347" s="192"/>
      <c r="Q347" s="192"/>
      <c r="R347" s="195">
        <f t="shared" ref="R347" si="215">SUM(O347:Q347)</f>
        <v>0</v>
      </c>
      <c r="S347" s="194">
        <f t="shared" ref="S347" si="216">R347*Z347</f>
        <v>0</v>
      </c>
      <c r="T347" s="191"/>
      <c r="U347" s="192"/>
      <c r="V347" s="192"/>
      <c r="W347" s="195">
        <f t="shared" ref="W347" si="217">SUM(T347:V347)</f>
        <v>0</v>
      </c>
      <c r="X347" s="194">
        <f t="shared" ref="X347" si="218">W347*Z347</f>
        <v>0</v>
      </c>
      <c r="Y347" s="183">
        <f t="shared" ref="Y347:Y349" si="219">H347+M347+R347+W347</f>
        <v>0</v>
      </c>
      <c r="Z347" s="205">
        <f>(VLOOKUP(B:B,[1]AppLists!M:O,3,FALSE))*$AB$2</f>
        <v>334.63000000000005</v>
      </c>
      <c r="AA347" s="184">
        <f t="shared" ref="AA347:AA349" si="220">Y347*Z347</f>
        <v>0</v>
      </c>
    </row>
    <row r="348" spans="1:27" ht="30" customHeight="1" thickBot="1">
      <c r="A348" s="160" t="s">
        <v>931</v>
      </c>
      <c r="B348" s="161"/>
      <c r="C348" s="161"/>
      <c r="D348" s="161"/>
      <c r="E348" s="162"/>
      <c r="F348" s="162"/>
      <c r="G348" s="162"/>
      <c r="H348" s="162"/>
      <c r="I348" s="163"/>
      <c r="J348" s="162"/>
      <c r="K348" s="162"/>
      <c r="L348" s="162"/>
      <c r="M348" s="162"/>
      <c r="N348" s="163"/>
      <c r="O348" s="162"/>
      <c r="P348" s="162"/>
      <c r="Q348" s="162"/>
      <c r="R348" s="162"/>
      <c r="S348" s="163"/>
      <c r="T348" s="162"/>
      <c r="U348" s="162"/>
      <c r="V348" s="162"/>
      <c r="W348" s="162"/>
      <c r="X348" s="163"/>
      <c r="Y348" s="163"/>
      <c r="Z348" s="177"/>
      <c r="AA348" s="178"/>
    </row>
    <row r="349" spans="1:27" ht="28.35" customHeight="1" thickBot="1">
      <c r="A349" s="248">
        <v>294</v>
      </c>
      <c r="B349" s="167" t="s">
        <v>932</v>
      </c>
      <c r="C349" s="168" t="s">
        <v>933</v>
      </c>
      <c r="D349" s="169" t="s">
        <v>382</v>
      </c>
      <c r="E349" s="191"/>
      <c r="F349" s="192"/>
      <c r="G349" s="192"/>
      <c r="H349" s="193">
        <f t="shared" ref="H349" si="221">SUM(E349:G349)</f>
        <v>0</v>
      </c>
      <c r="I349" s="194">
        <f t="shared" ref="I349" si="222">H349*Z349</f>
        <v>0</v>
      </c>
      <c r="J349" s="191"/>
      <c r="K349" s="192"/>
      <c r="L349" s="192"/>
      <c r="M349" s="195">
        <f t="shared" ref="M349" si="223">SUM(J349:L349)</f>
        <v>0</v>
      </c>
      <c r="N349" s="194">
        <f t="shared" ref="N349" si="224">M349*Z349</f>
        <v>0</v>
      </c>
      <c r="O349" s="191"/>
      <c r="P349" s="192"/>
      <c r="Q349" s="192"/>
      <c r="R349" s="195">
        <f t="shared" ref="R349" si="225">SUM(O349:Q349)</f>
        <v>0</v>
      </c>
      <c r="S349" s="194">
        <f t="shared" ref="S349" si="226">R349*Z349</f>
        <v>0</v>
      </c>
      <c r="T349" s="191"/>
      <c r="U349" s="192"/>
      <c r="V349" s="192"/>
      <c r="W349" s="195">
        <f t="shared" ref="W349" si="227">SUM(T349:V349)</f>
        <v>0</v>
      </c>
      <c r="X349" s="194">
        <f t="shared" ref="X349" si="228">W349*Z349</f>
        <v>0</v>
      </c>
      <c r="Y349" s="183">
        <f t="shared" si="219"/>
        <v>0</v>
      </c>
      <c r="Z349" s="205">
        <f>(VLOOKUP(B:B,[1]AppLists!M:O,3,FALSE))*$AB$2</f>
        <v>48.505000000000003</v>
      </c>
      <c r="AA349" s="184">
        <f t="shared" si="220"/>
        <v>0</v>
      </c>
    </row>
    <row r="350" spans="1:27" ht="30" customHeight="1" thickBot="1">
      <c r="A350" s="160" t="s">
        <v>934</v>
      </c>
      <c r="B350" s="161"/>
      <c r="C350" s="161"/>
      <c r="D350" s="161"/>
      <c r="E350" s="162"/>
      <c r="F350" s="162"/>
      <c r="G350" s="162"/>
      <c r="H350" s="162"/>
      <c r="I350" s="163"/>
      <c r="J350" s="162"/>
      <c r="K350" s="162"/>
      <c r="L350" s="162"/>
      <c r="M350" s="162"/>
      <c r="N350" s="163"/>
      <c r="O350" s="162"/>
      <c r="P350" s="162"/>
      <c r="Q350" s="162"/>
      <c r="R350" s="162"/>
      <c r="S350" s="163"/>
      <c r="T350" s="162"/>
      <c r="U350" s="162"/>
      <c r="V350" s="162"/>
      <c r="W350" s="162"/>
      <c r="X350" s="163"/>
      <c r="Y350" s="163"/>
      <c r="Z350" s="177"/>
      <c r="AA350" s="178"/>
    </row>
    <row r="351" spans="1:27" ht="28.35" customHeight="1">
      <c r="A351" s="179">
        <v>295</v>
      </c>
      <c r="B351" s="180" t="s">
        <v>935</v>
      </c>
      <c r="C351" s="181" t="s">
        <v>936</v>
      </c>
      <c r="D351" s="182" t="s">
        <v>420</v>
      </c>
      <c r="E351" s="191"/>
      <c r="F351" s="192"/>
      <c r="G351" s="192"/>
      <c r="H351" s="193">
        <f t="shared" ref="H351:H352" si="229">SUM(E351:G351)</f>
        <v>0</v>
      </c>
      <c r="I351" s="194">
        <f t="shared" ref="I351:I352" si="230">H351*Z351</f>
        <v>0</v>
      </c>
      <c r="J351" s="191"/>
      <c r="K351" s="192"/>
      <c r="L351" s="192"/>
      <c r="M351" s="195">
        <f t="shared" ref="M351:M352" si="231">SUM(J351:L351)</f>
        <v>0</v>
      </c>
      <c r="N351" s="194">
        <f t="shared" ref="N351:N352" si="232">M351*Z351</f>
        <v>0</v>
      </c>
      <c r="O351" s="191"/>
      <c r="P351" s="192"/>
      <c r="Q351" s="192"/>
      <c r="R351" s="195">
        <f t="shared" ref="R351:R352" si="233">SUM(O351:Q351)</f>
        <v>0</v>
      </c>
      <c r="S351" s="194">
        <f t="shared" ref="S351:S352" si="234">R351*Z351</f>
        <v>0</v>
      </c>
      <c r="T351" s="191"/>
      <c r="U351" s="192"/>
      <c r="V351" s="192"/>
      <c r="W351" s="195">
        <f t="shared" ref="W351:W352" si="235">SUM(T351:V351)</f>
        <v>0</v>
      </c>
      <c r="X351" s="194">
        <f t="shared" ref="X351:X352" si="236">W351*Z351</f>
        <v>0</v>
      </c>
      <c r="Y351" s="183">
        <f t="shared" ref="Y351:Y352" si="237">H351+M351+R351+W351</f>
        <v>0</v>
      </c>
      <c r="Z351" s="205">
        <f>(VLOOKUP(B:B,[1]AppLists!M:O,3,FALSE))*$AB$2</f>
        <v>1199</v>
      </c>
      <c r="AA351" s="184">
        <f t="shared" ref="AA351:AA352" si="238">Y351*Z351</f>
        <v>0</v>
      </c>
    </row>
    <row r="352" spans="1:27" ht="28.35" customHeight="1" thickBot="1">
      <c r="A352" s="179">
        <v>296</v>
      </c>
      <c r="B352" s="197" t="s">
        <v>937</v>
      </c>
      <c r="C352" s="181" t="s">
        <v>938</v>
      </c>
      <c r="D352" s="199" t="s">
        <v>420</v>
      </c>
      <c r="E352" s="191"/>
      <c r="F352" s="192"/>
      <c r="G352" s="192"/>
      <c r="H352" s="193">
        <f t="shared" si="229"/>
        <v>0</v>
      </c>
      <c r="I352" s="194">
        <f t="shared" si="230"/>
        <v>0</v>
      </c>
      <c r="J352" s="191"/>
      <c r="K352" s="192"/>
      <c r="L352" s="192"/>
      <c r="M352" s="195">
        <f t="shared" si="231"/>
        <v>0</v>
      </c>
      <c r="N352" s="194">
        <f t="shared" si="232"/>
        <v>0</v>
      </c>
      <c r="O352" s="191"/>
      <c r="P352" s="192"/>
      <c r="Q352" s="192"/>
      <c r="R352" s="195">
        <f t="shared" si="233"/>
        <v>0</v>
      </c>
      <c r="S352" s="194">
        <f t="shared" si="234"/>
        <v>0</v>
      </c>
      <c r="T352" s="191"/>
      <c r="U352" s="192"/>
      <c r="V352" s="192"/>
      <c r="W352" s="195">
        <f t="shared" si="235"/>
        <v>0</v>
      </c>
      <c r="X352" s="194">
        <f t="shared" si="236"/>
        <v>0</v>
      </c>
      <c r="Y352" s="183">
        <f t="shared" si="237"/>
        <v>0</v>
      </c>
      <c r="Z352" s="205">
        <f>(VLOOKUP(B:B,[1]AppLists!M:O,3,FALSE))*$AB$2</f>
        <v>5232</v>
      </c>
      <c r="AA352" s="184">
        <f t="shared" si="238"/>
        <v>0</v>
      </c>
    </row>
    <row r="353" spans="1:27" ht="30" customHeight="1" thickBot="1">
      <c r="A353" s="160" t="s">
        <v>939</v>
      </c>
      <c r="B353" s="161"/>
      <c r="C353" s="161"/>
      <c r="D353" s="161"/>
      <c r="E353" s="162"/>
      <c r="F353" s="162"/>
      <c r="G353" s="162"/>
      <c r="H353" s="162"/>
      <c r="I353" s="163"/>
      <c r="J353" s="162"/>
      <c r="K353" s="162"/>
      <c r="L353" s="162"/>
      <c r="M353" s="162"/>
      <c r="N353" s="163"/>
      <c r="O353" s="162"/>
      <c r="P353" s="162"/>
      <c r="Q353" s="162"/>
      <c r="R353" s="162"/>
      <c r="S353" s="163"/>
      <c r="T353" s="162"/>
      <c r="U353" s="162"/>
      <c r="V353" s="162"/>
      <c r="W353" s="162"/>
      <c r="X353" s="163"/>
      <c r="Y353" s="163"/>
      <c r="Z353" s="177"/>
      <c r="AA353" s="178"/>
    </row>
    <row r="354" spans="1:27" ht="28.35" customHeight="1" thickBot="1">
      <c r="A354" s="166">
        <v>297</v>
      </c>
      <c r="B354" s="167" t="s">
        <v>940</v>
      </c>
      <c r="C354" s="168" t="s">
        <v>941</v>
      </c>
      <c r="D354" s="169" t="s">
        <v>420</v>
      </c>
      <c r="E354" s="191"/>
      <c r="F354" s="192"/>
      <c r="G354" s="192"/>
      <c r="H354" s="193">
        <f t="shared" ref="H354" si="239">SUM(E354:G354)</f>
        <v>0</v>
      </c>
      <c r="I354" s="194">
        <f t="shared" ref="I354" si="240">H354*Z354</f>
        <v>0</v>
      </c>
      <c r="J354" s="191"/>
      <c r="K354" s="192"/>
      <c r="L354" s="192"/>
      <c r="M354" s="195">
        <f t="shared" ref="M354" si="241">SUM(J354:L354)</f>
        <v>0</v>
      </c>
      <c r="N354" s="194">
        <f t="shared" ref="N354" si="242">M354*Z354</f>
        <v>0</v>
      </c>
      <c r="O354" s="191"/>
      <c r="P354" s="192"/>
      <c r="Q354" s="192"/>
      <c r="R354" s="195">
        <f t="shared" ref="R354" si="243">SUM(O354:Q354)</f>
        <v>0</v>
      </c>
      <c r="S354" s="194">
        <f t="shared" ref="S354" si="244">R354*Z354</f>
        <v>0</v>
      </c>
      <c r="T354" s="191"/>
      <c r="U354" s="192"/>
      <c r="V354" s="192"/>
      <c r="W354" s="195">
        <f t="shared" ref="W354" si="245">SUM(T354:V354)</f>
        <v>0</v>
      </c>
      <c r="X354" s="194">
        <f t="shared" ref="X354" si="246">W354*Z354</f>
        <v>0</v>
      </c>
      <c r="Y354" s="173">
        <f t="shared" ref="Y354" si="247">H354+M354+R354+W354</f>
        <v>0</v>
      </c>
      <c r="Z354" s="175">
        <f>(VLOOKUP(B:B,[1]AppLists!M:O,3,FALSE))*$AB$2</f>
        <v>7156.4168000000009</v>
      </c>
      <c r="AA354" s="176">
        <f t="shared" ref="AA354" si="248">Y354*Z354</f>
        <v>0</v>
      </c>
    </row>
    <row r="355" spans="1:27" ht="30" customHeight="1" thickBot="1">
      <c r="A355" s="160" t="s">
        <v>942</v>
      </c>
      <c r="B355" s="161"/>
      <c r="C355" s="161"/>
      <c r="D355" s="161"/>
      <c r="E355" s="162"/>
      <c r="F355" s="162"/>
      <c r="G355" s="162"/>
      <c r="H355" s="162"/>
      <c r="I355" s="163"/>
      <c r="J355" s="162"/>
      <c r="K355" s="162"/>
      <c r="L355" s="162"/>
      <c r="M355" s="162"/>
      <c r="N355" s="163"/>
      <c r="O355" s="162"/>
      <c r="P355" s="162"/>
      <c r="Q355" s="162"/>
      <c r="R355" s="162"/>
      <c r="S355" s="163"/>
      <c r="T355" s="162"/>
      <c r="U355" s="162"/>
      <c r="V355" s="162"/>
      <c r="W355" s="162"/>
      <c r="X355" s="163"/>
      <c r="Y355" s="163"/>
      <c r="Z355" s="177"/>
      <c r="AA355" s="178"/>
    </row>
    <row r="356" spans="1:27" ht="28.35" customHeight="1">
      <c r="A356" s="179">
        <v>298</v>
      </c>
      <c r="B356" s="180" t="s">
        <v>943</v>
      </c>
      <c r="C356" s="181" t="s">
        <v>944</v>
      </c>
      <c r="D356" s="182" t="s">
        <v>364</v>
      </c>
      <c r="E356" s="191"/>
      <c r="F356" s="192"/>
      <c r="G356" s="192"/>
      <c r="H356" s="193">
        <f t="shared" ref="H356:H359" si="249">SUM(E356:G356)</f>
        <v>0</v>
      </c>
      <c r="I356" s="194">
        <f t="shared" ref="I356:I359" si="250">H356*Z356</f>
        <v>0</v>
      </c>
      <c r="J356" s="191"/>
      <c r="K356" s="192"/>
      <c r="L356" s="192"/>
      <c r="M356" s="195">
        <f t="shared" ref="M356:M359" si="251">SUM(J356:L356)</f>
        <v>0</v>
      </c>
      <c r="N356" s="194">
        <f t="shared" ref="N356:N359" si="252">M356*Z356</f>
        <v>0</v>
      </c>
      <c r="O356" s="191"/>
      <c r="P356" s="192"/>
      <c r="Q356" s="192"/>
      <c r="R356" s="195">
        <f t="shared" ref="R356:R359" si="253">SUM(O356:Q356)</f>
        <v>0</v>
      </c>
      <c r="S356" s="194">
        <f t="shared" ref="S356:S359" si="254">R356*Z356</f>
        <v>0</v>
      </c>
      <c r="T356" s="191"/>
      <c r="U356" s="192"/>
      <c r="V356" s="192"/>
      <c r="W356" s="195">
        <f t="shared" ref="W356:W359" si="255">SUM(T356:V356)</f>
        <v>0</v>
      </c>
      <c r="X356" s="194">
        <f t="shared" ref="X356:X359" si="256">W356*Z356</f>
        <v>0</v>
      </c>
      <c r="Y356" s="183">
        <f t="shared" ref="Y356:Y359" si="257">H356+M356+R356+W356</f>
        <v>0</v>
      </c>
      <c r="Z356" s="205">
        <f>(VLOOKUP(B:B,[1]AppLists!M:O,3,FALSE))*$AB$2</f>
        <v>275.22500000000002</v>
      </c>
      <c r="AA356" s="184">
        <f t="shared" ref="AA356:AA359" si="258">Y356*Z356</f>
        <v>0</v>
      </c>
    </row>
    <row r="357" spans="1:27" ht="28.35" customHeight="1">
      <c r="A357" s="206">
        <v>299</v>
      </c>
      <c r="B357" s="197" t="s">
        <v>945</v>
      </c>
      <c r="C357" s="181" t="s">
        <v>946</v>
      </c>
      <c r="D357" s="199" t="s">
        <v>364</v>
      </c>
      <c r="E357" s="191"/>
      <c r="F357" s="192"/>
      <c r="G357" s="192"/>
      <c r="H357" s="193">
        <f t="shared" si="249"/>
        <v>0</v>
      </c>
      <c r="I357" s="194">
        <f t="shared" si="250"/>
        <v>0</v>
      </c>
      <c r="J357" s="191"/>
      <c r="K357" s="192"/>
      <c r="L357" s="192"/>
      <c r="M357" s="195">
        <f t="shared" si="251"/>
        <v>0</v>
      </c>
      <c r="N357" s="194">
        <f t="shared" si="252"/>
        <v>0</v>
      </c>
      <c r="O357" s="191"/>
      <c r="P357" s="192"/>
      <c r="Q357" s="192"/>
      <c r="R357" s="195">
        <f t="shared" si="253"/>
        <v>0</v>
      </c>
      <c r="S357" s="194">
        <f t="shared" si="254"/>
        <v>0</v>
      </c>
      <c r="T357" s="191"/>
      <c r="U357" s="192"/>
      <c r="V357" s="192"/>
      <c r="W357" s="195">
        <f t="shared" si="255"/>
        <v>0</v>
      </c>
      <c r="X357" s="194">
        <f t="shared" si="256"/>
        <v>0</v>
      </c>
      <c r="Y357" s="183">
        <f t="shared" si="257"/>
        <v>0</v>
      </c>
      <c r="Z357" s="205">
        <f>(VLOOKUP(B:B,[1]AppLists!M:O,3,FALSE))*$AB$2</f>
        <v>275.22500000000002</v>
      </c>
      <c r="AA357" s="184">
        <f t="shared" si="258"/>
        <v>0</v>
      </c>
    </row>
    <row r="358" spans="1:27" ht="28.35" customHeight="1">
      <c r="A358" s="206">
        <v>300</v>
      </c>
      <c r="B358" s="197" t="s">
        <v>947</v>
      </c>
      <c r="C358" s="181" t="s">
        <v>948</v>
      </c>
      <c r="D358" s="199" t="s">
        <v>420</v>
      </c>
      <c r="E358" s="191"/>
      <c r="F358" s="192"/>
      <c r="G358" s="192"/>
      <c r="H358" s="193">
        <f t="shared" si="249"/>
        <v>0</v>
      </c>
      <c r="I358" s="194">
        <f t="shared" si="250"/>
        <v>0</v>
      </c>
      <c r="J358" s="191"/>
      <c r="K358" s="192"/>
      <c r="L358" s="192"/>
      <c r="M358" s="195">
        <f t="shared" si="251"/>
        <v>0</v>
      </c>
      <c r="N358" s="194">
        <f t="shared" si="252"/>
        <v>0</v>
      </c>
      <c r="O358" s="191"/>
      <c r="P358" s="192"/>
      <c r="Q358" s="192"/>
      <c r="R358" s="195">
        <f t="shared" si="253"/>
        <v>0</v>
      </c>
      <c r="S358" s="194">
        <f t="shared" si="254"/>
        <v>0</v>
      </c>
      <c r="T358" s="191"/>
      <c r="U358" s="192"/>
      <c r="V358" s="192"/>
      <c r="W358" s="195">
        <f t="shared" si="255"/>
        <v>0</v>
      </c>
      <c r="X358" s="194">
        <f t="shared" si="256"/>
        <v>0</v>
      </c>
      <c r="Y358" s="183">
        <f t="shared" si="257"/>
        <v>0</v>
      </c>
      <c r="Z358" s="205">
        <f>(VLOOKUP(B:B,[1]AppLists!M:O,3,FALSE))*$AB$2</f>
        <v>1389.75</v>
      </c>
      <c r="AA358" s="184">
        <f t="shared" si="258"/>
        <v>0</v>
      </c>
    </row>
    <row r="359" spans="1:27" ht="28.35" customHeight="1" thickBot="1">
      <c r="A359" s="166">
        <v>301</v>
      </c>
      <c r="B359" s="185" t="s">
        <v>949</v>
      </c>
      <c r="C359" s="168" t="s">
        <v>950</v>
      </c>
      <c r="D359" s="187" t="s">
        <v>420</v>
      </c>
      <c r="E359" s="191"/>
      <c r="F359" s="192"/>
      <c r="G359" s="192"/>
      <c r="H359" s="193">
        <f t="shared" si="249"/>
        <v>0</v>
      </c>
      <c r="I359" s="194">
        <f t="shared" si="250"/>
        <v>0</v>
      </c>
      <c r="J359" s="191"/>
      <c r="K359" s="192"/>
      <c r="L359" s="192"/>
      <c r="M359" s="195">
        <f t="shared" si="251"/>
        <v>0</v>
      </c>
      <c r="N359" s="194">
        <f t="shared" si="252"/>
        <v>0</v>
      </c>
      <c r="O359" s="191"/>
      <c r="P359" s="192"/>
      <c r="Q359" s="192"/>
      <c r="R359" s="195">
        <f t="shared" si="253"/>
        <v>0</v>
      </c>
      <c r="S359" s="194">
        <f t="shared" si="254"/>
        <v>0</v>
      </c>
      <c r="T359" s="191"/>
      <c r="U359" s="192"/>
      <c r="V359" s="192"/>
      <c r="W359" s="195">
        <f t="shared" si="255"/>
        <v>0</v>
      </c>
      <c r="X359" s="194">
        <f t="shared" si="256"/>
        <v>0</v>
      </c>
      <c r="Y359" s="173">
        <f t="shared" si="257"/>
        <v>0</v>
      </c>
      <c r="Z359" s="175">
        <f>(VLOOKUP(B:B,[1]AppLists!M:O,3,FALSE))*$AB$2</f>
        <v>1389.75</v>
      </c>
      <c r="AA359" s="176">
        <f t="shared" si="258"/>
        <v>0</v>
      </c>
    </row>
    <row r="360" spans="1:27" ht="30" customHeight="1" thickBot="1">
      <c r="A360" s="160" t="s">
        <v>951</v>
      </c>
      <c r="B360" s="161"/>
      <c r="C360" s="161"/>
      <c r="D360" s="161"/>
      <c r="E360" s="162"/>
      <c r="F360" s="162"/>
      <c r="G360" s="162"/>
      <c r="H360" s="162"/>
      <c r="I360" s="163"/>
      <c r="J360" s="162"/>
      <c r="K360" s="162"/>
      <c r="L360" s="162"/>
      <c r="M360" s="162"/>
      <c r="N360" s="163"/>
      <c r="O360" s="162"/>
      <c r="P360" s="162"/>
      <c r="Q360" s="162"/>
      <c r="R360" s="162"/>
      <c r="S360" s="163"/>
      <c r="T360" s="162"/>
      <c r="U360" s="162"/>
      <c r="V360" s="162"/>
      <c r="W360" s="162"/>
      <c r="X360" s="163"/>
      <c r="Y360" s="163"/>
      <c r="Z360" s="177"/>
      <c r="AA360" s="178"/>
    </row>
    <row r="361" spans="1:27" ht="28.35" customHeight="1">
      <c r="A361" s="179">
        <v>302</v>
      </c>
      <c r="B361" s="180" t="s">
        <v>952</v>
      </c>
      <c r="C361" s="181" t="s">
        <v>953</v>
      </c>
      <c r="D361" s="182" t="s">
        <v>364</v>
      </c>
      <c r="E361" s="191"/>
      <c r="F361" s="192">
        <v>0</v>
      </c>
      <c r="G361" s="192"/>
      <c r="H361" s="193">
        <f t="shared" ref="H361:H367" si="259">SUM(E361:G361)</f>
        <v>0</v>
      </c>
      <c r="I361" s="194">
        <f t="shared" ref="I361:I367" si="260">H361*Z361</f>
        <v>0</v>
      </c>
      <c r="J361" s="191"/>
      <c r="K361" s="192"/>
      <c r="L361" s="192"/>
      <c r="M361" s="195">
        <f t="shared" ref="M361:M367" si="261">SUM(J361:L361)</f>
        <v>0</v>
      </c>
      <c r="N361" s="194">
        <f t="shared" ref="N361:N367" si="262">M361*Z361</f>
        <v>0</v>
      </c>
      <c r="O361" s="191"/>
      <c r="P361" s="192"/>
      <c r="Q361" s="192"/>
      <c r="R361" s="195">
        <f t="shared" ref="R361:R367" si="263">SUM(O361:Q361)</f>
        <v>0</v>
      </c>
      <c r="S361" s="194">
        <f t="shared" ref="S361:S367" si="264">R361*Z361</f>
        <v>0</v>
      </c>
      <c r="T361" s="191"/>
      <c r="U361" s="192"/>
      <c r="V361" s="192"/>
      <c r="W361" s="195">
        <f t="shared" ref="W361:W367" si="265">SUM(T361:V361)</f>
        <v>0</v>
      </c>
      <c r="X361" s="194">
        <f t="shared" ref="X361:X367" si="266">W361*Z361</f>
        <v>0</v>
      </c>
      <c r="Y361" s="183">
        <f t="shared" ref="Y361:Y367" si="267">H361+M361+R361+W361</f>
        <v>0</v>
      </c>
      <c r="Z361" s="205">
        <f>(VLOOKUP(B:B,[1]AppLists!M:O,3,FALSE))*$AB$2</f>
        <v>41.692500000000003</v>
      </c>
      <c r="AA361" s="184">
        <f t="shared" ref="AA361:AA367" si="268">Y361*Z361</f>
        <v>0</v>
      </c>
    </row>
    <row r="362" spans="1:27" ht="28.35" customHeight="1">
      <c r="A362" s="206">
        <v>303</v>
      </c>
      <c r="B362" s="197" t="s">
        <v>954</v>
      </c>
      <c r="C362" s="198" t="s">
        <v>955</v>
      </c>
      <c r="D362" s="199" t="s">
        <v>364</v>
      </c>
      <c r="E362" s="191"/>
      <c r="F362" s="192">
        <v>0</v>
      </c>
      <c r="G362" s="192"/>
      <c r="H362" s="193">
        <f t="shared" si="259"/>
        <v>0</v>
      </c>
      <c r="I362" s="194">
        <f t="shared" si="260"/>
        <v>0</v>
      </c>
      <c r="J362" s="191"/>
      <c r="K362" s="192"/>
      <c r="L362" s="192"/>
      <c r="M362" s="195">
        <f t="shared" si="261"/>
        <v>0</v>
      </c>
      <c r="N362" s="194">
        <f t="shared" si="262"/>
        <v>0</v>
      </c>
      <c r="O362" s="191"/>
      <c r="P362" s="192"/>
      <c r="Q362" s="192"/>
      <c r="R362" s="195">
        <f t="shared" si="263"/>
        <v>0</v>
      </c>
      <c r="S362" s="194">
        <f t="shared" si="264"/>
        <v>0</v>
      </c>
      <c r="T362" s="191"/>
      <c r="U362" s="192"/>
      <c r="V362" s="192"/>
      <c r="W362" s="195">
        <f t="shared" si="265"/>
        <v>0</v>
      </c>
      <c r="X362" s="194">
        <f t="shared" si="266"/>
        <v>0</v>
      </c>
      <c r="Y362" s="183">
        <f t="shared" si="267"/>
        <v>0</v>
      </c>
      <c r="Z362" s="205">
        <f>(VLOOKUP(B:B,[1]AppLists!M:O,3,FALSE))*$AB$2</f>
        <v>44.417500000000004</v>
      </c>
      <c r="AA362" s="184">
        <f t="shared" si="268"/>
        <v>0</v>
      </c>
    </row>
    <row r="363" spans="1:27" ht="28.35" customHeight="1">
      <c r="A363" s="206">
        <v>304</v>
      </c>
      <c r="B363" s="197" t="s">
        <v>956</v>
      </c>
      <c r="C363" s="198" t="s">
        <v>957</v>
      </c>
      <c r="D363" s="199" t="s">
        <v>364</v>
      </c>
      <c r="E363" s="191"/>
      <c r="F363" s="192"/>
      <c r="G363" s="192"/>
      <c r="H363" s="193">
        <f t="shared" si="259"/>
        <v>0</v>
      </c>
      <c r="I363" s="194">
        <f t="shared" si="260"/>
        <v>0</v>
      </c>
      <c r="J363" s="191"/>
      <c r="K363" s="192"/>
      <c r="L363" s="192"/>
      <c r="M363" s="195">
        <f t="shared" si="261"/>
        <v>0</v>
      </c>
      <c r="N363" s="194">
        <f t="shared" si="262"/>
        <v>0</v>
      </c>
      <c r="O363" s="191"/>
      <c r="P363" s="192"/>
      <c r="Q363" s="192"/>
      <c r="R363" s="195">
        <f t="shared" si="263"/>
        <v>0</v>
      </c>
      <c r="S363" s="194">
        <f t="shared" si="264"/>
        <v>0</v>
      </c>
      <c r="T363" s="191"/>
      <c r="U363" s="192"/>
      <c r="V363" s="192"/>
      <c r="W363" s="195">
        <f t="shared" si="265"/>
        <v>0</v>
      </c>
      <c r="X363" s="194">
        <f t="shared" si="266"/>
        <v>0</v>
      </c>
      <c r="Y363" s="183">
        <f t="shared" si="267"/>
        <v>0</v>
      </c>
      <c r="Z363" s="205">
        <f>(VLOOKUP(B:B,[1]AppLists!M:O,3,FALSE))*$AB$2</f>
        <v>4.6325000000000003</v>
      </c>
      <c r="AA363" s="184">
        <f t="shared" si="268"/>
        <v>0</v>
      </c>
    </row>
    <row r="364" spans="1:27" ht="28.35" customHeight="1">
      <c r="A364" s="206">
        <v>305</v>
      </c>
      <c r="B364" s="197" t="s">
        <v>958</v>
      </c>
      <c r="C364" s="198" t="s">
        <v>959</v>
      </c>
      <c r="D364" s="199" t="s">
        <v>364</v>
      </c>
      <c r="E364" s="191"/>
      <c r="F364" s="192">
        <v>0</v>
      </c>
      <c r="G364" s="192"/>
      <c r="H364" s="193">
        <f t="shared" si="259"/>
        <v>0</v>
      </c>
      <c r="I364" s="194">
        <f t="shared" si="260"/>
        <v>0</v>
      </c>
      <c r="J364" s="191"/>
      <c r="K364" s="192"/>
      <c r="L364" s="192"/>
      <c r="M364" s="195">
        <f t="shared" si="261"/>
        <v>0</v>
      </c>
      <c r="N364" s="194">
        <f t="shared" si="262"/>
        <v>0</v>
      </c>
      <c r="O364" s="191"/>
      <c r="P364" s="192"/>
      <c r="Q364" s="192"/>
      <c r="R364" s="195">
        <f t="shared" si="263"/>
        <v>0</v>
      </c>
      <c r="S364" s="194">
        <f t="shared" si="264"/>
        <v>0</v>
      </c>
      <c r="T364" s="191"/>
      <c r="U364" s="192"/>
      <c r="V364" s="192"/>
      <c r="W364" s="195">
        <f t="shared" si="265"/>
        <v>0</v>
      </c>
      <c r="X364" s="194">
        <f t="shared" si="266"/>
        <v>0</v>
      </c>
      <c r="Y364" s="183">
        <f t="shared" si="267"/>
        <v>0</v>
      </c>
      <c r="Z364" s="205">
        <f>(VLOOKUP(B:B,[1]AppLists!M:O,3,FALSE))*$AB$2</f>
        <v>36.275200000000005</v>
      </c>
      <c r="AA364" s="184">
        <f t="shared" si="268"/>
        <v>0</v>
      </c>
    </row>
    <row r="365" spans="1:27" ht="28.35" customHeight="1">
      <c r="A365" s="206">
        <v>306</v>
      </c>
      <c r="B365" s="197" t="s">
        <v>960</v>
      </c>
      <c r="C365" s="198" t="s">
        <v>961</v>
      </c>
      <c r="D365" s="199" t="s">
        <v>364</v>
      </c>
      <c r="E365" s="191"/>
      <c r="F365" s="192">
        <v>0</v>
      </c>
      <c r="G365" s="192"/>
      <c r="H365" s="193">
        <f t="shared" si="259"/>
        <v>0</v>
      </c>
      <c r="I365" s="194">
        <f t="shared" si="260"/>
        <v>0</v>
      </c>
      <c r="J365" s="191"/>
      <c r="K365" s="192"/>
      <c r="L365" s="192"/>
      <c r="M365" s="195">
        <f t="shared" si="261"/>
        <v>0</v>
      </c>
      <c r="N365" s="194">
        <f t="shared" si="262"/>
        <v>0</v>
      </c>
      <c r="O365" s="191"/>
      <c r="P365" s="192"/>
      <c r="Q365" s="192"/>
      <c r="R365" s="195">
        <f t="shared" si="263"/>
        <v>0</v>
      </c>
      <c r="S365" s="194">
        <f t="shared" si="264"/>
        <v>0</v>
      </c>
      <c r="T365" s="191"/>
      <c r="U365" s="192"/>
      <c r="V365" s="192"/>
      <c r="W365" s="195">
        <f t="shared" si="265"/>
        <v>0</v>
      </c>
      <c r="X365" s="194">
        <f t="shared" si="266"/>
        <v>0</v>
      </c>
      <c r="Y365" s="183">
        <f t="shared" si="267"/>
        <v>0</v>
      </c>
      <c r="Z365" s="205">
        <f>(VLOOKUP(B:B,[1]AppLists!M:O,3,FALSE))*$AB$2</f>
        <v>36.275200000000005</v>
      </c>
      <c r="AA365" s="184">
        <f t="shared" si="268"/>
        <v>0</v>
      </c>
    </row>
    <row r="366" spans="1:27" ht="28.35" customHeight="1">
      <c r="A366" s="206">
        <v>307</v>
      </c>
      <c r="B366" s="197" t="s">
        <v>962</v>
      </c>
      <c r="C366" s="198" t="s">
        <v>963</v>
      </c>
      <c r="D366" s="199" t="s">
        <v>364</v>
      </c>
      <c r="E366" s="191"/>
      <c r="F366" s="192">
        <v>0</v>
      </c>
      <c r="G366" s="192"/>
      <c r="H366" s="193">
        <f t="shared" si="259"/>
        <v>0</v>
      </c>
      <c r="I366" s="194">
        <f t="shared" si="260"/>
        <v>0</v>
      </c>
      <c r="J366" s="191"/>
      <c r="K366" s="192"/>
      <c r="L366" s="192"/>
      <c r="M366" s="195">
        <f t="shared" si="261"/>
        <v>0</v>
      </c>
      <c r="N366" s="194">
        <f t="shared" si="262"/>
        <v>0</v>
      </c>
      <c r="O366" s="191"/>
      <c r="P366" s="192"/>
      <c r="Q366" s="192"/>
      <c r="R366" s="195">
        <f t="shared" si="263"/>
        <v>0</v>
      </c>
      <c r="S366" s="194">
        <f t="shared" si="264"/>
        <v>0</v>
      </c>
      <c r="T366" s="191"/>
      <c r="U366" s="192"/>
      <c r="V366" s="192"/>
      <c r="W366" s="195">
        <f t="shared" si="265"/>
        <v>0</v>
      </c>
      <c r="X366" s="194">
        <f t="shared" si="266"/>
        <v>0</v>
      </c>
      <c r="Y366" s="183">
        <f t="shared" si="267"/>
        <v>0</v>
      </c>
      <c r="Z366" s="205">
        <f>(VLOOKUP(B:B,[1]AppLists!M:O,3,FALSE))*$AB$2</f>
        <v>36.275200000000005</v>
      </c>
      <c r="AA366" s="184">
        <f t="shared" si="268"/>
        <v>0</v>
      </c>
    </row>
    <row r="367" spans="1:27" ht="28.35" customHeight="1" thickBot="1">
      <c r="A367" s="206">
        <v>308</v>
      </c>
      <c r="B367" s="197" t="s">
        <v>964</v>
      </c>
      <c r="C367" s="198" t="s">
        <v>965</v>
      </c>
      <c r="D367" s="199" t="s">
        <v>339</v>
      </c>
      <c r="E367" s="191"/>
      <c r="F367" s="192"/>
      <c r="G367" s="192"/>
      <c r="H367" s="193">
        <f t="shared" si="259"/>
        <v>0</v>
      </c>
      <c r="I367" s="194">
        <f t="shared" si="260"/>
        <v>0</v>
      </c>
      <c r="J367" s="191"/>
      <c r="K367" s="192"/>
      <c r="L367" s="192"/>
      <c r="M367" s="195">
        <f t="shared" si="261"/>
        <v>0</v>
      </c>
      <c r="N367" s="194">
        <f t="shared" si="262"/>
        <v>0</v>
      </c>
      <c r="O367" s="191"/>
      <c r="P367" s="192"/>
      <c r="Q367" s="192"/>
      <c r="R367" s="195">
        <f t="shared" si="263"/>
        <v>0</v>
      </c>
      <c r="S367" s="194">
        <f t="shared" si="264"/>
        <v>0</v>
      </c>
      <c r="T367" s="191"/>
      <c r="U367" s="192"/>
      <c r="V367" s="192"/>
      <c r="W367" s="195">
        <f t="shared" si="265"/>
        <v>0</v>
      </c>
      <c r="X367" s="194">
        <f t="shared" si="266"/>
        <v>0</v>
      </c>
      <c r="Y367" s="183">
        <f t="shared" si="267"/>
        <v>0</v>
      </c>
      <c r="Z367" s="205">
        <f>(VLOOKUP(B:B,[1]AppLists!M:O,3,FALSE))*$AB$2</f>
        <v>135.90120000000002</v>
      </c>
      <c r="AA367" s="184">
        <f t="shared" si="268"/>
        <v>0</v>
      </c>
    </row>
    <row r="368" spans="1:27" ht="28.35" hidden="1" customHeight="1">
      <c r="A368" s="249"/>
      <c r="B368" s="250"/>
      <c r="C368" s="251"/>
      <c r="D368" s="252"/>
      <c r="E368" s="253"/>
      <c r="F368" s="253"/>
      <c r="G368" s="253"/>
      <c r="H368" s="254"/>
      <c r="I368" s="255"/>
      <c r="J368" s="253"/>
      <c r="K368" s="253"/>
      <c r="L368" s="253"/>
      <c r="M368" s="254"/>
      <c r="N368" s="255"/>
      <c r="O368" s="253"/>
      <c r="P368" s="253"/>
      <c r="Q368" s="253"/>
      <c r="R368" s="254"/>
      <c r="S368" s="255"/>
      <c r="T368" s="253"/>
      <c r="U368" s="253"/>
      <c r="V368" s="253"/>
      <c r="W368" s="254"/>
      <c r="X368" s="255"/>
      <c r="Y368" s="255"/>
      <c r="Z368" s="764">
        <f>SUM(AA34:AA367)</f>
        <v>419465.228</v>
      </c>
      <c r="AA368" s="765"/>
    </row>
    <row r="369" spans="1:27" ht="30" customHeight="1" thickBot="1">
      <c r="A369" s="256" t="s">
        <v>966</v>
      </c>
      <c r="B369" s="257"/>
      <c r="C369" s="258"/>
      <c r="D369" s="258"/>
      <c r="E369" s="259"/>
      <c r="F369" s="259"/>
      <c r="G369" s="259"/>
      <c r="H369" s="259"/>
      <c r="I369" s="260"/>
      <c r="J369" s="259"/>
      <c r="K369" s="259"/>
      <c r="L369" s="259"/>
      <c r="M369" s="259"/>
      <c r="N369" s="260"/>
      <c r="O369" s="259"/>
      <c r="P369" s="259"/>
      <c r="Q369" s="259"/>
      <c r="R369" s="259"/>
      <c r="S369" s="260"/>
      <c r="T369" s="259"/>
      <c r="U369" s="259"/>
      <c r="V369" s="259"/>
      <c r="W369" s="259"/>
      <c r="X369" s="260"/>
      <c r="Y369" s="260"/>
      <c r="Z369" s="261"/>
      <c r="AA369" s="262"/>
    </row>
    <row r="370" spans="1:27" ht="28.35" customHeight="1">
      <c r="A370" s="263">
        <v>1</v>
      </c>
      <c r="B370" s="264" t="s">
        <v>967</v>
      </c>
      <c r="C370" s="265" t="s">
        <v>968</v>
      </c>
      <c r="D370" s="266" t="s">
        <v>969</v>
      </c>
      <c r="E370" s="191"/>
      <c r="F370" s="192"/>
      <c r="G370" s="192"/>
      <c r="H370" s="193">
        <f t="shared" ref="H370:H385" si="269">SUM(E370:G370)</f>
        <v>0</v>
      </c>
      <c r="I370" s="194">
        <f t="shared" ref="I370:I385" si="270">H370*Z370</f>
        <v>0</v>
      </c>
      <c r="J370" s="191"/>
      <c r="K370" s="192"/>
      <c r="L370" s="192"/>
      <c r="M370" s="195">
        <f t="shared" ref="M370:M385" si="271">SUM(J370:L370)</f>
        <v>0</v>
      </c>
      <c r="N370" s="194">
        <f t="shared" ref="N370:N385" si="272">M370*Z370</f>
        <v>0</v>
      </c>
      <c r="O370" s="191"/>
      <c r="P370" s="192"/>
      <c r="Q370" s="192"/>
      <c r="R370" s="195">
        <f t="shared" ref="R370:R385" si="273">SUM(O370:Q370)</f>
        <v>0</v>
      </c>
      <c r="S370" s="194">
        <f t="shared" ref="S370:S385" si="274">R370*Z370</f>
        <v>0</v>
      </c>
      <c r="T370" s="191"/>
      <c r="U370" s="192"/>
      <c r="V370" s="192"/>
      <c r="W370" s="195">
        <f t="shared" ref="W370:W385" si="275">SUM(T370:V370)</f>
        <v>0</v>
      </c>
      <c r="X370" s="194">
        <f t="shared" ref="X370:X385" si="276">W370*Z370</f>
        <v>0</v>
      </c>
      <c r="Y370" s="267">
        <f>H370+M370+R370+W370</f>
        <v>0</v>
      </c>
      <c r="Z370" s="268"/>
      <c r="AA370" s="269">
        <f>Y370*Z370</f>
        <v>0</v>
      </c>
    </row>
    <row r="371" spans="1:27" ht="28.35" customHeight="1">
      <c r="A371" s="263">
        <v>2</v>
      </c>
      <c r="B371" s="270" t="s">
        <v>970</v>
      </c>
      <c r="C371" s="271" t="s">
        <v>971</v>
      </c>
      <c r="D371" s="272" t="s">
        <v>969</v>
      </c>
      <c r="E371" s="191"/>
      <c r="F371" s="192"/>
      <c r="G371" s="192"/>
      <c r="H371" s="193">
        <f t="shared" si="269"/>
        <v>0</v>
      </c>
      <c r="I371" s="194">
        <f t="shared" si="270"/>
        <v>0</v>
      </c>
      <c r="J371" s="191"/>
      <c r="K371" s="192"/>
      <c r="L371" s="192"/>
      <c r="M371" s="195">
        <f t="shared" si="271"/>
        <v>0</v>
      </c>
      <c r="N371" s="194">
        <f t="shared" si="272"/>
        <v>0</v>
      </c>
      <c r="O371" s="191"/>
      <c r="P371" s="192"/>
      <c r="Q371" s="192"/>
      <c r="R371" s="195">
        <f t="shared" si="273"/>
        <v>0</v>
      </c>
      <c r="S371" s="194">
        <f t="shared" si="274"/>
        <v>0</v>
      </c>
      <c r="T371" s="191"/>
      <c r="U371" s="192"/>
      <c r="V371" s="192"/>
      <c r="W371" s="195">
        <f t="shared" si="275"/>
        <v>0</v>
      </c>
      <c r="X371" s="194">
        <f t="shared" si="276"/>
        <v>0</v>
      </c>
      <c r="Y371" s="273">
        <f t="shared" ref="Y371:Y385" si="277">H371+M371+R371+W371</f>
        <v>0</v>
      </c>
      <c r="Z371" s="274"/>
      <c r="AA371" s="275">
        <f t="shared" ref="AA371:AA385" si="278">Y371*Z371</f>
        <v>0</v>
      </c>
    </row>
    <row r="372" spans="1:27" ht="28.35" customHeight="1">
      <c r="A372" s="263">
        <v>3</v>
      </c>
      <c r="B372" s="270" t="s">
        <v>972</v>
      </c>
      <c r="C372" s="271" t="s">
        <v>973</v>
      </c>
      <c r="D372" s="272" t="s">
        <v>969</v>
      </c>
      <c r="E372" s="191"/>
      <c r="F372" s="192"/>
      <c r="G372" s="192"/>
      <c r="H372" s="193">
        <f t="shared" si="269"/>
        <v>0</v>
      </c>
      <c r="I372" s="194">
        <f t="shared" si="270"/>
        <v>0</v>
      </c>
      <c r="J372" s="191"/>
      <c r="K372" s="192"/>
      <c r="L372" s="192"/>
      <c r="M372" s="195">
        <f t="shared" si="271"/>
        <v>0</v>
      </c>
      <c r="N372" s="194">
        <f t="shared" si="272"/>
        <v>0</v>
      </c>
      <c r="O372" s="191"/>
      <c r="P372" s="192"/>
      <c r="Q372" s="192"/>
      <c r="R372" s="195">
        <f t="shared" si="273"/>
        <v>0</v>
      </c>
      <c r="S372" s="194">
        <f t="shared" si="274"/>
        <v>0</v>
      </c>
      <c r="T372" s="191"/>
      <c r="U372" s="192"/>
      <c r="V372" s="192"/>
      <c r="W372" s="195">
        <f t="shared" si="275"/>
        <v>0</v>
      </c>
      <c r="X372" s="194">
        <f t="shared" si="276"/>
        <v>0</v>
      </c>
      <c r="Y372" s="273">
        <f t="shared" si="277"/>
        <v>0</v>
      </c>
      <c r="Z372" s="274"/>
      <c r="AA372" s="275">
        <f t="shared" si="278"/>
        <v>0</v>
      </c>
    </row>
    <row r="373" spans="1:27" ht="28.35" customHeight="1">
      <c r="A373" s="263">
        <v>4</v>
      </c>
      <c r="B373" s="270" t="s">
        <v>974</v>
      </c>
      <c r="C373" s="271" t="s">
        <v>975</v>
      </c>
      <c r="D373" s="272" t="s">
        <v>969</v>
      </c>
      <c r="E373" s="191"/>
      <c r="F373" s="192"/>
      <c r="G373" s="192">
        <v>8</v>
      </c>
      <c r="H373" s="193">
        <f t="shared" si="269"/>
        <v>8</v>
      </c>
      <c r="I373" s="194">
        <f t="shared" si="270"/>
        <v>136000</v>
      </c>
      <c r="J373" s="191"/>
      <c r="K373" s="192"/>
      <c r="L373" s="192"/>
      <c r="M373" s="195">
        <f t="shared" si="271"/>
        <v>0</v>
      </c>
      <c r="N373" s="194">
        <f t="shared" si="272"/>
        <v>0</v>
      </c>
      <c r="O373" s="191"/>
      <c r="P373" s="192"/>
      <c r="Q373" s="192"/>
      <c r="R373" s="195">
        <f t="shared" si="273"/>
        <v>0</v>
      </c>
      <c r="S373" s="194">
        <f t="shared" si="274"/>
        <v>0</v>
      </c>
      <c r="T373" s="191"/>
      <c r="U373" s="192"/>
      <c r="V373" s="192"/>
      <c r="W373" s="195">
        <f t="shared" si="275"/>
        <v>0</v>
      </c>
      <c r="X373" s="194">
        <f t="shared" si="276"/>
        <v>0</v>
      </c>
      <c r="Y373" s="273">
        <f t="shared" si="277"/>
        <v>8</v>
      </c>
      <c r="Z373" s="274">
        <v>17000</v>
      </c>
      <c r="AA373" s="275">
        <f t="shared" si="278"/>
        <v>136000</v>
      </c>
    </row>
    <row r="374" spans="1:27" ht="28.35" customHeight="1">
      <c r="A374" s="263">
        <v>5</v>
      </c>
      <c r="B374" s="270" t="s">
        <v>976</v>
      </c>
      <c r="C374" s="271" t="s">
        <v>977</v>
      </c>
      <c r="D374" s="272" t="s">
        <v>969</v>
      </c>
      <c r="E374" s="191"/>
      <c r="F374" s="192"/>
      <c r="G374" s="192"/>
      <c r="H374" s="193">
        <f t="shared" si="269"/>
        <v>0</v>
      </c>
      <c r="I374" s="194">
        <f t="shared" si="270"/>
        <v>0</v>
      </c>
      <c r="J374" s="191"/>
      <c r="K374" s="192"/>
      <c r="L374" s="192"/>
      <c r="M374" s="195">
        <f t="shared" si="271"/>
        <v>0</v>
      </c>
      <c r="N374" s="194">
        <f t="shared" si="272"/>
        <v>0</v>
      </c>
      <c r="O374" s="191"/>
      <c r="P374" s="192"/>
      <c r="Q374" s="192"/>
      <c r="R374" s="195">
        <f t="shared" si="273"/>
        <v>0</v>
      </c>
      <c r="S374" s="194">
        <f t="shared" si="274"/>
        <v>0</v>
      </c>
      <c r="T374" s="191"/>
      <c r="U374" s="192"/>
      <c r="V374" s="192"/>
      <c r="W374" s="195">
        <f t="shared" si="275"/>
        <v>0</v>
      </c>
      <c r="X374" s="194">
        <f t="shared" si="276"/>
        <v>0</v>
      </c>
      <c r="Y374" s="273">
        <f t="shared" si="277"/>
        <v>0</v>
      </c>
      <c r="Z374" s="274"/>
      <c r="AA374" s="275">
        <f t="shared" si="278"/>
        <v>0</v>
      </c>
    </row>
    <row r="375" spans="1:27" ht="28.35" customHeight="1">
      <c r="A375" s="263">
        <v>6</v>
      </c>
      <c r="B375" s="270" t="s">
        <v>978</v>
      </c>
      <c r="C375" s="271" t="s">
        <v>979</v>
      </c>
      <c r="D375" s="272" t="s">
        <v>969</v>
      </c>
      <c r="E375" s="191"/>
      <c r="F375" s="192"/>
      <c r="G375" s="192"/>
      <c r="H375" s="193">
        <f t="shared" si="269"/>
        <v>0</v>
      </c>
      <c r="I375" s="194">
        <f t="shared" si="270"/>
        <v>0</v>
      </c>
      <c r="J375" s="191"/>
      <c r="K375" s="192"/>
      <c r="L375" s="192"/>
      <c r="M375" s="195">
        <f t="shared" si="271"/>
        <v>0</v>
      </c>
      <c r="N375" s="194">
        <f t="shared" si="272"/>
        <v>0</v>
      </c>
      <c r="O375" s="191"/>
      <c r="P375" s="192"/>
      <c r="Q375" s="192"/>
      <c r="R375" s="195">
        <f t="shared" si="273"/>
        <v>0</v>
      </c>
      <c r="S375" s="194">
        <f t="shared" si="274"/>
        <v>0</v>
      </c>
      <c r="T375" s="191"/>
      <c r="U375" s="192"/>
      <c r="V375" s="192"/>
      <c r="W375" s="195">
        <f t="shared" si="275"/>
        <v>0</v>
      </c>
      <c r="X375" s="194">
        <f t="shared" si="276"/>
        <v>0</v>
      </c>
      <c r="Y375" s="273">
        <f t="shared" si="277"/>
        <v>0</v>
      </c>
      <c r="Z375" s="274"/>
      <c r="AA375" s="275">
        <f t="shared" si="278"/>
        <v>0</v>
      </c>
    </row>
    <row r="376" spans="1:27" ht="28.35" customHeight="1">
      <c r="A376" s="263">
        <v>7</v>
      </c>
      <c r="B376" s="270" t="s">
        <v>980</v>
      </c>
      <c r="C376" s="271" t="s">
        <v>981</v>
      </c>
      <c r="D376" s="272" t="s">
        <v>969</v>
      </c>
      <c r="E376" s="191"/>
      <c r="F376" s="192"/>
      <c r="G376" s="192"/>
      <c r="H376" s="193">
        <f t="shared" si="269"/>
        <v>0</v>
      </c>
      <c r="I376" s="194">
        <f t="shared" si="270"/>
        <v>0</v>
      </c>
      <c r="J376" s="191"/>
      <c r="K376" s="192"/>
      <c r="L376" s="192"/>
      <c r="M376" s="195">
        <f t="shared" si="271"/>
        <v>0</v>
      </c>
      <c r="N376" s="194">
        <f t="shared" si="272"/>
        <v>0</v>
      </c>
      <c r="O376" s="191"/>
      <c r="P376" s="192"/>
      <c r="Q376" s="192"/>
      <c r="R376" s="195">
        <f t="shared" si="273"/>
        <v>0</v>
      </c>
      <c r="S376" s="194">
        <f t="shared" si="274"/>
        <v>0</v>
      </c>
      <c r="T376" s="191"/>
      <c r="U376" s="192"/>
      <c r="V376" s="192"/>
      <c r="W376" s="195">
        <f t="shared" si="275"/>
        <v>0</v>
      </c>
      <c r="X376" s="194">
        <f t="shared" si="276"/>
        <v>0</v>
      </c>
      <c r="Y376" s="273">
        <f t="shared" si="277"/>
        <v>0</v>
      </c>
      <c r="Z376" s="274"/>
      <c r="AA376" s="275">
        <f t="shared" si="278"/>
        <v>0</v>
      </c>
    </row>
    <row r="377" spans="1:27" ht="28.35" customHeight="1">
      <c r="A377" s="263">
        <v>8</v>
      </c>
      <c r="B377" s="270" t="s">
        <v>982</v>
      </c>
      <c r="C377" s="271" t="s">
        <v>983</v>
      </c>
      <c r="D377" s="272" t="s">
        <v>969</v>
      </c>
      <c r="E377" s="191"/>
      <c r="F377" s="192"/>
      <c r="G377" s="192"/>
      <c r="H377" s="193">
        <f t="shared" si="269"/>
        <v>0</v>
      </c>
      <c r="I377" s="194">
        <f t="shared" si="270"/>
        <v>0</v>
      </c>
      <c r="J377" s="191"/>
      <c r="K377" s="192"/>
      <c r="L377" s="192"/>
      <c r="M377" s="195">
        <f t="shared" si="271"/>
        <v>0</v>
      </c>
      <c r="N377" s="194">
        <f t="shared" si="272"/>
        <v>0</v>
      </c>
      <c r="O377" s="191"/>
      <c r="P377" s="192"/>
      <c r="Q377" s="192"/>
      <c r="R377" s="195">
        <f t="shared" si="273"/>
        <v>0</v>
      </c>
      <c r="S377" s="194">
        <f t="shared" si="274"/>
        <v>0</v>
      </c>
      <c r="T377" s="191"/>
      <c r="U377" s="192"/>
      <c r="V377" s="192"/>
      <c r="W377" s="195">
        <f t="shared" si="275"/>
        <v>0</v>
      </c>
      <c r="X377" s="194">
        <f t="shared" si="276"/>
        <v>0</v>
      </c>
      <c r="Y377" s="273">
        <f t="shared" si="277"/>
        <v>0</v>
      </c>
      <c r="Z377" s="274"/>
      <c r="AA377" s="275">
        <f t="shared" si="278"/>
        <v>0</v>
      </c>
    </row>
    <row r="378" spans="1:27" ht="28.35" customHeight="1">
      <c r="A378" s="263">
        <v>9</v>
      </c>
      <c r="B378" s="270" t="s">
        <v>984</v>
      </c>
      <c r="C378" s="271" t="s">
        <v>985</v>
      </c>
      <c r="D378" s="272" t="s">
        <v>969</v>
      </c>
      <c r="E378" s="191"/>
      <c r="F378" s="192"/>
      <c r="G378" s="192"/>
      <c r="H378" s="193">
        <f t="shared" si="269"/>
        <v>0</v>
      </c>
      <c r="I378" s="194">
        <f t="shared" si="270"/>
        <v>0</v>
      </c>
      <c r="J378" s="191"/>
      <c r="K378" s="192"/>
      <c r="L378" s="192"/>
      <c r="M378" s="195">
        <f t="shared" si="271"/>
        <v>0</v>
      </c>
      <c r="N378" s="194">
        <f t="shared" si="272"/>
        <v>0</v>
      </c>
      <c r="O378" s="191"/>
      <c r="P378" s="192"/>
      <c r="Q378" s="192"/>
      <c r="R378" s="195">
        <f t="shared" si="273"/>
        <v>0</v>
      </c>
      <c r="S378" s="194">
        <f t="shared" si="274"/>
        <v>0</v>
      </c>
      <c r="T378" s="191"/>
      <c r="U378" s="192"/>
      <c r="V378" s="192"/>
      <c r="W378" s="195">
        <f t="shared" si="275"/>
        <v>0</v>
      </c>
      <c r="X378" s="194">
        <f t="shared" si="276"/>
        <v>0</v>
      </c>
      <c r="Y378" s="273">
        <f t="shared" si="277"/>
        <v>0</v>
      </c>
      <c r="Z378" s="274"/>
      <c r="AA378" s="275">
        <f t="shared" si="278"/>
        <v>0</v>
      </c>
    </row>
    <row r="379" spans="1:27" ht="28.35" customHeight="1">
      <c r="A379" s="263">
        <v>10</v>
      </c>
      <c r="B379" s="270" t="s">
        <v>986</v>
      </c>
      <c r="C379" s="271" t="s">
        <v>987</v>
      </c>
      <c r="D379" s="272" t="s">
        <v>969</v>
      </c>
      <c r="E379" s="191"/>
      <c r="F379" s="192"/>
      <c r="G379" s="192"/>
      <c r="H379" s="193">
        <f t="shared" si="269"/>
        <v>0</v>
      </c>
      <c r="I379" s="194">
        <f t="shared" si="270"/>
        <v>0</v>
      </c>
      <c r="J379" s="191"/>
      <c r="K379" s="192"/>
      <c r="L379" s="192"/>
      <c r="M379" s="195">
        <f t="shared" si="271"/>
        <v>0</v>
      </c>
      <c r="N379" s="194">
        <f t="shared" si="272"/>
        <v>0</v>
      </c>
      <c r="O379" s="191"/>
      <c r="P379" s="192"/>
      <c r="Q379" s="192"/>
      <c r="R379" s="195">
        <f t="shared" si="273"/>
        <v>0</v>
      </c>
      <c r="S379" s="194">
        <f t="shared" si="274"/>
        <v>0</v>
      </c>
      <c r="T379" s="191"/>
      <c r="U379" s="192"/>
      <c r="V379" s="192"/>
      <c r="W379" s="195">
        <f t="shared" si="275"/>
        <v>0</v>
      </c>
      <c r="X379" s="194">
        <f t="shared" si="276"/>
        <v>0</v>
      </c>
      <c r="Y379" s="273">
        <f t="shared" si="277"/>
        <v>0</v>
      </c>
      <c r="Z379" s="274"/>
      <c r="AA379" s="275">
        <f t="shared" si="278"/>
        <v>0</v>
      </c>
    </row>
    <row r="380" spans="1:27" ht="28.35" customHeight="1">
      <c r="A380" s="263">
        <v>11</v>
      </c>
      <c r="B380" s="270" t="s">
        <v>988</v>
      </c>
      <c r="C380" s="271" t="s">
        <v>989</v>
      </c>
      <c r="D380" s="272" t="s">
        <v>969</v>
      </c>
      <c r="E380" s="191"/>
      <c r="F380" s="192"/>
      <c r="G380" s="192"/>
      <c r="H380" s="193">
        <f t="shared" si="269"/>
        <v>0</v>
      </c>
      <c r="I380" s="194">
        <f t="shared" si="270"/>
        <v>0</v>
      </c>
      <c r="J380" s="191"/>
      <c r="K380" s="192"/>
      <c r="L380" s="192"/>
      <c r="M380" s="195">
        <f t="shared" si="271"/>
        <v>0</v>
      </c>
      <c r="N380" s="194">
        <f t="shared" si="272"/>
        <v>0</v>
      </c>
      <c r="O380" s="191"/>
      <c r="P380" s="192"/>
      <c r="Q380" s="192"/>
      <c r="R380" s="195">
        <f t="shared" si="273"/>
        <v>0</v>
      </c>
      <c r="S380" s="194">
        <f t="shared" si="274"/>
        <v>0</v>
      </c>
      <c r="T380" s="191"/>
      <c r="U380" s="192"/>
      <c r="V380" s="192"/>
      <c r="W380" s="195">
        <f t="shared" si="275"/>
        <v>0</v>
      </c>
      <c r="X380" s="194">
        <f t="shared" si="276"/>
        <v>0</v>
      </c>
      <c r="Y380" s="273">
        <f t="shared" si="277"/>
        <v>0</v>
      </c>
      <c r="Z380" s="274"/>
      <c r="AA380" s="275">
        <f t="shared" si="278"/>
        <v>0</v>
      </c>
    </row>
    <row r="381" spans="1:27" ht="28.35" customHeight="1">
      <c r="A381" s="263">
        <v>12</v>
      </c>
      <c r="B381" s="270" t="s">
        <v>990</v>
      </c>
      <c r="C381" s="271" t="s">
        <v>991</v>
      </c>
      <c r="D381" s="272" t="s">
        <v>969</v>
      </c>
      <c r="E381" s="191"/>
      <c r="F381" s="192"/>
      <c r="G381" s="192"/>
      <c r="H381" s="193">
        <f t="shared" si="269"/>
        <v>0</v>
      </c>
      <c r="I381" s="194">
        <f t="shared" si="270"/>
        <v>0</v>
      </c>
      <c r="J381" s="191"/>
      <c r="K381" s="192"/>
      <c r="L381" s="192"/>
      <c r="M381" s="195">
        <f t="shared" si="271"/>
        <v>0</v>
      </c>
      <c r="N381" s="194">
        <f t="shared" si="272"/>
        <v>0</v>
      </c>
      <c r="O381" s="191"/>
      <c r="P381" s="192"/>
      <c r="Q381" s="192"/>
      <c r="R381" s="195">
        <f t="shared" si="273"/>
        <v>0</v>
      </c>
      <c r="S381" s="194">
        <f t="shared" si="274"/>
        <v>0</v>
      </c>
      <c r="T381" s="191"/>
      <c r="U381" s="192"/>
      <c r="V381" s="192"/>
      <c r="W381" s="195">
        <f t="shared" si="275"/>
        <v>0</v>
      </c>
      <c r="X381" s="194">
        <f t="shared" si="276"/>
        <v>0</v>
      </c>
      <c r="Y381" s="273">
        <f t="shared" si="277"/>
        <v>0</v>
      </c>
      <c r="Z381" s="274"/>
      <c r="AA381" s="275">
        <f t="shared" si="278"/>
        <v>0</v>
      </c>
    </row>
    <row r="382" spans="1:27" ht="28.35" customHeight="1">
      <c r="A382" s="263">
        <v>13</v>
      </c>
      <c r="B382" s="270" t="s">
        <v>992</v>
      </c>
      <c r="C382" s="271" t="s">
        <v>993</v>
      </c>
      <c r="D382" s="272" t="s">
        <v>969</v>
      </c>
      <c r="E382" s="191"/>
      <c r="F382" s="192"/>
      <c r="G382" s="192"/>
      <c r="H382" s="193">
        <f t="shared" si="269"/>
        <v>0</v>
      </c>
      <c r="I382" s="194">
        <f t="shared" si="270"/>
        <v>0</v>
      </c>
      <c r="J382" s="191"/>
      <c r="K382" s="192"/>
      <c r="L382" s="192"/>
      <c r="M382" s="195">
        <f t="shared" si="271"/>
        <v>0</v>
      </c>
      <c r="N382" s="194">
        <f t="shared" si="272"/>
        <v>0</v>
      </c>
      <c r="O382" s="191"/>
      <c r="P382" s="192"/>
      <c r="Q382" s="192"/>
      <c r="R382" s="195">
        <f t="shared" si="273"/>
        <v>0</v>
      </c>
      <c r="S382" s="194">
        <f t="shared" si="274"/>
        <v>0</v>
      </c>
      <c r="T382" s="191"/>
      <c r="U382" s="192"/>
      <c r="V382" s="192"/>
      <c r="W382" s="195">
        <f t="shared" si="275"/>
        <v>0</v>
      </c>
      <c r="X382" s="194">
        <f t="shared" si="276"/>
        <v>0</v>
      </c>
      <c r="Y382" s="273">
        <f t="shared" si="277"/>
        <v>0</v>
      </c>
      <c r="Z382" s="274"/>
      <c r="AA382" s="275">
        <f t="shared" si="278"/>
        <v>0</v>
      </c>
    </row>
    <row r="383" spans="1:27" ht="28.35" customHeight="1">
      <c r="A383" s="276">
        <v>14</v>
      </c>
      <c r="B383" s="277" t="s">
        <v>994</v>
      </c>
      <c r="C383" s="271" t="s">
        <v>995</v>
      </c>
      <c r="D383" s="278" t="s">
        <v>969</v>
      </c>
      <c r="E383" s="191"/>
      <c r="F383" s="192"/>
      <c r="G383" s="192">
        <v>8</v>
      </c>
      <c r="H383" s="193">
        <f t="shared" si="269"/>
        <v>8</v>
      </c>
      <c r="I383" s="194">
        <f t="shared" si="270"/>
        <v>32000</v>
      </c>
      <c r="J383" s="191"/>
      <c r="K383" s="192"/>
      <c r="L383" s="192"/>
      <c r="M383" s="195">
        <f t="shared" si="271"/>
        <v>0</v>
      </c>
      <c r="N383" s="194">
        <f t="shared" si="272"/>
        <v>0</v>
      </c>
      <c r="O383" s="191"/>
      <c r="P383" s="192"/>
      <c r="Q383" s="192"/>
      <c r="R383" s="195">
        <f t="shared" si="273"/>
        <v>0</v>
      </c>
      <c r="S383" s="194">
        <f t="shared" si="274"/>
        <v>0</v>
      </c>
      <c r="T383" s="191"/>
      <c r="U383" s="192"/>
      <c r="V383" s="192"/>
      <c r="W383" s="195">
        <f t="shared" si="275"/>
        <v>0</v>
      </c>
      <c r="X383" s="194">
        <f t="shared" si="276"/>
        <v>0</v>
      </c>
      <c r="Y383" s="273">
        <f t="shared" si="277"/>
        <v>8</v>
      </c>
      <c r="Z383" s="274">
        <v>4000</v>
      </c>
      <c r="AA383" s="275">
        <f t="shared" si="278"/>
        <v>32000</v>
      </c>
    </row>
    <row r="384" spans="1:27" ht="28.35" customHeight="1">
      <c r="A384" s="263">
        <v>15</v>
      </c>
      <c r="B384" s="279" t="s">
        <v>996</v>
      </c>
      <c r="C384" s="271" t="s">
        <v>997</v>
      </c>
      <c r="D384" s="278" t="s">
        <v>969</v>
      </c>
      <c r="E384" s="191"/>
      <c r="F384" s="192"/>
      <c r="G384" s="192"/>
      <c r="H384" s="193">
        <f t="shared" si="269"/>
        <v>0</v>
      </c>
      <c r="I384" s="194">
        <f t="shared" si="270"/>
        <v>0</v>
      </c>
      <c r="J384" s="191"/>
      <c r="K384" s="192"/>
      <c r="L384" s="192"/>
      <c r="M384" s="195">
        <f t="shared" si="271"/>
        <v>0</v>
      </c>
      <c r="N384" s="194">
        <f t="shared" si="272"/>
        <v>0</v>
      </c>
      <c r="O384" s="191"/>
      <c r="P384" s="192"/>
      <c r="Q384" s="192"/>
      <c r="R384" s="195">
        <f t="shared" si="273"/>
        <v>0</v>
      </c>
      <c r="S384" s="194">
        <f t="shared" si="274"/>
        <v>0</v>
      </c>
      <c r="T384" s="191"/>
      <c r="U384" s="192"/>
      <c r="V384" s="192"/>
      <c r="W384" s="195">
        <f t="shared" si="275"/>
        <v>0</v>
      </c>
      <c r="X384" s="194">
        <f t="shared" si="276"/>
        <v>0</v>
      </c>
      <c r="Y384" s="273">
        <f t="shared" si="277"/>
        <v>0</v>
      </c>
      <c r="Z384" s="274"/>
      <c r="AA384" s="275">
        <f t="shared" si="278"/>
        <v>0</v>
      </c>
    </row>
    <row r="385" spans="1:27" ht="28.35" customHeight="1" thickBot="1">
      <c r="A385" s="280">
        <v>16</v>
      </c>
      <c r="B385" s="281" t="s">
        <v>998</v>
      </c>
      <c r="C385" s="282" t="s">
        <v>999</v>
      </c>
      <c r="D385" s="283" t="s">
        <v>969</v>
      </c>
      <c r="E385" s="191"/>
      <c r="F385" s="192"/>
      <c r="G385" s="192"/>
      <c r="H385" s="193">
        <f t="shared" si="269"/>
        <v>0</v>
      </c>
      <c r="I385" s="194">
        <f t="shared" si="270"/>
        <v>0</v>
      </c>
      <c r="J385" s="191"/>
      <c r="K385" s="192"/>
      <c r="L385" s="192"/>
      <c r="M385" s="195">
        <f t="shared" si="271"/>
        <v>0</v>
      </c>
      <c r="N385" s="194">
        <f t="shared" si="272"/>
        <v>0</v>
      </c>
      <c r="O385" s="191"/>
      <c r="P385" s="192"/>
      <c r="Q385" s="192"/>
      <c r="R385" s="195">
        <f t="shared" si="273"/>
        <v>0</v>
      </c>
      <c r="S385" s="194">
        <f t="shared" si="274"/>
        <v>0</v>
      </c>
      <c r="T385" s="191"/>
      <c r="U385" s="192"/>
      <c r="V385" s="192"/>
      <c r="W385" s="195">
        <f t="shared" si="275"/>
        <v>0</v>
      </c>
      <c r="X385" s="194">
        <f t="shared" si="276"/>
        <v>0</v>
      </c>
      <c r="Y385" s="284">
        <f t="shared" si="277"/>
        <v>0</v>
      </c>
      <c r="Z385" s="285"/>
      <c r="AA385" s="286">
        <f t="shared" si="278"/>
        <v>0</v>
      </c>
    </row>
    <row r="386" spans="1:27" ht="30" customHeight="1" thickBot="1">
      <c r="A386" s="287" t="s">
        <v>1000</v>
      </c>
      <c r="B386" s="288"/>
      <c r="C386" s="288"/>
      <c r="D386" s="288"/>
      <c r="E386" s="289"/>
      <c r="F386" s="289"/>
      <c r="G386" s="289"/>
      <c r="H386" s="289"/>
      <c r="I386" s="290"/>
      <c r="J386" s="289"/>
      <c r="K386" s="289"/>
      <c r="L386" s="289"/>
      <c r="M386" s="289"/>
      <c r="N386" s="290"/>
      <c r="O386" s="289"/>
      <c r="P386" s="289"/>
      <c r="Q386" s="289"/>
      <c r="R386" s="289"/>
      <c r="S386" s="290"/>
      <c r="T386" s="289"/>
      <c r="U386" s="289"/>
      <c r="V386" s="289"/>
      <c r="W386" s="289"/>
      <c r="X386" s="290"/>
      <c r="Y386" s="290"/>
      <c r="Z386" s="291"/>
      <c r="AA386" s="292"/>
    </row>
    <row r="387" spans="1:27" ht="28.35" customHeight="1">
      <c r="A387" s="293">
        <v>1</v>
      </c>
      <c r="B387" s="294"/>
      <c r="C387" s="294"/>
      <c r="D387" s="295"/>
      <c r="E387" s="191"/>
      <c r="F387" s="192"/>
      <c r="G387" s="192"/>
      <c r="H387" s="193">
        <f t="shared" ref="H387:H389" si="279">SUM(E387:G387)</f>
        <v>0</v>
      </c>
      <c r="I387" s="194">
        <f t="shared" ref="I387:I389" si="280">H387*Z387</f>
        <v>0</v>
      </c>
      <c r="J387" s="191"/>
      <c r="K387" s="192"/>
      <c r="L387" s="192"/>
      <c r="M387" s="195">
        <f t="shared" ref="M387:M389" si="281">SUM(J387:L387)</f>
        <v>0</v>
      </c>
      <c r="N387" s="194">
        <f t="shared" ref="N387:N389" si="282">M387*Z387</f>
        <v>0</v>
      </c>
      <c r="O387" s="191"/>
      <c r="P387" s="192"/>
      <c r="Q387" s="192"/>
      <c r="R387" s="195">
        <f t="shared" ref="R387:R389" si="283">SUM(O387:Q387)</f>
        <v>0</v>
      </c>
      <c r="S387" s="194">
        <f t="shared" ref="S387:S389" si="284">R387*Z387</f>
        <v>0</v>
      </c>
      <c r="T387" s="191"/>
      <c r="U387" s="192"/>
      <c r="V387" s="192"/>
      <c r="W387" s="195">
        <f t="shared" ref="W387:W389" si="285">SUM(T387:V387)</f>
        <v>0</v>
      </c>
      <c r="X387" s="194">
        <f t="shared" ref="X387:X389" si="286">W387*Z387</f>
        <v>0</v>
      </c>
      <c r="Y387" s="296">
        <f>H387+M387+R387+W387</f>
        <v>0</v>
      </c>
      <c r="Z387" s="268"/>
      <c r="AA387" s="297">
        <f>Y387*Z387</f>
        <v>0</v>
      </c>
    </row>
    <row r="388" spans="1:27" ht="28.35" customHeight="1">
      <c r="A388" s="298">
        <v>2</v>
      </c>
      <c r="B388" s="299"/>
      <c r="C388" s="299"/>
      <c r="D388" s="300"/>
      <c r="E388" s="191"/>
      <c r="F388" s="192"/>
      <c r="G388" s="192"/>
      <c r="H388" s="193">
        <f t="shared" si="279"/>
        <v>0</v>
      </c>
      <c r="I388" s="194">
        <f t="shared" si="280"/>
        <v>0</v>
      </c>
      <c r="J388" s="191"/>
      <c r="K388" s="192"/>
      <c r="L388" s="192"/>
      <c r="M388" s="195">
        <f t="shared" si="281"/>
        <v>0</v>
      </c>
      <c r="N388" s="194">
        <f t="shared" si="282"/>
        <v>0</v>
      </c>
      <c r="O388" s="191"/>
      <c r="P388" s="192"/>
      <c r="Q388" s="192"/>
      <c r="R388" s="195">
        <f t="shared" si="283"/>
        <v>0</v>
      </c>
      <c r="S388" s="194">
        <f t="shared" si="284"/>
        <v>0</v>
      </c>
      <c r="T388" s="191"/>
      <c r="U388" s="192"/>
      <c r="V388" s="192"/>
      <c r="W388" s="195">
        <f t="shared" si="285"/>
        <v>0</v>
      </c>
      <c r="X388" s="194">
        <f t="shared" si="286"/>
        <v>0</v>
      </c>
      <c r="Y388" s="301">
        <f>H388+M388+R388+W388</f>
        <v>0</v>
      </c>
      <c r="Z388" s="274"/>
      <c r="AA388" s="302">
        <f>Y388*Z388</f>
        <v>0</v>
      </c>
    </row>
    <row r="389" spans="1:27" ht="28.35" customHeight="1" thickBot="1">
      <c r="A389" s="303">
        <v>3</v>
      </c>
      <c r="B389" s="304"/>
      <c r="C389" s="304"/>
      <c r="D389" s="305"/>
      <c r="E389" s="191"/>
      <c r="F389" s="192"/>
      <c r="G389" s="192"/>
      <c r="H389" s="193">
        <f t="shared" si="279"/>
        <v>0</v>
      </c>
      <c r="I389" s="194">
        <f t="shared" si="280"/>
        <v>0</v>
      </c>
      <c r="J389" s="191"/>
      <c r="K389" s="192"/>
      <c r="L389" s="192"/>
      <c r="M389" s="195">
        <f t="shared" si="281"/>
        <v>0</v>
      </c>
      <c r="N389" s="194">
        <f t="shared" si="282"/>
        <v>0</v>
      </c>
      <c r="O389" s="191"/>
      <c r="P389" s="192"/>
      <c r="Q389" s="192"/>
      <c r="R389" s="195">
        <f t="shared" si="283"/>
        <v>0</v>
      </c>
      <c r="S389" s="194">
        <f t="shared" si="284"/>
        <v>0</v>
      </c>
      <c r="T389" s="191"/>
      <c r="U389" s="192"/>
      <c r="V389" s="192"/>
      <c r="W389" s="195">
        <f t="shared" si="285"/>
        <v>0</v>
      </c>
      <c r="X389" s="194">
        <f t="shared" si="286"/>
        <v>0</v>
      </c>
      <c r="Y389" s="306">
        <f>H389+M389+R389+W389</f>
        <v>0</v>
      </c>
      <c r="Z389" s="285"/>
      <c r="AA389" s="307">
        <f>Y389*Z389</f>
        <v>0</v>
      </c>
    </row>
    <row r="390" spans="1:27" ht="30" customHeight="1" thickBot="1">
      <c r="A390" s="160" t="s">
        <v>1001</v>
      </c>
      <c r="B390" s="161"/>
      <c r="C390" s="161"/>
      <c r="D390" s="308"/>
      <c r="E390" s="161"/>
      <c r="F390" s="161"/>
      <c r="G390" s="161"/>
      <c r="H390" s="162"/>
      <c r="I390" s="163"/>
      <c r="J390" s="162"/>
      <c r="K390" s="162"/>
      <c r="L390" s="162"/>
      <c r="M390" s="162"/>
      <c r="N390" s="163"/>
      <c r="O390" s="162"/>
      <c r="P390" s="162"/>
      <c r="Q390" s="162"/>
      <c r="R390" s="162"/>
      <c r="S390" s="163"/>
      <c r="T390" s="162"/>
      <c r="U390" s="162"/>
      <c r="V390" s="162"/>
      <c r="W390" s="162"/>
      <c r="X390" s="163"/>
      <c r="Y390" s="163"/>
      <c r="Z390" s="162"/>
      <c r="AA390" s="178"/>
    </row>
    <row r="391" spans="1:27" ht="28.35" customHeight="1" thickBot="1">
      <c r="A391" s="309">
        <v>1</v>
      </c>
      <c r="B391" s="310" t="s">
        <v>1002</v>
      </c>
      <c r="C391" s="311" t="s">
        <v>1003</v>
      </c>
      <c r="D391" s="312" t="s">
        <v>1004</v>
      </c>
      <c r="E391" s="191"/>
      <c r="F391" s="192"/>
      <c r="G391" s="192"/>
      <c r="H391" s="193">
        <f t="shared" ref="H391" si="287">SUM(E391:G391)</f>
        <v>0</v>
      </c>
      <c r="I391" s="194">
        <f t="shared" ref="I391" si="288">H391*Z391</f>
        <v>0</v>
      </c>
      <c r="J391" s="191"/>
      <c r="K391" s="192"/>
      <c r="L391" s="192"/>
      <c r="M391" s="195">
        <f t="shared" ref="M391" si="289">SUM(J391:L391)</f>
        <v>0</v>
      </c>
      <c r="N391" s="194">
        <f t="shared" ref="N391" si="290">M391*Z391</f>
        <v>0</v>
      </c>
      <c r="O391" s="191"/>
      <c r="P391" s="192"/>
      <c r="Q391" s="192"/>
      <c r="R391" s="195">
        <f t="shared" ref="R391" si="291">SUM(O391:Q391)</f>
        <v>0</v>
      </c>
      <c r="S391" s="194">
        <f t="shared" ref="S391" si="292">R391*Z391</f>
        <v>0</v>
      </c>
      <c r="T391" s="191"/>
      <c r="U391" s="192"/>
      <c r="V391" s="192"/>
      <c r="W391" s="195">
        <f t="shared" ref="W391" si="293">SUM(T391:V391)</f>
        <v>0</v>
      </c>
      <c r="X391" s="194">
        <f t="shared" ref="X391" si="294">W391*Z391</f>
        <v>0</v>
      </c>
      <c r="Y391" s="267">
        <f t="shared" ref="Y391" si="295">H391+M391+R391+W391</f>
        <v>0</v>
      </c>
      <c r="Z391" s="268"/>
      <c r="AA391" s="269">
        <f t="shared" ref="AA391" si="296">Y391*Z391</f>
        <v>0</v>
      </c>
    </row>
    <row r="392" spans="1:27" ht="28.35" customHeight="1" thickBot="1">
      <c r="A392" s="313"/>
      <c r="B392" s="314"/>
      <c r="C392" s="315"/>
      <c r="D392" s="316"/>
      <c r="E392" s="316"/>
      <c r="F392" s="316"/>
      <c r="G392" s="316"/>
      <c r="H392" s="316"/>
      <c r="I392" s="317"/>
      <c r="J392" s="316"/>
      <c r="K392" s="316"/>
      <c r="L392" s="316"/>
      <c r="M392" s="316"/>
      <c r="N392" s="317"/>
      <c r="O392" s="316"/>
      <c r="P392" s="316"/>
      <c r="Q392" s="316"/>
      <c r="R392" s="316"/>
      <c r="S392" s="317"/>
      <c r="T392" s="316"/>
      <c r="U392" s="316"/>
      <c r="V392" s="316"/>
      <c r="W392" s="316"/>
      <c r="X392" s="317"/>
      <c r="Y392" s="317"/>
      <c r="Z392" s="318"/>
      <c r="AA392" s="319"/>
    </row>
    <row r="393" spans="1:27" ht="28.35" customHeight="1" thickBot="1">
      <c r="A393" s="766" t="s">
        <v>1005</v>
      </c>
      <c r="B393" s="767"/>
      <c r="C393" s="767"/>
      <c r="D393" s="767"/>
      <c r="E393" s="767"/>
      <c r="F393" s="767"/>
      <c r="G393" s="767"/>
      <c r="H393" s="767"/>
      <c r="I393" s="767"/>
      <c r="J393" s="767"/>
      <c r="K393" s="767"/>
      <c r="L393" s="767"/>
      <c r="M393" s="767"/>
      <c r="N393" s="767"/>
      <c r="O393" s="767"/>
      <c r="P393" s="767"/>
      <c r="Q393" s="767"/>
      <c r="R393" s="767"/>
      <c r="S393" s="767"/>
      <c r="T393" s="767"/>
      <c r="U393" s="767"/>
      <c r="V393" s="767"/>
      <c r="W393" s="767"/>
      <c r="X393" s="767"/>
      <c r="Y393" s="767"/>
      <c r="Z393" s="767"/>
      <c r="AA393" s="768"/>
    </row>
    <row r="394" spans="1:27" ht="30" customHeight="1" thickBot="1">
      <c r="A394" s="320" t="s">
        <v>1006</v>
      </c>
      <c r="B394" s="321"/>
      <c r="C394" s="321"/>
      <c r="D394" s="322"/>
      <c r="E394" s="189"/>
      <c r="F394" s="189"/>
      <c r="G394" s="189"/>
      <c r="H394" s="189"/>
      <c r="I394" s="190"/>
      <c r="J394" s="189"/>
      <c r="K394" s="189"/>
      <c r="L394" s="189"/>
      <c r="M394" s="189"/>
      <c r="N394" s="190"/>
      <c r="O394" s="189"/>
      <c r="P394" s="189"/>
      <c r="Q394" s="189"/>
      <c r="R394" s="189"/>
      <c r="S394" s="190"/>
      <c r="T394" s="189"/>
      <c r="U394" s="189"/>
      <c r="V394" s="189"/>
      <c r="W394" s="189"/>
      <c r="X394" s="190"/>
      <c r="Y394" s="190"/>
      <c r="Z394" s="323"/>
      <c r="AA394" s="324"/>
    </row>
    <row r="395" spans="1:27" ht="28.35" customHeight="1">
      <c r="A395" s="325">
        <v>1</v>
      </c>
      <c r="B395" s="294"/>
      <c r="C395" s="326"/>
      <c r="D395" s="327"/>
      <c r="E395" s="191"/>
      <c r="F395" s="192"/>
      <c r="G395" s="192"/>
      <c r="H395" s="193">
        <f t="shared" ref="H395:H398" si="297">SUM(E395:G395)</f>
        <v>0</v>
      </c>
      <c r="I395" s="194">
        <f t="shared" ref="I395:I398" si="298">H395*Z395</f>
        <v>0</v>
      </c>
      <c r="J395" s="191"/>
      <c r="K395" s="192"/>
      <c r="L395" s="192"/>
      <c r="M395" s="195">
        <f t="shared" ref="M395:M398" si="299">SUM(J395:L395)</f>
        <v>0</v>
      </c>
      <c r="N395" s="194">
        <f t="shared" ref="N395:N398" si="300">M395*Z395</f>
        <v>0</v>
      </c>
      <c r="O395" s="191"/>
      <c r="P395" s="192"/>
      <c r="Q395" s="192"/>
      <c r="R395" s="195">
        <f t="shared" ref="R395:R398" si="301">SUM(O395:Q395)</f>
        <v>0</v>
      </c>
      <c r="S395" s="194">
        <f t="shared" ref="S395:S398" si="302">R395*Z395</f>
        <v>0</v>
      </c>
      <c r="T395" s="191"/>
      <c r="U395" s="192"/>
      <c r="V395" s="192"/>
      <c r="W395" s="195">
        <f t="shared" ref="W395:W398" si="303">SUM(T395:V395)</f>
        <v>0</v>
      </c>
      <c r="X395" s="194">
        <f t="shared" ref="X395:X398" si="304">W395*Z395</f>
        <v>0</v>
      </c>
      <c r="Y395" s="328">
        <f t="shared" ref="Y395:Y396" si="305">H395+M395+R395+W395</f>
        <v>0</v>
      </c>
      <c r="Z395" s="329"/>
      <c r="AA395" s="330">
        <f t="shared" ref="AA395:AA396" si="306">Y395*Z395</f>
        <v>0</v>
      </c>
    </row>
    <row r="396" spans="1:27" ht="28.35" customHeight="1">
      <c r="A396" s="331">
        <v>2</v>
      </c>
      <c r="B396" s="299"/>
      <c r="C396" s="326"/>
      <c r="D396" s="327"/>
      <c r="E396" s="191"/>
      <c r="F396" s="192"/>
      <c r="G396" s="192"/>
      <c r="H396" s="193">
        <f t="shared" si="297"/>
        <v>0</v>
      </c>
      <c r="I396" s="194">
        <f t="shared" si="298"/>
        <v>0</v>
      </c>
      <c r="J396" s="191"/>
      <c r="K396" s="192"/>
      <c r="L396" s="192"/>
      <c r="M396" s="195">
        <f t="shared" si="299"/>
        <v>0</v>
      </c>
      <c r="N396" s="194">
        <f t="shared" si="300"/>
        <v>0</v>
      </c>
      <c r="O396" s="191"/>
      <c r="P396" s="192"/>
      <c r="Q396" s="192"/>
      <c r="R396" s="195">
        <f t="shared" si="301"/>
        <v>0</v>
      </c>
      <c r="S396" s="194">
        <f t="shared" si="302"/>
        <v>0</v>
      </c>
      <c r="T396" s="191"/>
      <c r="U396" s="192"/>
      <c r="V396" s="192"/>
      <c r="W396" s="195">
        <f t="shared" si="303"/>
        <v>0</v>
      </c>
      <c r="X396" s="194">
        <f t="shared" si="304"/>
        <v>0</v>
      </c>
      <c r="Y396" s="328">
        <f t="shared" si="305"/>
        <v>0</v>
      </c>
      <c r="Z396" s="329"/>
      <c r="AA396" s="330">
        <f t="shared" si="306"/>
        <v>0</v>
      </c>
    </row>
    <row r="397" spans="1:27" ht="28.35" customHeight="1" thickBot="1">
      <c r="A397" s="332">
        <v>3</v>
      </c>
      <c r="B397" s="299"/>
      <c r="C397" s="326"/>
      <c r="D397" s="327"/>
      <c r="E397" s="191"/>
      <c r="F397" s="192"/>
      <c r="G397" s="192"/>
      <c r="H397" s="193">
        <f t="shared" si="297"/>
        <v>0</v>
      </c>
      <c r="I397" s="194">
        <f t="shared" si="298"/>
        <v>0</v>
      </c>
      <c r="J397" s="191"/>
      <c r="K397" s="192"/>
      <c r="L397" s="192"/>
      <c r="M397" s="195">
        <f t="shared" si="299"/>
        <v>0</v>
      </c>
      <c r="N397" s="194">
        <f t="shared" si="300"/>
        <v>0</v>
      </c>
      <c r="O397" s="191"/>
      <c r="P397" s="192"/>
      <c r="Q397" s="192"/>
      <c r="R397" s="195">
        <f t="shared" si="301"/>
        <v>0</v>
      </c>
      <c r="S397" s="194">
        <f t="shared" si="302"/>
        <v>0</v>
      </c>
      <c r="T397" s="191"/>
      <c r="U397" s="192"/>
      <c r="V397" s="192"/>
      <c r="W397" s="195">
        <f t="shared" si="303"/>
        <v>0</v>
      </c>
      <c r="X397" s="194">
        <f t="shared" si="304"/>
        <v>0</v>
      </c>
      <c r="Y397" s="328">
        <f>H397+M397+R397+W397</f>
        <v>0</v>
      </c>
      <c r="Z397" s="329"/>
      <c r="AA397" s="330">
        <f>Y397*Z397</f>
        <v>0</v>
      </c>
    </row>
    <row r="398" spans="1:27" ht="28.35" customHeight="1">
      <c r="A398" s="325">
        <v>4</v>
      </c>
      <c r="B398" s="299"/>
      <c r="C398" s="326"/>
      <c r="D398" s="333"/>
      <c r="E398" s="191"/>
      <c r="F398" s="192"/>
      <c r="G398" s="192"/>
      <c r="H398" s="193">
        <f t="shared" si="297"/>
        <v>0</v>
      </c>
      <c r="I398" s="194">
        <f t="shared" si="298"/>
        <v>0</v>
      </c>
      <c r="J398" s="191"/>
      <c r="K398" s="192"/>
      <c r="L398" s="192"/>
      <c r="M398" s="195">
        <f t="shared" si="299"/>
        <v>0</v>
      </c>
      <c r="N398" s="194">
        <f t="shared" si="300"/>
        <v>0</v>
      </c>
      <c r="O398" s="191"/>
      <c r="P398" s="192"/>
      <c r="Q398" s="192"/>
      <c r="R398" s="195">
        <f t="shared" si="301"/>
        <v>0</v>
      </c>
      <c r="S398" s="194">
        <f t="shared" si="302"/>
        <v>0</v>
      </c>
      <c r="T398" s="191"/>
      <c r="U398" s="192"/>
      <c r="V398" s="192"/>
      <c r="W398" s="195">
        <f t="shared" si="303"/>
        <v>0</v>
      </c>
      <c r="X398" s="194">
        <f t="shared" si="304"/>
        <v>0</v>
      </c>
      <c r="Y398" s="328">
        <f>H398+M398+R398+W398</f>
        <v>0</v>
      </c>
      <c r="Z398" s="329"/>
      <c r="AA398" s="330">
        <f>Y398*Z398</f>
        <v>0</v>
      </c>
    </row>
    <row r="399" spans="1:27" ht="28.35" customHeight="1">
      <c r="A399" s="332"/>
      <c r="B399" s="299"/>
      <c r="C399" s="299"/>
      <c r="D399" s="300"/>
      <c r="E399" s="334"/>
      <c r="F399" s="334"/>
      <c r="G399" s="334"/>
      <c r="H399" s="335"/>
      <c r="I399" s="301"/>
      <c r="J399" s="334"/>
      <c r="K399" s="334"/>
      <c r="L399" s="334"/>
      <c r="M399" s="335"/>
      <c r="N399" s="301"/>
      <c r="O399" s="334"/>
      <c r="P399" s="334"/>
      <c r="Q399" s="334"/>
      <c r="R399" s="335"/>
      <c r="S399" s="301"/>
      <c r="T399" s="334"/>
      <c r="U399" s="334"/>
      <c r="V399" s="334"/>
      <c r="W399" s="335"/>
      <c r="X399" s="301"/>
      <c r="Y399" s="301"/>
      <c r="Z399" s="274"/>
      <c r="AA399" s="302"/>
    </row>
    <row r="400" spans="1:27" ht="30" customHeight="1" thickBot="1">
      <c r="A400" s="331"/>
      <c r="B400" s="299"/>
      <c r="C400" s="299"/>
      <c r="D400" s="300"/>
      <c r="E400" s="334"/>
      <c r="F400" s="334"/>
      <c r="G400" s="334"/>
      <c r="H400" s="335"/>
      <c r="I400" s="301"/>
      <c r="J400" s="334"/>
      <c r="K400" s="334"/>
      <c r="L400" s="334"/>
      <c r="M400" s="335"/>
      <c r="N400" s="301"/>
      <c r="O400" s="334"/>
      <c r="P400" s="334"/>
      <c r="Q400" s="334"/>
      <c r="R400" s="335"/>
      <c r="S400" s="301"/>
      <c r="T400" s="334"/>
      <c r="U400" s="334"/>
      <c r="V400" s="334"/>
      <c r="W400" s="335"/>
      <c r="X400" s="301"/>
      <c r="Y400" s="301"/>
      <c r="Z400" s="274"/>
      <c r="AA400" s="302"/>
    </row>
    <row r="401" spans="1:27" ht="28.35" customHeight="1" thickBot="1">
      <c r="A401" s="256" t="s">
        <v>1007</v>
      </c>
      <c r="B401" s="336"/>
      <c r="C401" s="336"/>
      <c r="D401" s="337"/>
      <c r="E401" s="337"/>
      <c r="F401" s="337"/>
      <c r="G401" s="337"/>
      <c r="H401" s="337"/>
      <c r="I401" s="338"/>
      <c r="J401" s="337"/>
      <c r="K401" s="337"/>
      <c r="L401" s="337"/>
      <c r="M401" s="337"/>
      <c r="N401" s="338"/>
      <c r="O401" s="337"/>
      <c r="P401" s="337"/>
      <c r="Q401" s="337"/>
      <c r="R401" s="337"/>
      <c r="S401" s="338"/>
      <c r="T401" s="337"/>
      <c r="U401" s="337"/>
      <c r="V401" s="337"/>
      <c r="W401" s="337"/>
      <c r="X401" s="338"/>
      <c r="Y401" s="338"/>
      <c r="Z401" s="339"/>
      <c r="AA401" s="340"/>
    </row>
    <row r="402" spans="1:27" ht="28.35" customHeight="1">
      <c r="A402" s="325">
        <v>1</v>
      </c>
      <c r="B402" s="294"/>
      <c r="C402" s="326"/>
      <c r="D402" s="333"/>
      <c r="E402" s="191"/>
      <c r="F402" s="192"/>
      <c r="G402" s="192"/>
      <c r="H402" s="193">
        <f t="shared" ref="H402:H403" si="307">SUM(E402:G402)</f>
        <v>0</v>
      </c>
      <c r="I402" s="194">
        <f t="shared" ref="I402:I403" si="308">H402*Z402</f>
        <v>0</v>
      </c>
      <c r="J402" s="191"/>
      <c r="K402" s="192"/>
      <c r="L402" s="192"/>
      <c r="M402" s="195">
        <f t="shared" ref="M402:M403" si="309">SUM(J402:L402)</f>
        <v>0</v>
      </c>
      <c r="N402" s="194">
        <f t="shared" ref="N402:N403" si="310">M402*Z402</f>
        <v>0</v>
      </c>
      <c r="O402" s="191"/>
      <c r="P402" s="192"/>
      <c r="Q402" s="192"/>
      <c r="R402" s="195">
        <f t="shared" ref="R402:R403" si="311">SUM(O402:Q402)</f>
        <v>0</v>
      </c>
      <c r="S402" s="194">
        <f t="shared" ref="S402:S403" si="312">R402*Z402</f>
        <v>0</v>
      </c>
      <c r="T402" s="191"/>
      <c r="U402" s="192"/>
      <c r="V402" s="192"/>
      <c r="W402" s="195">
        <f t="shared" ref="W402:W403" si="313">SUM(T402:V402)</f>
        <v>0</v>
      </c>
      <c r="X402" s="194">
        <f t="shared" ref="X402:X403" si="314">W402*Z402</f>
        <v>0</v>
      </c>
      <c r="Y402" s="328">
        <f>H402+M402+R402+W402</f>
        <v>0</v>
      </c>
      <c r="Z402" s="329"/>
      <c r="AA402" s="330">
        <f>Y402*Z402</f>
        <v>0</v>
      </c>
    </row>
    <row r="403" spans="1:27" ht="28.35" customHeight="1">
      <c r="A403" s="331">
        <v>2</v>
      </c>
      <c r="B403" s="299"/>
      <c r="C403" s="326"/>
      <c r="D403" s="333"/>
      <c r="E403" s="191"/>
      <c r="F403" s="192"/>
      <c r="G403" s="192"/>
      <c r="H403" s="193">
        <f t="shared" si="307"/>
        <v>0</v>
      </c>
      <c r="I403" s="194">
        <f t="shared" si="308"/>
        <v>0</v>
      </c>
      <c r="J403" s="191"/>
      <c r="K403" s="192"/>
      <c r="L403" s="192"/>
      <c r="M403" s="195">
        <f t="shared" si="309"/>
        <v>0</v>
      </c>
      <c r="N403" s="194">
        <f t="shared" si="310"/>
        <v>0</v>
      </c>
      <c r="O403" s="191"/>
      <c r="P403" s="192"/>
      <c r="Q403" s="192"/>
      <c r="R403" s="195">
        <f t="shared" si="311"/>
        <v>0</v>
      </c>
      <c r="S403" s="194">
        <f t="shared" si="312"/>
        <v>0</v>
      </c>
      <c r="T403" s="191"/>
      <c r="U403" s="192"/>
      <c r="V403" s="192"/>
      <c r="W403" s="195">
        <f t="shared" si="313"/>
        <v>0</v>
      </c>
      <c r="X403" s="194">
        <f t="shared" si="314"/>
        <v>0</v>
      </c>
      <c r="Y403" s="328">
        <f>H403+M403+R403+W403</f>
        <v>0</v>
      </c>
      <c r="Z403" s="329"/>
      <c r="AA403" s="330">
        <f>Y403*Z403</f>
        <v>0</v>
      </c>
    </row>
    <row r="404" spans="1:27" ht="28.35" customHeight="1" thickBot="1">
      <c r="A404" s="332">
        <v>3</v>
      </c>
      <c r="B404" s="299"/>
      <c r="C404" s="326"/>
      <c r="D404" s="333"/>
      <c r="E404" s="327"/>
      <c r="F404" s="327"/>
      <c r="G404" s="327"/>
      <c r="H404" s="341"/>
      <c r="I404" s="328"/>
      <c r="J404" s="327"/>
      <c r="K404" s="327"/>
      <c r="L404" s="327"/>
      <c r="M404" s="341"/>
      <c r="N404" s="328"/>
      <c r="O404" s="327"/>
      <c r="P404" s="327"/>
      <c r="Q404" s="327"/>
      <c r="R404" s="341"/>
      <c r="S404" s="328"/>
      <c r="T404" s="327"/>
      <c r="U404" s="327"/>
      <c r="V404" s="327"/>
      <c r="W404" s="341"/>
      <c r="X404" s="328"/>
      <c r="Y404" s="328"/>
      <c r="Z404" s="329"/>
      <c r="AA404" s="330"/>
    </row>
    <row r="405" spans="1:27" ht="28.35" customHeight="1">
      <c r="A405" s="325">
        <v>4</v>
      </c>
      <c r="B405" s="299"/>
      <c r="C405" s="326"/>
      <c r="D405" s="333"/>
      <c r="E405" s="327"/>
      <c r="F405" s="327"/>
      <c r="G405" s="327"/>
      <c r="H405" s="341"/>
      <c r="I405" s="328"/>
      <c r="J405" s="327"/>
      <c r="K405" s="327"/>
      <c r="L405" s="327"/>
      <c r="M405" s="341"/>
      <c r="N405" s="328"/>
      <c r="O405" s="327"/>
      <c r="P405" s="327"/>
      <c r="Q405" s="327"/>
      <c r="R405" s="341"/>
      <c r="S405" s="328"/>
      <c r="T405" s="327"/>
      <c r="U405" s="327"/>
      <c r="V405" s="327"/>
      <c r="W405" s="341"/>
      <c r="X405" s="328"/>
      <c r="Y405" s="328"/>
      <c r="Z405" s="329"/>
      <c r="AA405" s="330"/>
    </row>
    <row r="406" spans="1:27" ht="28.35" customHeight="1">
      <c r="A406" s="332"/>
      <c r="B406" s="299"/>
      <c r="C406" s="299"/>
      <c r="D406" s="300"/>
      <c r="E406" s="334"/>
      <c r="F406" s="334"/>
      <c r="G406" s="334"/>
      <c r="H406" s="335"/>
      <c r="I406" s="301"/>
      <c r="J406" s="334"/>
      <c r="K406" s="334"/>
      <c r="L406" s="334"/>
      <c r="M406" s="335"/>
      <c r="N406" s="301"/>
      <c r="O406" s="334"/>
      <c r="P406" s="334"/>
      <c r="Q406" s="334"/>
      <c r="R406" s="335"/>
      <c r="S406" s="301"/>
      <c r="T406" s="334"/>
      <c r="U406" s="334"/>
      <c r="V406" s="334"/>
      <c r="W406" s="335"/>
      <c r="X406" s="301"/>
      <c r="Y406" s="301"/>
      <c r="Z406" s="274"/>
      <c r="AA406" s="302"/>
    </row>
    <row r="407" spans="1:27" ht="30" customHeight="1" thickBot="1">
      <c r="A407" s="331"/>
      <c r="B407" s="299"/>
      <c r="C407" s="299"/>
      <c r="D407" s="300"/>
      <c r="E407" s="334"/>
      <c r="F407" s="334"/>
      <c r="G407" s="334"/>
      <c r="H407" s="335"/>
      <c r="I407" s="301"/>
      <c r="J407" s="334"/>
      <c r="K407" s="334"/>
      <c r="L407" s="334"/>
      <c r="M407" s="335"/>
      <c r="N407" s="301"/>
      <c r="O407" s="334"/>
      <c r="P407" s="334"/>
      <c r="Q407" s="334"/>
      <c r="R407" s="335"/>
      <c r="S407" s="301"/>
      <c r="T407" s="334"/>
      <c r="U407" s="334"/>
      <c r="V407" s="334"/>
      <c r="W407" s="335"/>
      <c r="X407" s="301"/>
      <c r="Y407" s="301"/>
      <c r="Z407" s="274"/>
      <c r="AA407" s="302"/>
    </row>
    <row r="408" spans="1:27" ht="28.35" customHeight="1" thickBot="1">
      <c r="A408" s="256" t="s">
        <v>1008</v>
      </c>
      <c r="B408" s="336"/>
      <c r="C408" s="336"/>
      <c r="D408" s="337"/>
      <c r="E408" s="337"/>
      <c r="F408" s="337"/>
      <c r="G408" s="337"/>
      <c r="H408" s="337"/>
      <c r="I408" s="338"/>
      <c r="J408" s="337"/>
      <c r="K408" s="337"/>
      <c r="L408" s="337"/>
      <c r="M408" s="337"/>
      <c r="N408" s="338"/>
      <c r="O408" s="337"/>
      <c r="P408" s="337"/>
      <c r="Q408" s="337"/>
      <c r="R408" s="337"/>
      <c r="S408" s="338"/>
      <c r="T408" s="337"/>
      <c r="U408" s="337"/>
      <c r="V408" s="337"/>
      <c r="W408" s="337"/>
      <c r="X408" s="338"/>
      <c r="Y408" s="338"/>
      <c r="Z408" s="339"/>
      <c r="AA408" s="340"/>
    </row>
    <row r="409" spans="1:27" ht="28.35" customHeight="1">
      <c r="A409" s="325">
        <v>1</v>
      </c>
      <c r="B409" s="294"/>
      <c r="C409" s="326"/>
      <c r="D409" s="327"/>
      <c r="E409" s="191"/>
      <c r="F409" s="192"/>
      <c r="G409" s="192"/>
      <c r="H409" s="193">
        <f t="shared" ref="H409:H472" si="315">SUM(E409:G409)</f>
        <v>0</v>
      </c>
      <c r="I409" s="194">
        <f t="shared" ref="I409:I472" si="316">H409*Z409</f>
        <v>0</v>
      </c>
      <c r="J409" s="191"/>
      <c r="K409" s="192"/>
      <c r="L409" s="192"/>
      <c r="M409" s="195">
        <f t="shared" ref="M409:M472" si="317">SUM(J409:L409)</f>
        <v>0</v>
      </c>
      <c r="N409" s="194">
        <f t="shared" ref="N409:N472" si="318">M409*Z409</f>
        <v>0</v>
      </c>
      <c r="O409" s="191"/>
      <c r="P409" s="192"/>
      <c r="Q409" s="192"/>
      <c r="R409" s="195">
        <f t="shared" ref="R409:R472" si="319">SUM(O409:Q409)</f>
        <v>0</v>
      </c>
      <c r="S409" s="194">
        <f t="shared" ref="S409:S472" si="320">R409*Z409</f>
        <v>0</v>
      </c>
      <c r="T409" s="191"/>
      <c r="U409" s="192"/>
      <c r="V409" s="192"/>
      <c r="W409" s="195">
        <f t="shared" ref="W409:W472" si="321">SUM(T409:V409)</f>
        <v>0</v>
      </c>
      <c r="X409" s="194">
        <f t="shared" ref="X409:X472" si="322">W409*Z409</f>
        <v>0</v>
      </c>
      <c r="Y409" s="328">
        <f t="shared" ref="Y409:Y476" si="323">H409+M409+R409+W409</f>
        <v>0</v>
      </c>
      <c r="Z409" s="329"/>
      <c r="AA409" s="330">
        <f t="shared" ref="AA409:AA476" si="324">Y409*Z409</f>
        <v>0</v>
      </c>
    </row>
    <row r="410" spans="1:27" ht="28.35" customHeight="1">
      <c r="A410" s="331">
        <v>2</v>
      </c>
      <c r="B410" s="299"/>
      <c r="C410" s="326"/>
      <c r="D410" s="333"/>
      <c r="E410" s="191"/>
      <c r="F410" s="192"/>
      <c r="G410" s="192"/>
      <c r="H410" s="193">
        <f t="shared" si="315"/>
        <v>0</v>
      </c>
      <c r="I410" s="194">
        <f t="shared" si="316"/>
        <v>0</v>
      </c>
      <c r="J410" s="191"/>
      <c r="K410" s="192"/>
      <c r="L410" s="192"/>
      <c r="M410" s="195">
        <f t="shared" si="317"/>
        <v>0</v>
      </c>
      <c r="N410" s="194">
        <f t="shared" si="318"/>
        <v>0</v>
      </c>
      <c r="O410" s="191"/>
      <c r="P410" s="192"/>
      <c r="Q410" s="192"/>
      <c r="R410" s="195">
        <f t="shared" si="319"/>
        <v>0</v>
      </c>
      <c r="S410" s="194">
        <f t="shared" si="320"/>
        <v>0</v>
      </c>
      <c r="T410" s="191"/>
      <c r="U410" s="192"/>
      <c r="V410" s="192"/>
      <c r="W410" s="195">
        <f t="shared" si="321"/>
        <v>0</v>
      </c>
      <c r="X410" s="194">
        <f t="shared" si="322"/>
        <v>0</v>
      </c>
      <c r="Y410" s="328">
        <f>H410+M410+R410+W410</f>
        <v>0</v>
      </c>
      <c r="Z410" s="329"/>
      <c r="AA410" s="330">
        <f>Y410*Z410</f>
        <v>0</v>
      </c>
    </row>
    <row r="411" spans="1:27" ht="28.35" customHeight="1" thickBot="1">
      <c r="A411" s="332">
        <v>3</v>
      </c>
      <c r="B411" s="299"/>
      <c r="C411" s="326"/>
      <c r="D411" s="333"/>
      <c r="E411" s="191"/>
      <c r="F411" s="192"/>
      <c r="G411" s="192"/>
      <c r="H411" s="193">
        <f t="shared" si="315"/>
        <v>0</v>
      </c>
      <c r="I411" s="194">
        <f t="shared" si="316"/>
        <v>0</v>
      </c>
      <c r="J411" s="191"/>
      <c r="K411" s="192"/>
      <c r="L411" s="192"/>
      <c r="M411" s="195">
        <f t="shared" si="317"/>
        <v>0</v>
      </c>
      <c r="N411" s="194">
        <f t="shared" si="318"/>
        <v>0</v>
      </c>
      <c r="O411" s="191"/>
      <c r="P411" s="192"/>
      <c r="Q411" s="192"/>
      <c r="R411" s="195">
        <f t="shared" si="319"/>
        <v>0</v>
      </c>
      <c r="S411" s="194">
        <f t="shared" si="320"/>
        <v>0</v>
      </c>
      <c r="T411" s="191"/>
      <c r="U411" s="192"/>
      <c r="V411" s="192"/>
      <c r="W411" s="195">
        <f t="shared" si="321"/>
        <v>0</v>
      </c>
      <c r="X411" s="194">
        <f t="shared" si="322"/>
        <v>0</v>
      </c>
      <c r="Y411" s="328">
        <f>H411+M411+R411+W411</f>
        <v>0</v>
      </c>
      <c r="Z411" s="329"/>
      <c r="AA411" s="330">
        <f>Y411*Z411</f>
        <v>0</v>
      </c>
    </row>
    <row r="412" spans="1:27" ht="28.35" customHeight="1">
      <c r="A412" s="325">
        <v>4</v>
      </c>
      <c r="B412" s="299"/>
      <c r="C412" s="326"/>
      <c r="D412" s="327"/>
      <c r="E412" s="191"/>
      <c r="F412" s="192"/>
      <c r="G412" s="192"/>
      <c r="H412" s="193">
        <f t="shared" si="315"/>
        <v>0</v>
      </c>
      <c r="I412" s="194">
        <f t="shared" si="316"/>
        <v>0</v>
      </c>
      <c r="J412" s="191"/>
      <c r="K412" s="192"/>
      <c r="L412" s="192"/>
      <c r="M412" s="195">
        <f t="shared" si="317"/>
        <v>0</v>
      </c>
      <c r="N412" s="194">
        <f t="shared" si="318"/>
        <v>0</v>
      </c>
      <c r="O412" s="191"/>
      <c r="P412" s="192"/>
      <c r="Q412" s="192"/>
      <c r="R412" s="195">
        <f t="shared" si="319"/>
        <v>0</v>
      </c>
      <c r="S412" s="194">
        <f t="shared" si="320"/>
        <v>0</v>
      </c>
      <c r="T412" s="191"/>
      <c r="U412" s="192"/>
      <c r="V412" s="192"/>
      <c r="W412" s="195">
        <f t="shared" si="321"/>
        <v>0</v>
      </c>
      <c r="X412" s="194">
        <f t="shared" si="322"/>
        <v>0</v>
      </c>
      <c r="Y412" s="328">
        <f>H412+M412+R412+W412</f>
        <v>0</v>
      </c>
      <c r="Z412" s="329"/>
      <c r="AA412" s="330">
        <f>Y412*Z412</f>
        <v>0</v>
      </c>
    </row>
    <row r="413" spans="1:27" ht="28.35" customHeight="1">
      <c r="A413" s="331">
        <v>5</v>
      </c>
      <c r="B413" s="299"/>
      <c r="C413" s="326"/>
      <c r="D413" s="333"/>
      <c r="E413" s="191"/>
      <c r="F413" s="192"/>
      <c r="G413" s="192"/>
      <c r="H413" s="193">
        <f t="shared" si="315"/>
        <v>0</v>
      </c>
      <c r="I413" s="194">
        <f t="shared" si="316"/>
        <v>0</v>
      </c>
      <c r="J413" s="191"/>
      <c r="K413" s="192"/>
      <c r="L413" s="192"/>
      <c r="M413" s="195">
        <f t="shared" si="317"/>
        <v>0</v>
      </c>
      <c r="N413" s="194">
        <f t="shared" si="318"/>
        <v>0</v>
      </c>
      <c r="O413" s="191"/>
      <c r="P413" s="192"/>
      <c r="Q413" s="192"/>
      <c r="R413" s="195">
        <f t="shared" si="319"/>
        <v>0</v>
      </c>
      <c r="S413" s="194">
        <f t="shared" si="320"/>
        <v>0</v>
      </c>
      <c r="T413" s="191"/>
      <c r="U413" s="192"/>
      <c r="V413" s="192"/>
      <c r="W413" s="195">
        <f t="shared" si="321"/>
        <v>0</v>
      </c>
      <c r="X413" s="194">
        <f t="shared" si="322"/>
        <v>0</v>
      </c>
      <c r="Y413" s="328">
        <f>H413+M413+R413+W413</f>
        <v>0</v>
      </c>
      <c r="Z413" s="329"/>
      <c r="AA413" s="330">
        <f t="shared" ref="AA413" si="325">Y413*Z413</f>
        <v>0</v>
      </c>
    </row>
    <row r="414" spans="1:27" ht="28.35" customHeight="1" thickBot="1">
      <c r="A414" s="332">
        <v>6</v>
      </c>
      <c r="B414" s="299"/>
      <c r="C414" s="326"/>
      <c r="D414" s="333"/>
      <c r="E414" s="191"/>
      <c r="F414" s="192"/>
      <c r="G414" s="192"/>
      <c r="H414" s="193">
        <f t="shared" si="315"/>
        <v>0</v>
      </c>
      <c r="I414" s="194">
        <f t="shared" si="316"/>
        <v>0</v>
      </c>
      <c r="J414" s="191"/>
      <c r="K414" s="192"/>
      <c r="L414" s="192"/>
      <c r="M414" s="195">
        <f t="shared" si="317"/>
        <v>0</v>
      </c>
      <c r="N414" s="194">
        <f t="shared" si="318"/>
        <v>0</v>
      </c>
      <c r="O414" s="191"/>
      <c r="P414" s="192"/>
      <c r="Q414" s="192"/>
      <c r="R414" s="195">
        <f t="shared" si="319"/>
        <v>0</v>
      </c>
      <c r="S414" s="194">
        <f t="shared" si="320"/>
        <v>0</v>
      </c>
      <c r="T414" s="191"/>
      <c r="U414" s="192"/>
      <c r="V414" s="192"/>
      <c r="W414" s="195">
        <f t="shared" si="321"/>
        <v>0</v>
      </c>
      <c r="X414" s="194">
        <f t="shared" si="322"/>
        <v>0</v>
      </c>
      <c r="Y414" s="328">
        <f t="shared" si="323"/>
        <v>0</v>
      </c>
      <c r="Z414" s="329"/>
      <c r="AA414" s="330">
        <f t="shared" si="324"/>
        <v>0</v>
      </c>
    </row>
    <row r="415" spans="1:27" ht="28.35" customHeight="1">
      <c r="A415" s="325">
        <v>7</v>
      </c>
      <c r="B415" s="299"/>
      <c r="C415" s="326"/>
      <c r="D415" s="327"/>
      <c r="E415" s="191"/>
      <c r="F415" s="192"/>
      <c r="G415" s="192"/>
      <c r="H415" s="193">
        <f t="shared" si="315"/>
        <v>0</v>
      </c>
      <c r="I415" s="194">
        <f t="shared" si="316"/>
        <v>0</v>
      </c>
      <c r="J415" s="191"/>
      <c r="K415" s="192"/>
      <c r="L415" s="192"/>
      <c r="M415" s="195">
        <f t="shared" si="317"/>
        <v>0</v>
      </c>
      <c r="N415" s="194">
        <f t="shared" si="318"/>
        <v>0</v>
      </c>
      <c r="O415" s="191"/>
      <c r="P415" s="192"/>
      <c r="Q415" s="192"/>
      <c r="R415" s="195">
        <f t="shared" si="319"/>
        <v>0</v>
      </c>
      <c r="S415" s="194">
        <f t="shared" si="320"/>
        <v>0</v>
      </c>
      <c r="T415" s="191"/>
      <c r="U415" s="192"/>
      <c r="V415" s="192"/>
      <c r="W415" s="195">
        <f t="shared" si="321"/>
        <v>0</v>
      </c>
      <c r="X415" s="194">
        <f t="shared" si="322"/>
        <v>0</v>
      </c>
      <c r="Y415" s="328">
        <f t="shared" si="323"/>
        <v>0</v>
      </c>
      <c r="Z415" s="329"/>
      <c r="AA415" s="330">
        <f>Y415*Z415</f>
        <v>0</v>
      </c>
    </row>
    <row r="416" spans="1:27" ht="28.35" customHeight="1">
      <c r="A416" s="331">
        <v>8</v>
      </c>
      <c r="B416" s="299"/>
      <c r="C416" s="326"/>
      <c r="D416" s="333"/>
      <c r="E416" s="191"/>
      <c r="F416" s="192"/>
      <c r="G416" s="192"/>
      <c r="H416" s="193">
        <f t="shared" si="315"/>
        <v>0</v>
      </c>
      <c r="I416" s="194">
        <f t="shared" si="316"/>
        <v>0</v>
      </c>
      <c r="J416" s="191"/>
      <c r="K416" s="192"/>
      <c r="L416" s="192"/>
      <c r="M416" s="195">
        <f t="shared" si="317"/>
        <v>0</v>
      </c>
      <c r="N416" s="194">
        <f t="shared" si="318"/>
        <v>0</v>
      </c>
      <c r="O416" s="191"/>
      <c r="P416" s="192"/>
      <c r="Q416" s="192"/>
      <c r="R416" s="195">
        <f t="shared" si="319"/>
        <v>0</v>
      </c>
      <c r="S416" s="194">
        <f t="shared" si="320"/>
        <v>0</v>
      </c>
      <c r="T416" s="191"/>
      <c r="U416" s="192"/>
      <c r="V416" s="192"/>
      <c r="W416" s="195">
        <f t="shared" si="321"/>
        <v>0</v>
      </c>
      <c r="X416" s="194">
        <f t="shared" si="322"/>
        <v>0</v>
      </c>
      <c r="Y416" s="328">
        <f t="shared" si="323"/>
        <v>0</v>
      </c>
      <c r="Z416" s="329"/>
      <c r="AA416" s="330">
        <f t="shared" ref="AA416" si="326">Y416*Z416</f>
        <v>0</v>
      </c>
    </row>
    <row r="417" spans="1:27" ht="28.35" customHeight="1" thickBot="1">
      <c r="A417" s="332">
        <v>9</v>
      </c>
      <c r="B417" s="299"/>
      <c r="C417" s="326"/>
      <c r="D417" s="333"/>
      <c r="E417" s="191"/>
      <c r="F417" s="192"/>
      <c r="G417" s="192"/>
      <c r="H417" s="193">
        <f t="shared" si="315"/>
        <v>0</v>
      </c>
      <c r="I417" s="194">
        <f t="shared" si="316"/>
        <v>0</v>
      </c>
      <c r="J417" s="191"/>
      <c r="K417" s="192"/>
      <c r="L417" s="192"/>
      <c r="M417" s="195">
        <f t="shared" si="317"/>
        <v>0</v>
      </c>
      <c r="N417" s="194">
        <f t="shared" si="318"/>
        <v>0</v>
      </c>
      <c r="O417" s="191"/>
      <c r="P417" s="192"/>
      <c r="Q417" s="192"/>
      <c r="R417" s="195">
        <f t="shared" si="319"/>
        <v>0</v>
      </c>
      <c r="S417" s="194">
        <f t="shared" si="320"/>
        <v>0</v>
      </c>
      <c r="T417" s="191"/>
      <c r="U417" s="192"/>
      <c r="V417" s="192"/>
      <c r="W417" s="195">
        <f t="shared" si="321"/>
        <v>0</v>
      </c>
      <c r="X417" s="194">
        <f t="shared" si="322"/>
        <v>0</v>
      </c>
      <c r="Y417" s="328">
        <f>H417+M417+R417+W417</f>
        <v>0</v>
      </c>
      <c r="Z417" s="329"/>
      <c r="AA417" s="330">
        <f>Y417*Z417</f>
        <v>0</v>
      </c>
    </row>
    <row r="418" spans="1:27" ht="28.35" customHeight="1">
      <c r="A418" s="325">
        <v>10</v>
      </c>
      <c r="B418" s="299"/>
      <c r="C418" s="326"/>
      <c r="D418" s="333"/>
      <c r="E418" s="191"/>
      <c r="F418" s="192"/>
      <c r="G418" s="192"/>
      <c r="H418" s="193">
        <f t="shared" si="315"/>
        <v>0</v>
      </c>
      <c r="I418" s="194">
        <f t="shared" si="316"/>
        <v>0</v>
      </c>
      <c r="J418" s="191"/>
      <c r="K418" s="192"/>
      <c r="L418" s="192"/>
      <c r="M418" s="195">
        <f t="shared" si="317"/>
        <v>0</v>
      </c>
      <c r="N418" s="194">
        <f t="shared" si="318"/>
        <v>0</v>
      </c>
      <c r="O418" s="191"/>
      <c r="P418" s="192"/>
      <c r="Q418" s="192"/>
      <c r="R418" s="195">
        <f t="shared" si="319"/>
        <v>0</v>
      </c>
      <c r="S418" s="194">
        <f t="shared" si="320"/>
        <v>0</v>
      </c>
      <c r="T418" s="191"/>
      <c r="U418" s="192"/>
      <c r="V418" s="192"/>
      <c r="W418" s="195">
        <f t="shared" si="321"/>
        <v>0</v>
      </c>
      <c r="X418" s="194">
        <f t="shared" si="322"/>
        <v>0</v>
      </c>
      <c r="Y418" s="328">
        <f>H418+M418+R418+W418</f>
        <v>0</v>
      </c>
      <c r="Z418" s="329"/>
      <c r="AA418" s="330">
        <f>Y418*Z418</f>
        <v>0</v>
      </c>
    </row>
    <row r="419" spans="1:27" ht="28.35" customHeight="1">
      <c r="A419" s="331">
        <v>11</v>
      </c>
      <c r="B419" s="299"/>
      <c r="C419" s="326"/>
      <c r="D419" s="333"/>
      <c r="E419" s="191"/>
      <c r="F419" s="192"/>
      <c r="G419" s="192"/>
      <c r="H419" s="193">
        <f t="shared" si="315"/>
        <v>0</v>
      </c>
      <c r="I419" s="194">
        <f t="shared" si="316"/>
        <v>0</v>
      </c>
      <c r="J419" s="191"/>
      <c r="K419" s="192"/>
      <c r="L419" s="192"/>
      <c r="M419" s="195">
        <f t="shared" si="317"/>
        <v>0</v>
      </c>
      <c r="N419" s="194">
        <f t="shared" si="318"/>
        <v>0</v>
      </c>
      <c r="O419" s="191"/>
      <c r="P419" s="192"/>
      <c r="Q419" s="192"/>
      <c r="R419" s="195">
        <f t="shared" si="319"/>
        <v>0</v>
      </c>
      <c r="S419" s="194">
        <f t="shared" si="320"/>
        <v>0</v>
      </c>
      <c r="T419" s="191"/>
      <c r="U419" s="192"/>
      <c r="V419" s="192"/>
      <c r="W419" s="195">
        <f t="shared" si="321"/>
        <v>0</v>
      </c>
      <c r="X419" s="194">
        <f t="shared" si="322"/>
        <v>0</v>
      </c>
      <c r="Y419" s="328">
        <f t="shared" ref="Y419" si="327">H419+M419+R419+W419</f>
        <v>0</v>
      </c>
      <c r="Z419" s="329"/>
      <c r="AA419" s="330">
        <f t="shared" ref="AA419" si="328">Y419*Z419</f>
        <v>0</v>
      </c>
    </row>
    <row r="420" spans="1:27" ht="28.35" customHeight="1" thickBot="1">
      <c r="A420" s="332">
        <v>12</v>
      </c>
      <c r="B420" s="299"/>
      <c r="C420" s="326"/>
      <c r="D420" s="333"/>
      <c r="E420" s="191"/>
      <c r="F420" s="192"/>
      <c r="G420" s="192"/>
      <c r="H420" s="193">
        <f t="shared" si="315"/>
        <v>0</v>
      </c>
      <c r="I420" s="194">
        <f t="shared" si="316"/>
        <v>0</v>
      </c>
      <c r="J420" s="191"/>
      <c r="K420" s="192"/>
      <c r="L420" s="192"/>
      <c r="M420" s="195">
        <f t="shared" si="317"/>
        <v>0</v>
      </c>
      <c r="N420" s="194">
        <f t="shared" si="318"/>
        <v>0</v>
      </c>
      <c r="O420" s="191"/>
      <c r="P420" s="192"/>
      <c r="Q420" s="192"/>
      <c r="R420" s="195">
        <f t="shared" si="319"/>
        <v>0</v>
      </c>
      <c r="S420" s="194">
        <f t="shared" si="320"/>
        <v>0</v>
      </c>
      <c r="T420" s="191"/>
      <c r="U420" s="192"/>
      <c r="V420" s="192"/>
      <c r="W420" s="195">
        <f t="shared" si="321"/>
        <v>0</v>
      </c>
      <c r="X420" s="194">
        <f t="shared" si="322"/>
        <v>0</v>
      </c>
      <c r="Y420" s="328">
        <f t="shared" si="323"/>
        <v>0</v>
      </c>
      <c r="Z420" s="329"/>
      <c r="AA420" s="330">
        <f t="shared" si="324"/>
        <v>0</v>
      </c>
    </row>
    <row r="421" spans="1:27" ht="28.35" customHeight="1">
      <c r="A421" s="325">
        <v>13</v>
      </c>
      <c r="B421" s="299"/>
      <c r="C421" s="326"/>
      <c r="D421" s="333"/>
      <c r="E421" s="191"/>
      <c r="F421" s="192"/>
      <c r="G421" s="192"/>
      <c r="H421" s="193">
        <f t="shared" si="315"/>
        <v>0</v>
      </c>
      <c r="I421" s="194">
        <f t="shared" si="316"/>
        <v>0</v>
      </c>
      <c r="J421" s="191"/>
      <c r="K421" s="192"/>
      <c r="L421" s="192"/>
      <c r="M421" s="195">
        <f t="shared" si="317"/>
        <v>0</v>
      </c>
      <c r="N421" s="194">
        <f t="shared" si="318"/>
        <v>0</v>
      </c>
      <c r="O421" s="191"/>
      <c r="P421" s="192"/>
      <c r="Q421" s="192"/>
      <c r="R421" s="195">
        <f t="shared" si="319"/>
        <v>0</v>
      </c>
      <c r="S421" s="194">
        <f t="shared" si="320"/>
        <v>0</v>
      </c>
      <c r="T421" s="191"/>
      <c r="U421" s="192"/>
      <c r="V421" s="192"/>
      <c r="W421" s="195">
        <f t="shared" si="321"/>
        <v>0</v>
      </c>
      <c r="X421" s="194">
        <f t="shared" si="322"/>
        <v>0</v>
      </c>
      <c r="Y421" s="328">
        <f t="shared" si="323"/>
        <v>0</v>
      </c>
      <c r="Z421" s="329"/>
      <c r="AA421" s="330">
        <f t="shared" si="324"/>
        <v>0</v>
      </c>
    </row>
    <row r="422" spans="1:27" ht="28.35" customHeight="1">
      <c r="A422" s="331">
        <v>14</v>
      </c>
      <c r="B422" s="299"/>
      <c r="C422" s="326"/>
      <c r="D422" s="333"/>
      <c r="E422" s="191"/>
      <c r="F422" s="192"/>
      <c r="G422" s="192"/>
      <c r="H422" s="193">
        <f t="shared" si="315"/>
        <v>0</v>
      </c>
      <c r="I422" s="194">
        <f t="shared" si="316"/>
        <v>0</v>
      </c>
      <c r="J422" s="191"/>
      <c r="K422" s="192"/>
      <c r="L422" s="192"/>
      <c r="M422" s="195">
        <f t="shared" si="317"/>
        <v>0</v>
      </c>
      <c r="N422" s="194">
        <f t="shared" si="318"/>
        <v>0</v>
      </c>
      <c r="O422" s="191"/>
      <c r="P422" s="192"/>
      <c r="Q422" s="192"/>
      <c r="R422" s="195">
        <f t="shared" si="319"/>
        <v>0</v>
      </c>
      <c r="S422" s="194">
        <f t="shared" si="320"/>
        <v>0</v>
      </c>
      <c r="T422" s="191"/>
      <c r="U422" s="192"/>
      <c r="V422" s="192"/>
      <c r="W422" s="195">
        <f t="shared" si="321"/>
        <v>0</v>
      </c>
      <c r="X422" s="194">
        <f t="shared" si="322"/>
        <v>0</v>
      </c>
      <c r="Y422" s="328">
        <f>H422+M422+R422+W422</f>
        <v>0</v>
      </c>
      <c r="Z422" s="329"/>
      <c r="AA422" s="330">
        <f>Y422*Z422</f>
        <v>0</v>
      </c>
    </row>
    <row r="423" spans="1:27" ht="28.35" customHeight="1" thickBot="1">
      <c r="A423" s="332">
        <v>15</v>
      </c>
      <c r="B423" s="299"/>
      <c r="C423" s="326"/>
      <c r="D423" s="333"/>
      <c r="E423" s="191"/>
      <c r="F423" s="192"/>
      <c r="G423" s="192"/>
      <c r="H423" s="193">
        <f t="shared" si="315"/>
        <v>0</v>
      </c>
      <c r="I423" s="194">
        <f t="shared" si="316"/>
        <v>0</v>
      </c>
      <c r="J423" s="191"/>
      <c r="K423" s="192"/>
      <c r="L423" s="192"/>
      <c r="M423" s="195">
        <f t="shared" si="317"/>
        <v>0</v>
      </c>
      <c r="N423" s="194">
        <f t="shared" si="318"/>
        <v>0</v>
      </c>
      <c r="O423" s="191"/>
      <c r="P423" s="192"/>
      <c r="Q423" s="192"/>
      <c r="R423" s="195">
        <f t="shared" si="319"/>
        <v>0</v>
      </c>
      <c r="S423" s="194">
        <f t="shared" si="320"/>
        <v>0</v>
      </c>
      <c r="T423" s="191"/>
      <c r="U423" s="192"/>
      <c r="V423" s="192"/>
      <c r="W423" s="195">
        <f t="shared" si="321"/>
        <v>0</v>
      </c>
      <c r="X423" s="194">
        <f t="shared" si="322"/>
        <v>0</v>
      </c>
      <c r="Y423" s="328">
        <f t="shared" si="323"/>
        <v>0</v>
      </c>
      <c r="Z423" s="329"/>
      <c r="AA423" s="330">
        <f t="shared" si="324"/>
        <v>0</v>
      </c>
    </row>
    <row r="424" spans="1:27" ht="28.35" customHeight="1">
      <c r="A424" s="325">
        <v>16</v>
      </c>
      <c r="B424" s="299"/>
      <c r="C424" s="326"/>
      <c r="D424" s="333"/>
      <c r="E424" s="191"/>
      <c r="F424" s="192"/>
      <c r="G424" s="192"/>
      <c r="H424" s="193">
        <f t="shared" si="315"/>
        <v>0</v>
      </c>
      <c r="I424" s="194">
        <f t="shared" si="316"/>
        <v>0</v>
      </c>
      <c r="J424" s="191"/>
      <c r="K424" s="192"/>
      <c r="L424" s="192"/>
      <c r="M424" s="195">
        <f t="shared" si="317"/>
        <v>0</v>
      </c>
      <c r="N424" s="194">
        <f t="shared" si="318"/>
        <v>0</v>
      </c>
      <c r="O424" s="191"/>
      <c r="P424" s="192"/>
      <c r="Q424" s="192"/>
      <c r="R424" s="195">
        <f t="shared" si="319"/>
        <v>0</v>
      </c>
      <c r="S424" s="194">
        <f t="shared" si="320"/>
        <v>0</v>
      </c>
      <c r="T424" s="191"/>
      <c r="U424" s="192"/>
      <c r="V424" s="192"/>
      <c r="W424" s="195">
        <f t="shared" si="321"/>
        <v>0</v>
      </c>
      <c r="X424" s="194">
        <f t="shared" si="322"/>
        <v>0</v>
      </c>
      <c r="Y424" s="328">
        <f t="shared" si="323"/>
        <v>0</v>
      </c>
      <c r="Z424" s="329"/>
      <c r="AA424" s="330">
        <f t="shared" si="324"/>
        <v>0</v>
      </c>
    </row>
    <row r="425" spans="1:27" ht="28.35" customHeight="1">
      <c r="A425" s="331">
        <v>17</v>
      </c>
      <c r="B425" s="299"/>
      <c r="C425" s="326"/>
      <c r="D425" s="333"/>
      <c r="E425" s="191"/>
      <c r="F425" s="192"/>
      <c r="G425" s="192"/>
      <c r="H425" s="193">
        <f t="shared" si="315"/>
        <v>0</v>
      </c>
      <c r="I425" s="194">
        <f t="shared" si="316"/>
        <v>0</v>
      </c>
      <c r="J425" s="191"/>
      <c r="K425" s="192"/>
      <c r="L425" s="192"/>
      <c r="M425" s="195">
        <f t="shared" si="317"/>
        <v>0</v>
      </c>
      <c r="N425" s="194">
        <f t="shared" si="318"/>
        <v>0</v>
      </c>
      <c r="O425" s="191"/>
      <c r="P425" s="192"/>
      <c r="Q425" s="192"/>
      <c r="R425" s="195">
        <f t="shared" si="319"/>
        <v>0</v>
      </c>
      <c r="S425" s="194">
        <f t="shared" si="320"/>
        <v>0</v>
      </c>
      <c r="T425" s="191"/>
      <c r="U425" s="192"/>
      <c r="V425" s="192"/>
      <c r="W425" s="195">
        <f t="shared" si="321"/>
        <v>0</v>
      </c>
      <c r="X425" s="194">
        <f t="shared" si="322"/>
        <v>0</v>
      </c>
      <c r="Y425" s="328">
        <f t="shared" si="323"/>
        <v>0</v>
      </c>
      <c r="Z425" s="329"/>
      <c r="AA425" s="330">
        <f t="shared" si="324"/>
        <v>0</v>
      </c>
    </row>
    <row r="426" spans="1:27" ht="28.35" customHeight="1" thickBot="1">
      <c r="A426" s="332">
        <v>18</v>
      </c>
      <c r="B426" s="299"/>
      <c r="C426" s="326"/>
      <c r="D426" s="333"/>
      <c r="E426" s="191"/>
      <c r="F426" s="192"/>
      <c r="G426" s="192"/>
      <c r="H426" s="193">
        <f t="shared" si="315"/>
        <v>0</v>
      </c>
      <c r="I426" s="194">
        <f t="shared" si="316"/>
        <v>0</v>
      </c>
      <c r="J426" s="191"/>
      <c r="K426" s="192"/>
      <c r="L426" s="192"/>
      <c r="M426" s="195">
        <f t="shared" si="317"/>
        <v>0</v>
      </c>
      <c r="N426" s="194">
        <f t="shared" si="318"/>
        <v>0</v>
      </c>
      <c r="O426" s="191"/>
      <c r="P426" s="192"/>
      <c r="Q426" s="192"/>
      <c r="R426" s="195">
        <f t="shared" si="319"/>
        <v>0</v>
      </c>
      <c r="S426" s="194">
        <f t="shared" si="320"/>
        <v>0</v>
      </c>
      <c r="T426" s="191"/>
      <c r="U426" s="192"/>
      <c r="V426" s="192"/>
      <c r="W426" s="195">
        <f t="shared" si="321"/>
        <v>0</v>
      </c>
      <c r="X426" s="194">
        <f t="shared" si="322"/>
        <v>0</v>
      </c>
      <c r="Y426" s="328">
        <f t="shared" si="323"/>
        <v>0</v>
      </c>
      <c r="Z426" s="329"/>
      <c r="AA426" s="330">
        <f t="shared" si="324"/>
        <v>0</v>
      </c>
    </row>
    <row r="427" spans="1:27" ht="28.35" customHeight="1">
      <c r="A427" s="325">
        <v>19</v>
      </c>
      <c r="B427" s="299"/>
      <c r="C427" s="326"/>
      <c r="D427" s="333"/>
      <c r="E427" s="191"/>
      <c r="F427" s="192"/>
      <c r="G427" s="192"/>
      <c r="H427" s="193">
        <f t="shared" si="315"/>
        <v>0</v>
      </c>
      <c r="I427" s="194">
        <f t="shared" si="316"/>
        <v>0</v>
      </c>
      <c r="J427" s="191"/>
      <c r="K427" s="192"/>
      <c r="L427" s="192"/>
      <c r="M427" s="195">
        <f t="shared" si="317"/>
        <v>0</v>
      </c>
      <c r="N427" s="194">
        <f t="shared" si="318"/>
        <v>0</v>
      </c>
      <c r="O427" s="191"/>
      <c r="P427" s="192"/>
      <c r="Q427" s="192"/>
      <c r="R427" s="195">
        <f t="shared" si="319"/>
        <v>0</v>
      </c>
      <c r="S427" s="194">
        <f t="shared" si="320"/>
        <v>0</v>
      </c>
      <c r="T427" s="191"/>
      <c r="U427" s="192"/>
      <c r="V427" s="192"/>
      <c r="W427" s="195">
        <f t="shared" si="321"/>
        <v>0</v>
      </c>
      <c r="X427" s="194">
        <f t="shared" si="322"/>
        <v>0</v>
      </c>
      <c r="Y427" s="328">
        <f t="shared" si="323"/>
        <v>0</v>
      </c>
      <c r="Z427" s="329"/>
      <c r="AA427" s="330">
        <f t="shared" si="324"/>
        <v>0</v>
      </c>
    </row>
    <row r="428" spans="1:27" ht="28.35" customHeight="1">
      <c r="A428" s="331">
        <v>20</v>
      </c>
      <c r="B428" s="299"/>
      <c r="C428" s="326"/>
      <c r="D428" s="333"/>
      <c r="E428" s="191"/>
      <c r="F428" s="192"/>
      <c r="G428" s="192"/>
      <c r="H428" s="193">
        <f t="shared" si="315"/>
        <v>0</v>
      </c>
      <c r="I428" s="194">
        <f t="shared" si="316"/>
        <v>0</v>
      </c>
      <c r="J428" s="191"/>
      <c r="K428" s="192"/>
      <c r="L428" s="192"/>
      <c r="M428" s="195">
        <f t="shared" si="317"/>
        <v>0</v>
      </c>
      <c r="N428" s="194">
        <f t="shared" si="318"/>
        <v>0</v>
      </c>
      <c r="O428" s="191"/>
      <c r="P428" s="192"/>
      <c r="Q428" s="192"/>
      <c r="R428" s="195">
        <f t="shared" si="319"/>
        <v>0</v>
      </c>
      <c r="S428" s="194">
        <f t="shared" si="320"/>
        <v>0</v>
      </c>
      <c r="T428" s="191"/>
      <c r="U428" s="192"/>
      <c r="V428" s="192"/>
      <c r="W428" s="195">
        <f t="shared" si="321"/>
        <v>0</v>
      </c>
      <c r="X428" s="194">
        <f t="shared" si="322"/>
        <v>0</v>
      </c>
      <c r="Y428" s="328">
        <f t="shared" si="323"/>
        <v>0</v>
      </c>
      <c r="Z428" s="329"/>
      <c r="AA428" s="330">
        <f t="shared" si="324"/>
        <v>0</v>
      </c>
    </row>
    <row r="429" spans="1:27" ht="28.35" customHeight="1" thickBot="1">
      <c r="A429" s="332">
        <v>21</v>
      </c>
      <c r="B429" s="299"/>
      <c r="C429" s="326"/>
      <c r="D429" s="333"/>
      <c r="E429" s="191"/>
      <c r="F429" s="192"/>
      <c r="G429" s="192"/>
      <c r="H429" s="193">
        <f t="shared" si="315"/>
        <v>0</v>
      </c>
      <c r="I429" s="194">
        <f t="shared" si="316"/>
        <v>0</v>
      </c>
      <c r="J429" s="191"/>
      <c r="K429" s="192"/>
      <c r="L429" s="192"/>
      <c r="M429" s="195">
        <f t="shared" si="317"/>
        <v>0</v>
      </c>
      <c r="N429" s="194">
        <f t="shared" si="318"/>
        <v>0</v>
      </c>
      <c r="O429" s="191"/>
      <c r="P429" s="192"/>
      <c r="Q429" s="192"/>
      <c r="R429" s="195">
        <f t="shared" si="319"/>
        <v>0</v>
      </c>
      <c r="S429" s="194">
        <f t="shared" si="320"/>
        <v>0</v>
      </c>
      <c r="T429" s="191"/>
      <c r="U429" s="192"/>
      <c r="V429" s="192"/>
      <c r="W429" s="195">
        <f t="shared" si="321"/>
        <v>0</v>
      </c>
      <c r="X429" s="194">
        <f t="shared" si="322"/>
        <v>0</v>
      </c>
      <c r="Y429" s="328">
        <f t="shared" si="323"/>
        <v>0</v>
      </c>
      <c r="Z429" s="329"/>
      <c r="AA429" s="330">
        <f t="shared" si="324"/>
        <v>0</v>
      </c>
    </row>
    <row r="430" spans="1:27" ht="28.35" customHeight="1">
      <c r="A430" s="325">
        <v>22</v>
      </c>
      <c r="B430" s="299"/>
      <c r="C430" s="326"/>
      <c r="D430" s="333"/>
      <c r="E430" s="191"/>
      <c r="F430" s="192"/>
      <c r="G430" s="192"/>
      <c r="H430" s="193">
        <f t="shared" si="315"/>
        <v>0</v>
      </c>
      <c r="I430" s="194">
        <f t="shared" si="316"/>
        <v>0</v>
      </c>
      <c r="J430" s="191"/>
      <c r="K430" s="192"/>
      <c r="L430" s="192"/>
      <c r="M430" s="195">
        <f t="shared" si="317"/>
        <v>0</v>
      </c>
      <c r="N430" s="194">
        <f t="shared" si="318"/>
        <v>0</v>
      </c>
      <c r="O430" s="191"/>
      <c r="P430" s="192"/>
      <c r="Q430" s="192"/>
      <c r="R430" s="195">
        <f t="shared" si="319"/>
        <v>0</v>
      </c>
      <c r="S430" s="194">
        <f t="shared" si="320"/>
        <v>0</v>
      </c>
      <c r="T430" s="191"/>
      <c r="U430" s="192"/>
      <c r="V430" s="192"/>
      <c r="W430" s="195">
        <f t="shared" si="321"/>
        <v>0</v>
      </c>
      <c r="X430" s="194">
        <f t="shared" si="322"/>
        <v>0</v>
      </c>
      <c r="Y430" s="328">
        <v>4</v>
      </c>
      <c r="Z430" s="329"/>
      <c r="AA430" s="330"/>
    </row>
    <row r="431" spans="1:27" ht="28.35" customHeight="1">
      <c r="A431" s="331">
        <v>23</v>
      </c>
      <c r="B431" s="299"/>
      <c r="C431" s="326"/>
      <c r="D431" s="333"/>
      <c r="E431" s="191"/>
      <c r="F431" s="192"/>
      <c r="G431" s="192"/>
      <c r="H431" s="193">
        <f t="shared" si="315"/>
        <v>0</v>
      </c>
      <c r="I431" s="194">
        <f t="shared" si="316"/>
        <v>0</v>
      </c>
      <c r="J431" s="191"/>
      <c r="K431" s="192"/>
      <c r="L431" s="192"/>
      <c r="M431" s="195">
        <f t="shared" si="317"/>
        <v>0</v>
      </c>
      <c r="N431" s="194">
        <f t="shared" si="318"/>
        <v>0</v>
      </c>
      <c r="O431" s="191"/>
      <c r="P431" s="192"/>
      <c r="Q431" s="192"/>
      <c r="R431" s="195">
        <f t="shared" si="319"/>
        <v>0</v>
      </c>
      <c r="S431" s="194">
        <f t="shared" si="320"/>
        <v>0</v>
      </c>
      <c r="T431" s="191"/>
      <c r="U431" s="192"/>
      <c r="V431" s="192"/>
      <c r="W431" s="195">
        <f t="shared" si="321"/>
        <v>0</v>
      </c>
      <c r="X431" s="194">
        <f t="shared" si="322"/>
        <v>0</v>
      </c>
      <c r="Y431" s="328">
        <f t="shared" si="323"/>
        <v>0</v>
      </c>
      <c r="Z431" s="329"/>
      <c r="AA431" s="330">
        <f>Y431*Z431</f>
        <v>0</v>
      </c>
    </row>
    <row r="432" spans="1:27" ht="28.35" customHeight="1" thickBot="1">
      <c r="A432" s="332">
        <v>24</v>
      </c>
      <c r="B432" s="299"/>
      <c r="C432" s="326"/>
      <c r="D432" s="333"/>
      <c r="E432" s="191"/>
      <c r="F432" s="192"/>
      <c r="G432" s="192"/>
      <c r="H432" s="193">
        <f t="shared" si="315"/>
        <v>0</v>
      </c>
      <c r="I432" s="194">
        <f t="shared" si="316"/>
        <v>0</v>
      </c>
      <c r="J432" s="191"/>
      <c r="K432" s="192"/>
      <c r="L432" s="192"/>
      <c r="M432" s="195">
        <f t="shared" si="317"/>
        <v>0</v>
      </c>
      <c r="N432" s="194">
        <f t="shared" si="318"/>
        <v>0</v>
      </c>
      <c r="O432" s="191"/>
      <c r="P432" s="192"/>
      <c r="Q432" s="192"/>
      <c r="R432" s="195">
        <f t="shared" si="319"/>
        <v>0</v>
      </c>
      <c r="S432" s="194">
        <f t="shared" si="320"/>
        <v>0</v>
      </c>
      <c r="T432" s="191"/>
      <c r="U432" s="192"/>
      <c r="V432" s="192"/>
      <c r="W432" s="195">
        <f t="shared" si="321"/>
        <v>0</v>
      </c>
      <c r="X432" s="194">
        <f t="shared" si="322"/>
        <v>0</v>
      </c>
      <c r="Y432" s="328">
        <f t="shared" si="323"/>
        <v>0</v>
      </c>
      <c r="Z432" s="329"/>
      <c r="AA432" s="330">
        <f t="shared" ref="AA432" si="329">Y432*Z432</f>
        <v>0</v>
      </c>
    </row>
    <row r="433" spans="1:27" ht="28.35" customHeight="1">
      <c r="A433" s="325">
        <v>25</v>
      </c>
      <c r="B433" s="299"/>
      <c r="C433" s="326"/>
      <c r="D433" s="333"/>
      <c r="E433" s="191"/>
      <c r="F433" s="192"/>
      <c r="G433" s="192"/>
      <c r="H433" s="193">
        <f t="shared" si="315"/>
        <v>0</v>
      </c>
      <c r="I433" s="194">
        <f t="shared" si="316"/>
        <v>0</v>
      </c>
      <c r="J433" s="191"/>
      <c r="K433" s="192"/>
      <c r="L433" s="192"/>
      <c r="M433" s="195">
        <f t="shared" si="317"/>
        <v>0</v>
      </c>
      <c r="N433" s="194">
        <f t="shared" si="318"/>
        <v>0</v>
      </c>
      <c r="O433" s="191"/>
      <c r="P433" s="192"/>
      <c r="Q433" s="192"/>
      <c r="R433" s="195">
        <f t="shared" si="319"/>
        <v>0</v>
      </c>
      <c r="S433" s="194">
        <f t="shared" si="320"/>
        <v>0</v>
      </c>
      <c r="T433" s="191"/>
      <c r="U433" s="192"/>
      <c r="V433" s="192"/>
      <c r="W433" s="195">
        <f t="shared" si="321"/>
        <v>0</v>
      </c>
      <c r="X433" s="194">
        <f t="shared" si="322"/>
        <v>0</v>
      </c>
      <c r="Y433" s="328">
        <f t="shared" si="323"/>
        <v>0</v>
      </c>
      <c r="Z433" s="329"/>
      <c r="AA433" s="330">
        <f t="shared" si="324"/>
        <v>0</v>
      </c>
    </row>
    <row r="434" spans="1:27" ht="28.35" customHeight="1">
      <c r="A434" s="331">
        <v>26</v>
      </c>
      <c r="B434" s="299"/>
      <c r="C434" s="326"/>
      <c r="D434" s="333"/>
      <c r="E434" s="191"/>
      <c r="F434" s="192"/>
      <c r="G434" s="192"/>
      <c r="H434" s="193">
        <f t="shared" si="315"/>
        <v>0</v>
      </c>
      <c r="I434" s="194">
        <f t="shared" si="316"/>
        <v>0</v>
      </c>
      <c r="J434" s="191"/>
      <c r="K434" s="192"/>
      <c r="L434" s="192"/>
      <c r="M434" s="195">
        <f t="shared" si="317"/>
        <v>0</v>
      </c>
      <c r="N434" s="194">
        <f t="shared" si="318"/>
        <v>0</v>
      </c>
      <c r="O434" s="191"/>
      <c r="P434" s="192"/>
      <c r="Q434" s="192"/>
      <c r="R434" s="195">
        <f t="shared" si="319"/>
        <v>0</v>
      </c>
      <c r="S434" s="194">
        <f t="shared" si="320"/>
        <v>0</v>
      </c>
      <c r="T434" s="191"/>
      <c r="U434" s="192"/>
      <c r="V434" s="192"/>
      <c r="W434" s="195">
        <f t="shared" si="321"/>
        <v>0</v>
      </c>
      <c r="X434" s="194">
        <f t="shared" si="322"/>
        <v>0</v>
      </c>
      <c r="Y434" s="328">
        <f>H434+M434+R434+W434</f>
        <v>0</v>
      </c>
      <c r="Z434" s="329"/>
      <c r="AA434" s="330">
        <f>Y434*Z434</f>
        <v>0</v>
      </c>
    </row>
    <row r="435" spans="1:27" ht="28.35" customHeight="1" thickBot="1">
      <c r="A435" s="332">
        <v>27</v>
      </c>
      <c r="B435" s="299"/>
      <c r="C435" s="326"/>
      <c r="D435" s="333"/>
      <c r="E435" s="191"/>
      <c r="F435" s="192"/>
      <c r="G435" s="192"/>
      <c r="H435" s="193">
        <f t="shared" si="315"/>
        <v>0</v>
      </c>
      <c r="I435" s="194">
        <f t="shared" si="316"/>
        <v>0</v>
      </c>
      <c r="J435" s="191"/>
      <c r="K435" s="192"/>
      <c r="L435" s="192"/>
      <c r="M435" s="195">
        <f t="shared" si="317"/>
        <v>0</v>
      </c>
      <c r="N435" s="194">
        <f t="shared" si="318"/>
        <v>0</v>
      </c>
      <c r="O435" s="191"/>
      <c r="P435" s="192"/>
      <c r="Q435" s="192"/>
      <c r="R435" s="195">
        <f t="shared" si="319"/>
        <v>0</v>
      </c>
      <c r="S435" s="194">
        <f t="shared" si="320"/>
        <v>0</v>
      </c>
      <c r="T435" s="191"/>
      <c r="U435" s="192"/>
      <c r="V435" s="192"/>
      <c r="W435" s="195">
        <f t="shared" si="321"/>
        <v>0</v>
      </c>
      <c r="X435" s="194">
        <f t="shared" si="322"/>
        <v>0</v>
      </c>
      <c r="Y435" s="328">
        <v>90</v>
      </c>
      <c r="Z435" s="329"/>
      <c r="AA435" s="330"/>
    </row>
    <row r="436" spans="1:27" ht="28.35" customHeight="1">
      <c r="A436" s="325">
        <v>28</v>
      </c>
      <c r="B436" s="299"/>
      <c r="C436" s="326"/>
      <c r="D436" s="333"/>
      <c r="E436" s="191"/>
      <c r="F436" s="192"/>
      <c r="G436" s="192"/>
      <c r="H436" s="193">
        <f t="shared" si="315"/>
        <v>0</v>
      </c>
      <c r="I436" s="194">
        <f t="shared" si="316"/>
        <v>0</v>
      </c>
      <c r="J436" s="191"/>
      <c r="K436" s="192"/>
      <c r="L436" s="192"/>
      <c r="M436" s="195">
        <f t="shared" si="317"/>
        <v>0</v>
      </c>
      <c r="N436" s="194">
        <f t="shared" si="318"/>
        <v>0</v>
      </c>
      <c r="O436" s="191"/>
      <c r="P436" s="192"/>
      <c r="Q436" s="192"/>
      <c r="R436" s="195">
        <f t="shared" si="319"/>
        <v>0</v>
      </c>
      <c r="S436" s="194">
        <f t="shared" si="320"/>
        <v>0</v>
      </c>
      <c r="T436" s="191"/>
      <c r="U436" s="192"/>
      <c r="V436" s="192"/>
      <c r="W436" s="195">
        <f t="shared" si="321"/>
        <v>0</v>
      </c>
      <c r="X436" s="194">
        <f t="shared" si="322"/>
        <v>0</v>
      </c>
      <c r="Y436" s="328">
        <f t="shared" si="323"/>
        <v>0</v>
      </c>
      <c r="Z436" s="329"/>
      <c r="AA436" s="330">
        <f t="shared" si="324"/>
        <v>0</v>
      </c>
    </row>
    <row r="437" spans="1:27" ht="28.35" customHeight="1">
      <c r="A437" s="331">
        <v>29</v>
      </c>
      <c r="B437" s="299"/>
      <c r="C437" s="326"/>
      <c r="D437" s="333"/>
      <c r="E437" s="191"/>
      <c r="F437" s="192"/>
      <c r="G437" s="192"/>
      <c r="H437" s="193">
        <f t="shared" si="315"/>
        <v>0</v>
      </c>
      <c r="I437" s="194">
        <f t="shared" si="316"/>
        <v>0</v>
      </c>
      <c r="J437" s="191"/>
      <c r="K437" s="192"/>
      <c r="L437" s="192"/>
      <c r="M437" s="195">
        <f t="shared" si="317"/>
        <v>0</v>
      </c>
      <c r="N437" s="194">
        <f t="shared" si="318"/>
        <v>0</v>
      </c>
      <c r="O437" s="191"/>
      <c r="P437" s="192"/>
      <c r="Q437" s="192"/>
      <c r="R437" s="195">
        <f t="shared" si="319"/>
        <v>0</v>
      </c>
      <c r="S437" s="194">
        <f t="shared" si="320"/>
        <v>0</v>
      </c>
      <c r="T437" s="191"/>
      <c r="U437" s="192"/>
      <c r="V437" s="192"/>
      <c r="W437" s="195">
        <f t="shared" si="321"/>
        <v>0</v>
      </c>
      <c r="X437" s="194">
        <f t="shared" si="322"/>
        <v>0</v>
      </c>
      <c r="Y437" s="328">
        <f t="shared" si="323"/>
        <v>0</v>
      </c>
      <c r="Z437" s="329"/>
      <c r="AA437" s="330">
        <f t="shared" si="324"/>
        <v>0</v>
      </c>
    </row>
    <row r="438" spans="1:27" ht="28.35" customHeight="1" thickBot="1">
      <c r="A438" s="332">
        <v>30</v>
      </c>
      <c r="B438" s="299"/>
      <c r="C438" s="326"/>
      <c r="D438" s="333"/>
      <c r="E438" s="191"/>
      <c r="F438" s="192"/>
      <c r="G438" s="192"/>
      <c r="H438" s="193">
        <f t="shared" si="315"/>
        <v>0</v>
      </c>
      <c r="I438" s="194">
        <f t="shared" si="316"/>
        <v>0</v>
      </c>
      <c r="J438" s="191"/>
      <c r="K438" s="192"/>
      <c r="L438" s="192"/>
      <c r="M438" s="195">
        <f t="shared" si="317"/>
        <v>0</v>
      </c>
      <c r="N438" s="194">
        <f t="shared" si="318"/>
        <v>0</v>
      </c>
      <c r="O438" s="191"/>
      <c r="P438" s="192"/>
      <c r="Q438" s="192"/>
      <c r="R438" s="195">
        <f t="shared" si="319"/>
        <v>0</v>
      </c>
      <c r="S438" s="194">
        <f t="shared" si="320"/>
        <v>0</v>
      </c>
      <c r="T438" s="191"/>
      <c r="U438" s="192"/>
      <c r="V438" s="192"/>
      <c r="W438" s="195">
        <f t="shared" si="321"/>
        <v>0</v>
      </c>
      <c r="X438" s="194">
        <f t="shared" si="322"/>
        <v>0</v>
      </c>
      <c r="Y438" s="328">
        <f t="shared" si="323"/>
        <v>0</v>
      </c>
      <c r="Z438" s="329"/>
      <c r="AA438" s="330">
        <f t="shared" si="324"/>
        <v>0</v>
      </c>
    </row>
    <row r="439" spans="1:27" ht="28.35" customHeight="1">
      <c r="A439" s="325">
        <v>31</v>
      </c>
      <c r="B439" s="299"/>
      <c r="C439" s="326"/>
      <c r="D439" s="333"/>
      <c r="E439" s="191"/>
      <c r="F439" s="192"/>
      <c r="G439" s="192"/>
      <c r="H439" s="193">
        <f t="shared" si="315"/>
        <v>0</v>
      </c>
      <c r="I439" s="194">
        <f t="shared" si="316"/>
        <v>0</v>
      </c>
      <c r="J439" s="191"/>
      <c r="K439" s="192"/>
      <c r="L439" s="192"/>
      <c r="M439" s="195">
        <f t="shared" si="317"/>
        <v>0</v>
      </c>
      <c r="N439" s="194">
        <f t="shared" si="318"/>
        <v>0</v>
      </c>
      <c r="O439" s="191"/>
      <c r="P439" s="192"/>
      <c r="Q439" s="192"/>
      <c r="R439" s="195">
        <f t="shared" si="319"/>
        <v>0</v>
      </c>
      <c r="S439" s="194">
        <f t="shared" si="320"/>
        <v>0</v>
      </c>
      <c r="T439" s="191"/>
      <c r="U439" s="192"/>
      <c r="V439" s="192"/>
      <c r="W439" s="195">
        <f t="shared" si="321"/>
        <v>0</v>
      </c>
      <c r="X439" s="194">
        <f t="shared" si="322"/>
        <v>0</v>
      </c>
      <c r="Y439" s="328">
        <f t="shared" si="323"/>
        <v>0</v>
      </c>
      <c r="Z439" s="329"/>
      <c r="AA439" s="330">
        <f t="shared" si="324"/>
        <v>0</v>
      </c>
    </row>
    <row r="440" spans="1:27" ht="28.35" customHeight="1">
      <c r="A440" s="331">
        <v>32</v>
      </c>
      <c r="B440" s="299"/>
      <c r="C440" s="326"/>
      <c r="D440" s="333"/>
      <c r="E440" s="191"/>
      <c r="F440" s="192"/>
      <c r="G440" s="192"/>
      <c r="H440" s="193">
        <f t="shared" si="315"/>
        <v>0</v>
      </c>
      <c r="I440" s="194">
        <f t="shared" si="316"/>
        <v>0</v>
      </c>
      <c r="J440" s="191"/>
      <c r="K440" s="192"/>
      <c r="L440" s="192"/>
      <c r="M440" s="195">
        <f t="shared" si="317"/>
        <v>0</v>
      </c>
      <c r="N440" s="194">
        <f t="shared" si="318"/>
        <v>0</v>
      </c>
      <c r="O440" s="191"/>
      <c r="P440" s="192"/>
      <c r="Q440" s="192"/>
      <c r="R440" s="195">
        <f t="shared" si="319"/>
        <v>0</v>
      </c>
      <c r="S440" s="194">
        <f t="shared" si="320"/>
        <v>0</v>
      </c>
      <c r="T440" s="191"/>
      <c r="U440" s="192"/>
      <c r="V440" s="192"/>
      <c r="W440" s="195">
        <f t="shared" si="321"/>
        <v>0</v>
      </c>
      <c r="X440" s="194">
        <f t="shared" si="322"/>
        <v>0</v>
      </c>
      <c r="Y440" s="328">
        <f t="shared" si="323"/>
        <v>0</v>
      </c>
      <c r="Z440" s="329"/>
      <c r="AA440" s="330">
        <f t="shared" si="324"/>
        <v>0</v>
      </c>
    </row>
    <row r="441" spans="1:27" ht="28.35" customHeight="1" thickBot="1">
      <c r="A441" s="332">
        <v>33</v>
      </c>
      <c r="B441" s="299"/>
      <c r="C441" s="326"/>
      <c r="D441" s="333"/>
      <c r="E441" s="191"/>
      <c r="F441" s="192"/>
      <c r="G441" s="192"/>
      <c r="H441" s="193">
        <f t="shared" si="315"/>
        <v>0</v>
      </c>
      <c r="I441" s="194">
        <f t="shared" si="316"/>
        <v>0</v>
      </c>
      <c r="J441" s="191"/>
      <c r="K441" s="192"/>
      <c r="L441" s="192"/>
      <c r="M441" s="195">
        <f t="shared" si="317"/>
        <v>0</v>
      </c>
      <c r="N441" s="194">
        <f t="shared" si="318"/>
        <v>0</v>
      </c>
      <c r="O441" s="191"/>
      <c r="P441" s="192"/>
      <c r="Q441" s="192"/>
      <c r="R441" s="195">
        <f t="shared" si="319"/>
        <v>0</v>
      </c>
      <c r="S441" s="194">
        <f t="shared" si="320"/>
        <v>0</v>
      </c>
      <c r="T441" s="191"/>
      <c r="U441" s="192"/>
      <c r="V441" s="192"/>
      <c r="W441" s="195">
        <f t="shared" si="321"/>
        <v>0</v>
      </c>
      <c r="X441" s="194">
        <f t="shared" si="322"/>
        <v>0</v>
      </c>
      <c r="Y441" s="328">
        <f t="shared" si="323"/>
        <v>0</v>
      </c>
      <c r="Z441" s="329"/>
      <c r="AA441" s="330">
        <f t="shared" si="324"/>
        <v>0</v>
      </c>
    </row>
    <row r="442" spans="1:27" ht="28.35" customHeight="1">
      <c r="A442" s="325">
        <v>34</v>
      </c>
      <c r="B442" s="299"/>
      <c r="C442" s="326"/>
      <c r="D442" s="333"/>
      <c r="E442" s="191"/>
      <c r="F442" s="192"/>
      <c r="G442" s="192"/>
      <c r="H442" s="193">
        <f t="shared" si="315"/>
        <v>0</v>
      </c>
      <c r="I442" s="194">
        <f t="shared" si="316"/>
        <v>0</v>
      </c>
      <c r="J442" s="191"/>
      <c r="K442" s="192"/>
      <c r="L442" s="192"/>
      <c r="M442" s="195">
        <f t="shared" si="317"/>
        <v>0</v>
      </c>
      <c r="N442" s="194">
        <f t="shared" si="318"/>
        <v>0</v>
      </c>
      <c r="O442" s="191"/>
      <c r="P442" s="192"/>
      <c r="Q442" s="192"/>
      <c r="R442" s="195">
        <f t="shared" si="319"/>
        <v>0</v>
      </c>
      <c r="S442" s="194">
        <f t="shared" si="320"/>
        <v>0</v>
      </c>
      <c r="T442" s="191"/>
      <c r="U442" s="192"/>
      <c r="V442" s="192"/>
      <c r="W442" s="195">
        <f t="shared" si="321"/>
        <v>0</v>
      </c>
      <c r="X442" s="194">
        <f t="shared" si="322"/>
        <v>0</v>
      </c>
      <c r="Y442" s="328">
        <f t="shared" si="323"/>
        <v>0</v>
      </c>
      <c r="Z442" s="329"/>
      <c r="AA442" s="330">
        <f t="shared" si="324"/>
        <v>0</v>
      </c>
    </row>
    <row r="443" spans="1:27" ht="28.35" customHeight="1">
      <c r="A443" s="331">
        <v>35</v>
      </c>
      <c r="B443" s="299"/>
      <c r="C443" s="326"/>
      <c r="D443" s="333"/>
      <c r="E443" s="191"/>
      <c r="F443" s="192"/>
      <c r="G443" s="192"/>
      <c r="H443" s="193">
        <f t="shared" si="315"/>
        <v>0</v>
      </c>
      <c r="I443" s="194">
        <f t="shared" si="316"/>
        <v>0</v>
      </c>
      <c r="J443" s="191"/>
      <c r="K443" s="192"/>
      <c r="L443" s="192"/>
      <c r="M443" s="195">
        <f t="shared" si="317"/>
        <v>0</v>
      </c>
      <c r="N443" s="194">
        <f t="shared" si="318"/>
        <v>0</v>
      </c>
      <c r="O443" s="191"/>
      <c r="P443" s="192"/>
      <c r="Q443" s="192"/>
      <c r="R443" s="195">
        <f t="shared" si="319"/>
        <v>0</v>
      </c>
      <c r="S443" s="194">
        <f t="shared" si="320"/>
        <v>0</v>
      </c>
      <c r="T443" s="191"/>
      <c r="U443" s="192"/>
      <c r="V443" s="192"/>
      <c r="W443" s="195">
        <f t="shared" si="321"/>
        <v>0</v>
      </c>
      <c r="X443" s="194">
        <f t="shared" si="322"/>
        <v>0</v>
      </c>
      <c r="Y443" s="328">
        <f>H443+M443+R443+W443</f>
        <v>0</v>
      </c>
      <c r="Z443" s="329"/>
      <c r="AA443" s="330">
        <f>Y443*Z443</f>
        <v>0</v>
      </c>
    </row>
    <row r="444" spans="1:27" ht="28.35" customHeight="1" thickBot="1">
      <c r="A444" s="332">
        <v>36</v>
      </c>
      <c r="B444" s="299"/>
      <c r="C444" s="326"/>
      <c r="D444" s="333"/>
      <c r="E444" s="191"/>
      <c r="F444" s="192"/>
      <c r="G444" s="192"/>
      <c r="H444" s="193">
        <f t="shared" si="315"/>
        <v>0</v>
      </c>
      <c r="I444" s="194">
        <f t="shared" si="316"/>
        <v>0</v>
      </c>
      <c r="J444" s="191"/>
      <c r="K444" s="192"/>
      <c r="L444" s="192"/>
      <c r="M444" s="195">
        <f t="shared" si="317"/>
        <v>0</v>
      </c>
      <c r="N444" s="194">
        <f t="shared" si="318"/>
        <v>0</v>
      </c>
      <c r="O444" s="191"/>
      <c r="P444" s="192"/>
      <c r="Q444" s="192"/>
      <c r="R444" s="195">
        <f t="shared" si="319"/>
        <v>0</v>
      </c>
      <c r="S444" s="194">
        <f t="shared" si="320"/>
        <v>0</v>
      </c>
      <c r="T444" s="191"/>
      <c r="U444" s="192"/>
      <c r="V444" s="192"/>
      <c r="W444" s="195">
        <f t="shared" si="321"/>
        <v>0</v>
      </c>
      <c r="X444" s="194">
        <f t="shared" si="322"/>
        <v>0</v>
      </c>
      <c r="Y444" s="328">
        <f t="shared" si="323"/>
        <v>0</v>
      </c>
      <c r="Z444" s="329"/>
      <c r="AA444" s="330">
        <f t="shared" si="324"/>
        <v>0</v>
      </c>
    </row>
    <row r="445" spans="1:27" ht="28.35" customHeight="1">
      <c r="A445" s="325">
        <v>37</v>
      </c>
      <c r="B445" s="299"/>
      <c r="C445" s="326"/>
      <c r="D445" s="333"/>
      <c r="E445" s="191"/>
      <c r="F445" s="192"/>
      <c r="G445" s="192"/>
      <c r="H445" s="193">
        <f t="shared" si="315"/>
        <v>0</v>
      </c>
      <c r="I445" s="194">
        <f t="shared" si="316"/>
        <v>0</v>
      </c>
      <c r="J445" s="191"/>
      <c r="K445" s="192"/>
      <c r="L445" s="192"/>
      <c r="M445" s="195">
        <f t="shared" si="317"/>
        <v>0</v>
      </c>
      <c r="N445" s="194">
        <f t="shared" si="318"/>
        <v>0</v>
      </c>
      <c r="O445" s="191"/>
      <c r="P445" s="192"/>
      <c r="Q445" s="192"/>
      <c r="R445" s="195">
        <f t="shared" si="319"/>
        <v>0</v>
      </c>
      <c r="S445" s="194">
        <f t="shared" si="320"/>
        <v>0</v>
      </c>
      <c r="T445" s="191"/>
      <c r="U445" s="192"/>
      <c r="V445" s="192"/>
      <c r="W445" s="195">
        <f t="shared" si="321"/>
        <v>0</v>
      </c>
      <c r="X445" s="194">
        <f t="shared" si="322"/>
        <v>0</v>
      </c>
      <c r="Y445" s="328">
        <f>H445+M445+R445+W445</f>
        <v>0</v>
      </c>
      <c r="Z445" s="329"/>
      <c r="AA445" s="330">
        <f>Y445*Z445</f>
        <v>0</v>
      </c>
    </row>
    <row r="446" spans="1:27" ht="28.35" customHeight="1">
      <c r="A446" s="331">
        <v>38</v>
      </c>
      <c r="B446" s="299"/>
      <c r="C446" s="326"/>
      <c r="D446" s="333"/>
      <c r="E446" s="191"/>
      <c r="F446" s="192"/>
      <c r="G446" s="192"/>
      <c r="H446" s="193">
        <f t="shared" si="315"/>
        <v>0</v>
      </c>
      <c r="I446" s="194">
        <f t="shared" si="316"/>
        <v>0</v>
      </c>
      <c r="J446" s="191"/>
      <c r="K446" s="192"/>
      <c r="L446" s="192"/>
      <c r="M446" s="195">
        <f t="shared" si="317"/>
        <v>0</v>
      </c>
      <c r="N446" s="194">
        <f t="shared" si="318"/>
        <v>0</v>
      </c>
      <c r="O446" s="191"/>
      <c r="P446" s="192"/>
      <c r="Q446" s="192"/>
      <c r="R446" s="195">
        <f t="shared" si="319"/>
        <v>0</v>
      </c>
      <c r="S446" s="194">
        <f t="shared" si="320"/>
        <v>0</v>
      </c>
      <c r="T446" s="191"/>
      <c r="U446" s="192"/>
      <c r="V446" s="192"/>
      <c r="W446" s="195">
        <f t="shared" si="321"/>
        <v>0</v>
      </c>
      <c r="X446" s="194">
        <f t="shared" si="322"/>
        <v>0</v>
      </c>
      <c r="Y446" s="328">
        <f t="shared" ref="Y446:Y448" si="330">H446+M446+R446+W446</f>
        <v>0</v>
      </c>
      <c r="Z446" s="329"/>
      <c r="AA446" s="330">
        <f t="shared" ref="AA446:AA448" si="331">Y446*Z446</f>
        <v>0</v>
      </c>
    </row>
    <row r="447" spans="1:27" ht="28.35" customHeight="1" thickBot="1">
      <c r="A447" s="332">
        <v>39</v>
      </c>
      <c r="B447" s="299"/>
      <c r="C447" s="326"/>
      <c r="D447" s="333"/>
      <c r="E447" s="191"/>
      <c r="F447" s="192"/>
      <c r="G447" s="192"/>
      <c r="H447" s="193">
        <f t="shared" si="315"/>
        <v>0</v>
      </c>
      <c r="I447" s="194">
        <f t="shared" si="316"/>
        <v>0</v>
      </c>
      <c r="J447" s="191"/>
      <c r="K447" s="192"/>
      <c r="L447" s="192"/>
      <c r="M447" s="195">
        <f t="shared" si="317"/>
        <v>0</v>
      </c>
      <c r="N447" s="194">
        <f t="shared" si="318"/>
        <v>0</v>
      </c>
      <c r="O447" s="191"/>
      <c r="P447" s="192"/>
      <c r="Q447" s="192"/>
      <c r="R447" s="195">
        <f t="shared" si="319"/>
        <v>0</v>
      </c>
      <c r="S447" s="194">
        <f t="shared" si="320"/>
        <v>0</v>
      </c>
      <c r="T447" s="191"/>
      <c r="U447" s="192"/>
      <c r="V447" s="192"/>
      <c r="W447" s="195">
        <f t="shared" si="321"/>
        <v>0</v>
      </c>
      <c r="X447" s="194">
        <f t="shared" si="322"/>
        <v>0</v>
      </c>
      <c r="Y447" s="328">
        <f t="shared" si="330"/>
        <v>0</v>
      </c>
      <c r="Z447" s="329"/>
      <c r="AA447" s="330">
        <f t="shared" si="331"/>
        <v>0</v>
      </c>
    </row>
    <row r="448" spans="1:27" ht="28.35" customHeight="1">
      <c r="A448" s="325">
        <v>40</v>
      </c>
      <c r="B448" s="299"/>
      <c r="C448" s="326"/>
      <c r="D448" s="333"/>
      <c r="E448" s="191"/>
      <c r="F448" s="192"/>
      <c r="G448" s="192"/>
      <c r="H448" s="193">
        <f t="shared" si="315"/>
        <v>0</v>
      </c>
      <c r="I448" s="194">
        <f t="shared" si="316"/>
        <v>0</v>
      </c>
      <c r="J448" s="191"/>
      <c r="K448" s="192"/>
      <c r="L448" s="192"/>
      <c r="M448" s="195">
        <f t="shared" si="317"/>
        <v>0</v>
      </c>
      <c r="N448" s="194">
        <f t="shared" si="318"/>
        <v>0</v>
      </c>
      <c r="O448" s="191"/>
      <c r="P448" s="192"/>
      <c r="Q448" s="192"/>
      <c r="R448" s="195">
        <f t="shared" si="319"/>
        <v>0</v>
      </c>
      <c r="S448" s="194">
        <f t="shared" si="320"/>
        <v>0</v>
      </c>
      <c r="T448" s="191"/>
      <c r="U448" s="192"/>
      <c r="V448" s="192"/>
      <c r="W448" s="195">
        <f t="shared" si="321"/>
        <v>0</v>
      </c>
      <c r="X448" s="194">
        <f t="shared" si="322"/>
        <v>0</v>
      </c>
      <c r="Y448" s="328">
        <f t="shared" si="330"/>
        <v>0</v>
      </c>
      <c r="Z448" s="329"/>
      <c r="AA448" s="330">
        <f t="shared" si="331"/>
        <v>0</v>
      </c>
    </row>
    <row r="449" spans="1:27" ht="28.35" customHeight="1">
      <c r="A449" s="331">
        <v>41</v>
      </c>
      <c r="B449" s="299"/>
      <c r="C449" s="326"/>
      <c r="D449" s="333"/>
      <c r="E449" s="191"/>
      <c r="F449" s="192"/>
      <c r="G449" s="192"/>
      <c r="H449" s="193">
        <f t="shared" si="315"/>
        <v>0</v>
      </c>
      <c r="I449" s="194">
        <f t="shared" si="316"/>
        <v>0</v>
      </c>
      <c r="J449" s="191"/>
      <c r="K449" s="192"/>
      <c r="L449" s="192"/>
      <c r="M449" s="195">
        <f t="shared" si="317"/>
        <v>0</v>
      </c>
      <c r="N449" s="194">
        <f t="shared" si="318"/>
        <v>0</v>
      </c>
      <c r="O449" s="191"/>
      <c r="P449" s="192"/>
      <c r="Q449" s="192"/>
      <c r="R449" s="195">
        <f t="shared" si="319"/>
        <v>0</v>
      </c>
      <c r="S449" s="194">
        <f t="shared" si="320"/>
        <v>0</v>
      </c>
      <c r="T449" s="191"/>
      <c r="U449" s="192"/>
      <c r="V449" s="192"/>
      <c r="W449" s="195">
        <f t="shared" si="321"/>
        <v>0</v>
      </c>
      <c r="X449" s="194">
        <f t="shared" si="322"/>
        <v>0</v>
      </c>
      <c r="Y449" s="328">
        <f t="shared" si="323"/>
        <v>0</v>
      </c>
      <c r="Z449" s="329"/>
      <c r="AA449" s="330">
        <f t="shared" si="324"/>
        <v>0</v>
      </c>
    </row>
    <row r="450" spans="1:27" ht="28.35" customHeight="1" thickBot="1">
      <c r="A450" s="332">
        <v>42</v>
      </c>
      <c r="B450" s="299"/>
      <c r="C450" s="326"/>
      <c r="D450" s="333"/>
      <c r="E450" s="191"/>
      <c r="F450" s="192"/>
      <c r="G450" s="192"/>
      <c r="H450" s="193">
        <f t="shared" si="315"/>
        <v>0</v>
      </c>
      <c r="I450" s="194">
        <f t="shared" si="316"/>
        <v>0</v>
      </c>
      <c r="J450" s="191"/>
      <c r="K450" s="192"/>
      <c r="L450" s="192"/>
      <c r="M450" s="195">
        <f t="shared" si="317"/>
        <v>0</v>
      </c>
      <c r="N450" s="194">
        <f t="shared" si="318"/>
        <v>0</v>
      </c>
      <c r="O450" s="191"/>
      <c r="P450" s="192"/>
      <c r="Q450" s="192"/>
      <c r="R450" s="195">
        <f t="shared" si="319"/>
        <v>0</v>
      </c>
      <c r="S450" s="194">
        <f t="shared" si="320"/>
        <v>0</v>
      </c>
      <c r="T450" s="191"/>
      <c r="U450" s="192"/>
      <c r="V450" s="192"/>
      <c r="W450" s="195">
        <f t="shared" si="321"/>
        <v>0</v>
      </c>
      <c r="X450" s="194">
        <f t="shared" si="322"/>
        <v>0</v>
      </c>
      <c r="Y450" s="328">
        <f t="shared" si="323"/>
        <v>0</v>
      </c>
      <c r="Z450" s="329"/>
      <c r="AA450" s="330">
        <f t="shared" si="324"/>
        <v>0</v>
      </c>
    </row>
    <row r="451" spans="1:27" ht="28.35" customHeight="1">
      <c r="A451" s="325">
        <v>43</v>
      </c>
      <c r="B451" s="299"/>
      <c r="C451" s="326"/>
      <c r="D451" s="333"/>
      <c r="E451" s="191"/>
      <c r="F451" s="192"/>
      <c r="G451" s="192"/>
      <c r="H451" s="193">
        <f t="shared" si="315"/>
        <v>0</v>
      </c>
      <c r="I451" s="194">
        <f t="shared" si="316"/>
        <v>0</v>
      </c>
      <c r="J451" s="191"/>
      <c r="K451" s="192"/>
      <c r="L451" s="192"/>
      <c r="M451" s="195">
        <f t="shared" si="317"/>
        <v>0</v>
      </c>
      <c r="N451" s="194">
        <f t="shared" si="318"/>
        <v>0</v>
      </c>
      <c r="O451" s="191"/>
      <c r="P451" s="192"/>
      <c r="Q451" s="192"/>
      <c r="R451" s="195">
        <f t="shared" si="319"/>
        <v>0</v>
      </c>
      <c r="S451" s="194">
        <f t="shared" si="320"/>
        <v>0</v>
      </c>
      <c r="T451" s="191"/>
      <c r="U451" s="192"/>
      <c r="V451" s="192"/>
      <c r="W451" s="195">
        <f t="shared" si="321"/>
        <v>0</v>
      </c>
      <c r="X451" s="194">
        <f t="shared" si="322"/>
        <v>0</v>
      </c>
      <c r="Y451" s="328">
        <f t="shared" si="323"/>
        <v>0</v>
      </c>
      <c r="Z451" s="329"/>
      <c r="AA451" s="330">
        <f t="shared" si="324"/>
        <v>0</v>
      </c>
    </row>
    <row r="452" spans="1:27" ht="28.35" customHeight="1">
      <c r="A452" s="331">
        <v>44</v>
      </c>
      <c r="B452" s="299"/>
      <c r="C452" s="326"/>
      <c r="D452" s="333"/>
      <c r="E452" s="191"/>
      <c r="F452" s="192"/>
      <c r="G452" s="192"/>
      <c r="H452" s="193">
        <f t="shared" si="315"/>
        <v>0</v>
      </c>
      <c r="I452" s="194">
        <f t="shared" si="316"/>
        <v>0</v>
      </c>
      <c r="J452" s="191"/>
      <c r="K452" s="192"/>
      <c r="L452" s="192"/>
      <c r="M452" s="195">
        <f t="shared" si="317"/>
        <v>0</v>
      </c>
      <c r="N452" s="194">
        <f t="shared" si="318"/>
        <v>0</v>
      </c>
      <c r="O452" s="191"/>
      <c r="P452" s="192"/>
      <c r="Q452" s="192"/>
      <c r="R452" s="195">
        <f t="shared" si="319"/>
        <v>0</v>
      </c>
      <c r="S452" s="194">
        <f t="shared" si="320"/>
        <v>0</v>
      </c>
      <c r="T452" s="191"/>
      <c r="U452" s="192"/>
      <c r="V452" s="192"/>
      <c r="W452" s="195">
        <f t="shared" si="321"/>
        <v>0</v>
      </c>
      <c r="X452" s="194">
        <f t="shared" si="322"/>
        <v>0</v>
      </c>
      <c r="Y452" s="328">
        <f t="shared" si="323"/>
        <v>0</v>
      </c>
      <c r="Z452" s="329"/>
      <c r="AA452" s="330">
        <f t="shared" si="324"/>
        <v>0</v>
      </c>
    </row>
    <row r="453" spans="1:27" ht="28.35" customHeight="1" thickBot="1">
      <c r="A453" s="332">
        <v>45</v>
      </c>
      <c r="B453" s="299"/>
      <c r="C453" s="326"/>
      <c r="D453" s="333"/>
      <c r="E453" s="191"/>
      <c r="F453" s="192"/>
      <c r="G453" s="192"/>
      <c r="H453" s="193">
        <f t="shared" si="315"/>
        <v>0</v>
      </c>
      <c r="I453" s="194">
        <f t="shared" si="316"/>
        <v>0</v>
      </c>
      <c r="J453" s="191"/>
      <c r="K453" s="192"/>
      <c r="L453" s="192"/>
      <c r="M453" s="195">
        <f t="shared" si="317"/>
        <v>0</v>
      </c>
      <c r="N453" s="194">
        <f t="shared" si="318"/>
        <v>0</v>
      </c>
      <c r="O453" s="191"/>
      <c r="P453" s="192"/>
      <c r="Q453" s="192"/>
      <c r="R453" s="195">
        <f t="shared" si="319"/>
        <v>0</v>
      </c>
      <c r="S453" s="194">
        <f t="shared" si="320"/>
        <v>0</v>
      </c>
      <c r="T453" s="191"/>
      <c r="U453" s="192"/>
      <c r="V453" s="192"/>
      <c r="W453" s="195">
        <f t="shared" si="321"/>
        <v>0</v>
      </c>
      <c r="X453" s="194">
        <f t="shared" si="322"/>
        <v>0</v>
      </c>
      <c r="Y453" s="328">
        <f t="shared" si="323"/>
        <v>0</v>
      </c>
      <c r="Z453" s="329"/>
      <c r="AA453" s="330">
        <f t="shared" si="324"/>
        <v>0</v>
      </c>
    </row>
    <row r="454" spans="1:27" ht="28.35" customHeight="1">
      <c r="A454" s="325">
        <v>46</v>
      </c>
      <c r="B454" s="299"/>
      <c r="C454" s="326"/>
      <c r="D454" s="333"/>
      <c r="E454" s="191"/>
      <c r="F454" s="192"/>
      <c r="G454" s="192"/>
      <c r="H454" s="193">
        <f t="shared" si="315"/>
        <v>0</v>
      </c>
      <c r="I454" s="194">
        <f t="shared" si="316"/>
        <v>0</v>
      </c>
      <c r="J454" s="191"/>
      <c r="K454" s="192"/>
      <c r="L454" s="192"/>
      <c r="M454" s="195">
        <f t="shared" si="317"/>
        <v>0</v>
      </c>
      <c r="N454" s="194">
        <f t="shared" si="318"/>
        <v>0</v>
      </c>
      <c r="O454" s="191"/>
      <c r="P454" s="192"/>
      <c r="Q454" s="192"/>
      <c r="R454" s="195">
        <f t="shared" si="319"/>
        <v>0</v>
      </c>
      <c r="S454" s="194">
        <f t="shared" si="320"/>
        <v>0</v>
      </c>
      <c r="T454" s="191"/>
      <c r="U454" s="192"/>
      <c r="V454" s="192"/>
      <c r="W454" s="195">
        <f t="shared" si="321"/>
        <v>0</v>
      </c>
      <c r="X454" s="194">
        <f t="shared" si="322"/>
        <v>0</v>
      </c>
      <c r="Y454" s="328">
        <f t="shared" si="323"/>
        <v>0</v>
      </c>
      <c r="Z454" s="329"/>
      <c r="AA454" s="330">
        <f t="shared" si="324"/>
        <v>0</v>
      </c>
    </row>
    <row r="455" spans="1:27" ht="28.35" customHeight="1">
      <c r="A455" s="331">
        <v>47</v>
      </c>
      <c r="B455" s="299"/>
      <c r="C455" s="326"/>
      <c r="D455" s="333"/>
      <c r="E455" s="191"/>
      <c r="F455" s="192"/>
      <c r="G455" s="192"/>
      <c r="H455" s="193">
        <f t="shared" si="315"/>
        <v>0</v>
      </c>
      <c r="I455" s="194">
        <f t="shared" si="316"/>
        <v>0</v>
      </c>
      <c r="J455" s="191"/>
      <c r="K455" s="192"/>
      <c r="L455" s="192"/>
      <c r="M455" s="195">
        <f t="shared" si="317"/>
        <v>0</v>
      </c>
      <c r="N455" s="194">
        <f t="shared" si="318"/>
        <v>0</v>
      </c>
      <c r="O455" s="191"/>
      <c r="P455" s="192"/>
      <c r="Q455" s="192"/>
      <c r="R455" s="195">
        <f t="shared" si="319"/>
        <v>0</v>
      </c>
      <c r="S455" s="194">
        <f t="shared" si="320"/>
        <v>0</v>
      </c>
      <c r="T455" s="191"/>
      <c r="U455" s="192"/>
      <c r="V455" s="192"/>
      <c r="W455" s="195">
        <f t="shared" si="321"/>
        <v>0</v>
      </c>
      <c r="X455" s="194">
        <f t="shared" si="322"/>
        <v>0</v>
      </c>
      <c r="Y455" s="328">
        <f t="shared" si="323"/>
        <v>0</v>
      </c>
      <c r="Z455" s="329"/>
      <c r="AA455" s="330">
        <f t="shared" si="324"/>
        <v>0</v>
      </c>
    </row>
    <row r="456" spans="1:27" ht="28.35" customHeight="1" thickBot="1">
      <c r="A456" s="332">
        <v>48</v>
      </c>
      <c r="B456" s="299"/>
      <c r="C456" s="326"/>
      <c r="D456" s="333"/>
      <c r="E456" s="191"/>
      <c r="F456" s="192"/>
      <c r="G456" s="192"/>
      <c r="H456" s="193">
        <f t="shared" si="315"/>
        <v>0</v>
      </c>
      <c r="I456" s="194">
        <f t="shared" si="316"/>
        <v>0</v>
      </c>
      <c r="J456" s="191"/>
      <c r="K456" s="192"/>
      <c r="L456" s="192"/>
      <c r="M456" s="195">
        <f t="shared" si="317"/>
        <v>0</v>
      </c>
      <c r="N456" s="194">
        <f t="shared" si="318"/>
        <v>0</v>
      </c>
      <c r="O456" s="191"/>
      <c r="P456" s="192"/>
      <c r="Q456" s="192"/>
      <c r="R456" s="195">
        <f t="shared" si="319"/>
        <v>0</v>
      </c>
      <c r="S456" s="194">
        <f t="shared" si="320"/>
        <v>0</v>
      </c>
      <c r="T456" s="191"/>
      <c r="U456" s="192"/>
      <c r="V456" s="192"/>
      <c r="W456" s="195">
        <f t="shared" si="321"/>
        <v>0</v>
      </c>
      <c r="X456" s="194">
        <f t="shared" si="322"/>
        <v>0</v>
      </c>
      <c r="Y456" s="328">
        <f t="shared" si="323"/>
        <v>0</v>
      </c>
      <c r="Z456" s="329"/>
      <c r="AA456" s="330">
        <f t="shared" si="324"/>
        <v>0</v>
      </c>
    </row>
    <row r="457" spans="1:27" ht="28.35" customHeight="1">
      <c r="A457" s="325">
        <v>49</v>
      </c>
      <c r="B457" s="299"/>
      <c r="C457" s="326"/>
      <c r="D457" s="333"/>
      <c r="E457" s="191"/>
      <c r="F457" s="192"/>
      <c r="G457" s="192"/>
      <c r="H457" s="193">
        <f t="shared" si="315"/>
        <v>0</v>
      </c>
      <c r="I457" s="194">
        <f t="shared" si="316"/>
        <v>0</v>
      </c>
      <c r="J457" s="191"/>
      <c r="K457" s="192"/>
      <c r="L457" s="192"/>
      <c r="M457" s="195">
        <f t="shared" si="317"/>
        <v>0</v>
      </c>
      <c r="N457" s="194">
        <f t="shared" si="318"/>
        <v>0</v>
      </c>
      <c r="O457" s="191"/>
      <c r="P457" s="192"/>
      <c r="Q457" s="192"/>
      <c r="R457" s="195">
        <f t="shared" si="319"/>
        <v>0</v>
      </c>
      <c r="S457" s="194">
        <f t="shared" si="320"/>
        <v>0</v>
      </c>
      <c r="T457" s="191"/>
      <c r="U457" s="192"/>
      <c r="V457" s="192"/>
      <c r="W457" s="195">
        <f t="shared" si="321"/>
        <v>0</v>
      </c>
      <c r="X457" s="194">
        <f t="shared" si="322"/>
        <v>0</v>
      </c>
      <c r="Y457" s="328">
        <f t="shared" si="323"/>
        <v>0</v>
      </c>
      <c r="Z457" s="329"/>
      <c r="AA457" s="330">
        <f t="shared" si="324"/>
        <v>0</v>
      </c>
    </row>
    <row r="458" spans="1:27" ht="28.35" customHeight="1">
      <c r="A458" s="331">
        <v>50</v>
      </c>
      <c r="B458" s="299"/>
      <c r="C458" s="326"/>
      <c r="D458" s="333"/>
      <c r="E458" s="191"/>
      <c r="F458" s="192"/>
      <c r="G458" s="192"/>
      <c r="H458" s="193">
        <f t="shared" si="315"/>
        <v>0</v>
      </c>
      <c r="I458" s="194">
        <f t="shared" si="316"/>
        <v>0</v>
      </c>
      <c r="J458" s="191"/>
      <c r="K458" s="192"/>
      <c r="L458" s="192"/>
      <c r="M458" s="195">
        <f t="shared" si="317"/>
        <v>0</v>
      </c>
      <c r="N458" s="194">
        <f t="shared" si="318"/>
        <v>0</v>
      </c>
      <c r="O458" s="191"/>
      <c r="P458" s="192"/>
      <c r="Q458" s="192"/>
      <c r="R458" s="195">
        <f t="shared" si="319"/>
        <v>0</v>
      </c>
      <c r="S458" s="194">
        <f t="shared" si="320"/>
        <v>0</v>
      </c>
      <c r="T458" s="191"/>
      <c r="U458" s="192"/>
      <c r="V458" s="192"/>
      <c r="W458" s="195">
        <f t="shared" si="321"/>
        <v>0</v>
      </c>
      <c r="X458" s="194">
        <f t="shared" si="322"/>
        <v>0</v>
      </c>
      <c r="Y458" s="328">
        <f t="shared" si="323"/>
        <v>0</v>
      </c>
      <c r="Z458" s="329"/>
      <c r="AA458" s="330">
        <f t="shared" si="324"/>
        <v>0</v>
      </c>
    </row>
    <row r="459" spans="1:27" ht="28.35" customHeight="1" thickBot="1">
      <c r="A459" s="332">
        <v>51</v>
      </c>
      <c r="B459" s="299"/>
      <c r="C459" s="326"/>
      <c r="D459" s="333"/>
      <c r="E459" s="191"/>
      <c r="F459" s="192"/>
      <c r="G459" s="192"/>
      <c r="H459" s="193">
        <f t="shared" si="315"/>
        <v>0</v>
      </c>
      <c r="I459" s="194">
        <f t="shared" si="316"/>
        <v>0</v>
      </c>
      <c r="J459" s="191"/>
      <c r="K459" s="192"/>
      <c r="L459" s="192"/>
      <c r="M459" s="195">
        <f t="shared" si="317"/>
        <v>0</v>
      </c>
      <c r="N459" s="194">
        <f t="shared" si="318"/>
        <v>0</v>
      </c>
      <c r="O459" s="191"/>
      <c r="P459" s="192"/>
      <c r="Q459" s="192"/>
      <c r="R459" s="195">
        <f t="shared" si="319"/>
        <v>0</v>
      </c>
      <c r="S459" s="194">
        <f t="shared" si="320"/>
        <v>0</v>
      </c>
      <c r="T459" s="191"/>
      <c r="U459" s="192"/>
      <c r="V459" s="192"/>
      <c r="W459" s="195">
        <f t="shared" si="321"/>
        <v>0</v>
      </c>
      <c r="X459" s="194">
        <f t="shared" si="322"/>
        <v>0</v>
      </c>
      <c r="Y459" s="328">
        <f t="shared" si="323"/>
        <v>0</v>
      </c>
      <c r="Z459" s="329"/>
      <c r="AA459" s="330">
        <f t="shared" si="324"/>
        <v>0</v>
      </c>
    </row>
    <row r="460" spans="1:27" ht="28.35" customHeight="1">
      <c r="A460" s="325">
        <v>52</v>
      </c>
      <c r="B460" s="299"/>
      <c r="C460" s="326"/>
      <c r="D460" s="333"/>
      <c r="E460" s="191"/>
      <c r="F460" s="192"/>
      <c r="G460" s="192"/>
      <c r="H460" s="193">
        <f t="shared" si="315"/>
        <v>0</v>
      </c>
      <c r="I460" s="194">
        <f t="shared" si="316"/>
        <v>0</v>
      </c>
      <c r="J460" s="191"/>
      <c r="K460" s="192"/>
      <c r="L460" s="192"/>
      <c r="M460" s="195">
        <f t="shared" si="317"/>
        <v>0</v>
      </c>
      <c r="N460" s="194">
        <f t="shared" si="318"/>
        <v>0</v>
      </c>
      <c r="O460" s="191"/>
      <c r="P460" s="192"/>
      <c r="Q460" s="192"/>
      <c r="R460" s="195">
        <f t="shared" si="319"/>
        <v>0</v>
      </c>
      <c r="S460" s="194">
        <f t="shared" si="320"/>
        <v>0</v>
      </c>
      <c r="T460" s="191"/>
      <c r="U460" s="192"/>
      <c r="V460" s="192"/>
      <c r="W460" s="195">
        <f t="shared" si="321"/>
        <v>0</v>
      </c>
      <c r="X460" s="194">
        <f t="shared" si="322"/>
        <v>0</v>
      </c>
      <c r="Y460" s="328">
        <f t="shared" si="323"/>
        <v>0</v>
      </c>
      <c r="Z460" s="329"/>
      <c r="AA460" s="330">
        <f t="shared" si="324"/>
        <v>0</v>
      </c>
    </row>
    <row r="461" spans="1:27" ht="28.35" customHeight="1">
      <c r="A461" s="331">
        <v>53</v>
      </c>
      <c r="B461" s="299"/>
      <c r="C461" s="326"/>
      <c r="D461" s="333"/>
      <c r="E461" s="191"/>
      <c r="F461" s="192"/>
      <c r="G461" s="192"/>
      <c r="H461" s="193">
        <f t="shared" si="315"/>
        <v>0</v>
      </c>
      <c r="I461" s="194">
        <f t="shared" si="316"/>
        <v>0</v>
      </c>
      <c r="J461" s="191"/>
      <c r="K461" s="192"/>
      <c r="L461" s="192"/>
      <c r="M461" s="195">
        <f t="shared" si="317"/>
        <v>0</v>
      </c>
      <c r="N461" s="194">
        <f t="shared" si="318"/>
        <v>0</v>
      </c>
      <c r="O461" s="191"/>
      <c r="P461" s="192"/>
      <c r="Q461" s="192"/>
      <c r="R461" s="195">
        <f t="shared" si="319"/>
        <v>0</v>
      </c>
      <c r="S461" s="194">
        <f t="shared" si="320"/>
        <v>0</v>
      </c>
      <c r="T461" s="191"/>
      <c r="U461" s="192"/>
      <c r="V461" s="192"/>
      <c r="W461" s="195">
        <f t="shared" si="321"/>
        <v>0</v>
      </c>
      <c r="X461" s="194">
        <f t="shared" si="322"/>
        <v>0</v>
      </c>
      <c r="Y461" s="328">
        <f t="shared" si="323"/>
        <v>0</v>
      </c>
      <c r="Z461" s="329"/>
      <c r="AA461" s="330">
        <f t="shared" si="324"/>
        <v>0</v>
      </c>
    </row>
    <row r="462" spans="1:27" ht="28.35" customHeight="1" thickBot="1">
      <c r="A462" s="332">
        <v>54</v>
      </c>
      <c r="B462" s="299"/>
      <c r="C462" s="326"/>
      <c r="D462" s="327"/>
      <c r="E462" s="191"/>
      <c r="F462" s="192"/>
      <c r="G462" s="192"/>
      <c r="H462" s="193">
        <f t="shared" si="315"/>
        <v>0</v>
      </c>
      <c r="I462" s="194">
        <f t="shared" si="316"/>
        <v>0</v>
      </c>
      <c r="J462" s="191"/>
      <c r="K462" s="192"/>
      <c r="L462" s="192"/>
      <c r="M462" s="195">
        <f t="shared" si="317"/>
        <v>0</v>
      </c>
      <c r="N462" s="194">
        <f t="shared" si="318"/>
        <v>0</v>
      </c>
      <c r="O462" s="191"/>
      <c r="P462" s="192"/>
      <c r="Q462" s="192"/>
      <c r="R462" s="195">
        <f t="shared" si="319"/>
        <v>0</v>
      </c>
      <c r="S462" s="194">
        <f t="shared" si="320"/>
        <v>0</v>
      </c>
      <c r="T462" s="191"/>
      <c r="U462" s="192"/>
      <c r="V462" s="192"/>
      <c r="W462" s="195">
        <f t="shared" si="321"/>
        <v>0</v>
      </c>
      <c r="X462" s="194">
        <f t="shared" si="322"/>
        <v>0</v>
      </c>
      <c r="Y462" s="328">
        <f>H462+M462+R462+W462</f>
        <v>0</v>
      </c>
      <c r="Z462" s="329"/>
      <c r="AA462" s="330">
        <f>Y462*Z462</f>
        <v>0</v>
      </c>
    </row>
    <row r="463" spans="1:27" ht="28.35" customHeight="1">
      <c r="A463" s="325">
        <v>55</v>
      </c>
      <c r="B463" s="299"/>
      <c r="C463" s="326"/>
      <c r="D463" s="333"/>
      <c r="E463" s="191"/>
      <c r="F463" s="192"/>
      <c r="G463" s="192"/>
      <c r="H463" s="193">
        <f t="shared" si="315"/>
        <v>0</v>
      </c>
      <c r="I463" s="194">
        <f t="shared" si="316"/>
        <v>0</v>
      </c>
      <c r="J463" s="191"/>
      <c r="K463" s="192"/>
      <c r="L463" s="192"/>
      <c r="M463" s="195">
        <f t="shared" si="317"/>
        <v>0</v>
      </c>
      <c r="N463" s="194">
        <f t="shared" si="318"/>
        <v>0</v>
      </c>
      <c r="O463" s="191"/>
      <c r="P463" s="192"/>
      <c r="Q463" s="192"/>
      <c r="R463" s="195">
        <f t="shared" si="319"/>
        <v>0</v>
      </c>
      <c r="S463" s="194">
        <f t="shared" si="320"/>
        <v>0</v>
      </c>
      <c r="T463" s="191"/>
      <c r="U463" s="192"/>
      <c r="V463" s="192"/>
      <c r="W463" s="195">
        <f t="shared" si="321"/>
        <v>0</v>
      </c>
      <c r="X463" s="194">
        <f t="shared" si="322"/>
        <v>0</v>
      </c>
      <c r="Y463" s="328">
        <f t="shared" si="323"/>
        <v>0</v>
      </c>
      <c r="Z463" s="329"/>
      <c r="AA463" s="330">
        <f t="shared" si="324"/>
        <v>0</v>
      </c>
    </row>
    <row r="464" spans="1:27" ht="28.35" customHeight="1">
      <c r="A464" s="331">
        <v>56</v>
      </c>
      <c r="B464" s="299"/>
      <c r="C464" s="326"/>
      <c r="D464" s="333"/>
      <c r="E464" s="191"/>
      <c r="F464" s="192"/>
      <c r="G464" s="192"/>
      <c r="H464" s="193">
        <f t="shared" si="315"/>
        <v>0</v>
      </c>
      <c r="I464" s="194">
        <f t="shared" si="316"/>
        <v>0</v>
      </c>
      <c r="J464" s="191"/>
      <c r="K464" s="192"/>
      <c r="L464" s="192"/>
      <c r="M464" s="195">
        <f t="shared" si="317"/>
        <v>0</v>
      </c>
      <c r="N464" s="194">
        <f t="shared" si="318"/>
        <v>0</v>
      </c>
      <c r="O464" s="191"/>
      <c r="P464" s="192"/>
      <c r="Q464" s="192"/>
      <c r="R464" s="195">
        <f t="shared" si="319"/>
        <v>0</v>
      </c>
      <c r="S464" s="194">
        <f t="shared" si="320"/>
        <v>0</v>
      </c>
      <c r="T464" s="191"/>
      <c r="U464" s="192"/>
      <c r="V464" s="192"/>
      <c r="W464" s="195">
        <f t="shared" si="321"/>
        <v>0</v>
      </c>
      <c r="X464" s="194">
        <f t="shared" si="322"/>
        <v>0</v>
      </c>
      <c r="Y464" s="328">
        <f>H464+M464+R464+W464</f>
        <v>0</v>
      </c>
      <c r="Z464" s="329"/>
      <c r="AA464" s="330">
        <f>Y464*Z464</f>
        <v>0</v>
      </c>
    </row>
    <row r="465" spans="1:27" ht="28.35" customHeight="1" thickBot="1">
      <c r="A465" s="332">
        <v>57</v>
      </c>
      <c r="B465" s="299"/>
      <c r="C465" s="326"/>
      <c r="D465" s="333"/>
      <c r="E465" s="191"/>
      <c r="F465" s="192"/>
      <c r="G465" s="192"/>
      <c r="H465" s="193">
        <f t="shared" si="315"/>
        <v>0</v>
      </c>
      <c r="I465" s="194">
        <f t="shared" si="316"/>
        <v>0</v>
      </c>
      <c r="J465" s="191"/>
      <c r="K465" s="192"/>
      <c r="L465" s="192"/>
      <c r="M465" s="195">
        <f t="shared" si="317"/>
        <v>0</v>
      </c>
      <c r="N465" s="194">
        <f t="shared" si="318"/>
        <v>0</v>
      </c>
      <c r="O465" s="191"/>
      <c r="P465" s="192"/>
      <c r="Q465" s="192"/>
      <c r="R465" s="195">
        <f t="shared" si="319"/>
        <v>0</v>
      </c>
      <c r="S465" s="194">
        <f t="shared" si="320"/>
        <v>0</v>
      </c>
      <c r="T465" s="191"/>
      <c r="U465" s="192"/>
      <c r="V465" s="192"/>
      <c r="W465" s="195">
        <f t="shared" si="321"/>
        <v>0</v>
      </c>
      <c r="X465" s="194">
        <f t="shared" si="322"/>
        <v>0</v>
      </c>
      <c r="Y465" s="328">
        <f t="shared" si="323"/>
        <v>0</v>
      </c>
      <c r="Z465" s="329"/>
      <c r="AA465" s="330">
        <f t="shared" si="324"/>
        <v>0</v>
      </c>
    </row>
    <row r="466" spans="1:27" ht="28.35" customHeight="1">
      <c r="A466" s="325">
        <v>58</v>
      </c>
      <c r="B466" s="299"/>
      <c r="C466" s="326"/>
      <c r="D466" s="333"/>
      <c r="E466" s="191"/>
      <c r="F466" s="192"/>
      <c r="G466" s="192"/>
      <c r="H466" s="193">
        <f t="shared" si="315"/>
        <v>0</v>
      </c>
      <c r="I466" s="194">
        <f t="shared" si="316"/>
        <v>0</v>
      </c>
      <c r="J466" s="191"/>
      <c r="K466" s="192"/>
      <c r="L466" s="192"/>
      <c r="M466" s="195">
        <f t="shared" si="317"/>
        <v>0</v>
      </c>
      <c r="N466" s="194">
        <f t="shared" si="318"/>
        <v>0</v>
      </c>
      <c r="O466" s="191"/>
      <c r="P466" s="192"/>
      <c r="Q466" s="192"/>
      <c r="R466" s="195">
        <f t="shared" si="319"/>
        <v>0</v>
      </c>
      <c r="S466" s="194">
        <f t="shared" si="320"/>
        <v>0</v>
      </c>
      <c r="T466" s="191"/>
      <c r="U466" s="192"/>
      <c r="V466" s="192"/>
      <c r="W466" s="195">
        <f t="shared" si="321"/>
        <v>0</v>
      </c>
      <c r="X466" s="194">
        <f t="shared" si="322"/>
        <v>0</v>
      </c>
      <c r="Y466" s="328">
        <f t="shared" si="323"/>
        <v>0</v>
      </c>
      <c r="Z466" s="329"/>
      <c r="AA466" s="330">
        <f t="shared" si="324"/>
        <v>0</v>
      </c>
    </row>
    <row r="467" spans="1:27" ht="28.35" customHeight="1">
      <c r="A467" s="331">
        <v>59</v>
      </c>
      <c r="B467" s="299"/>
      <c r="C467" s="326"/>
      <c r="D467" s="333"/>
      <c r="E467" s="191"/>
      <c r="F467" s="192"/>
      <c r="G467" s="192"/>
      <c r="H467" s="193">
        <f t="shared" si="315"/>
        <v>0</v>
      </c>
      <c r="I467" s="194">
        <f t="shared" si="316"/>
        <v>0</v>
      </c>
      <c r="J467" s="191"/>
      <c r="K467" s="192"/>
      <c r="L467" s="192"/>
      <c r="M467" s="195">
        <f t="shared" si="317"/>
        <v>0</v>
      </c>
      <c r="N467" s="194">
        <f t="shared" si="318"/>
        <v>0</v>
      </c>
      <c r="O467" s="191"/>
      <c r="P467" s="192"/>
      <c r="Q467" s="192"/>
      <c r="R467" s="195">
        <f t="shared" si="319"/>
        <v>0</v>
      </c>
      <c r="S467" s="194">
        <f t="shared" si="320"/>
        <v>0</v>
      </c>
      <c r="T467" s="191"/>
      <c r="U467" s="192"/>
      <c r="V467" s="192"/>
      <c r="W467" s="195">
        <f t="shared" si="321"/>
        <v>0</v>
      </c>
      <c r="X467" s="194">
        <f t="shared" si="322"/>
        <v>0</v>
      </c>
      <c r="Y467" s="328">
        <f t="shared" si="323"/>
        <v>0</v>
      </c>
      <c r="Z467" s="329"/>
      <c r="AA467" s="330">
        <f t="shared" si="324"/>
        <v>0</v>
      </c>
    </row>
    <row r="468" spans="1:27" ht="28.35" customHeight="1" thickBot="1">
      <c r="A468" s="332">
        <v>60</v>
      </c>
      <c r="B468" s="299"/>
      <c r="C468" s="326"/>
      <c r="D468" s="333"/>
      <c r="E468" s="191"/>
      <c r="F468" s="192"/>
      <c r="G468" s="192"/>
      <c r="H468" s="193">
        <f t="shared" si="315"/>
        <v>0</v>
      </c>
      <c r="I468" s="194">
        <f t="shared" si="316"/>
        <v>0</v>
      </c>
      <c r="J468" s="191"/>
      <c r="K468" s="192"/>
      <c r="L468" s="192"/>
      <c r="M468" s="195">
        <f t="shared" si="317"/>
        <v>0</v>
      </c>
      <c r="N468" s="194">
        <f t="shared" si="318"/>
        <v>0</v>
      </c>
      <c r="O468" s="191"/>
      <c r="P468" s="192"/>
      <c r="Q468" s="192"/>
      <c r="R468" s="195">
        <f t="shared" si="319"/>
        <v>0</v>
      </c>
      <c r="S468" s="194">
        <f t="shared" si="320"/>
        <v>0</v>
      </c>
      <c r="T468" s="191"/>
      <c r="U468" s="192"/>
      <c r="V468" s="192"/>
      <c r="W468" s="195">
        <f t="shared" si="321"/>
        <v>0</v>
      </c>
      <c r="X468" s="194">
        <f t="shared" si="322"/>
        <v>0</v>
      </c>
      <c r="Y468" s="328">
        <f t="shared" si="323"/>
        <v>0</v>
      </c>
      <c r="Z468" s="329"/>
      <c r="AA468" s="330">
        <f t="shared" si="324"/>
        <v>0</v>
      </c>
    </row>
    <row r="469" spans="1:27" ht="28.35" customHeight="1">
      <c r="A469" s="325">
        <v>61</v>
      </c>
      <c r="B469" s="299"/>
      <c r="C469" s="326"/>
      <c r="D469" s="333"/>
      <c r="E469" s="191"/>
      <c r="F469" s="192"/>
      <c r="G469" s="192"/>
      <c r="H469" s="193">
        <f t="shared" si="315"/>
        <v>0</v>
      </c>
      <c r="I469" s="194">
        <f t="shared" si="316"/>
        <v>0</v>
      </c>
      <c r="J469" s="191"/>
      <c r="K469" s="192"/>
      <c r="L469" s="192"/>
      <c r="M469" s="195">
        <f t="shared" si="317"/>
        <v>0</v>
      </c>
      <c r="N469" s="194">
        <f t="shared" si="318"/>
        <v>0</v>
      </c>
      <c r="O469" s="191"/>
      <c r="P469" s="192"/>
      <c r="Q469" s="192"/>
      <c r="R469" s="195">
        <f t="shared" si="319"/>
        <v>0</v>
      </c>
      <c r="S469" s="194">
        <f t="shared" si="320"/>
        <v>0</v>
      </c>
      <c r="T469" s="191"/>
      <c r="U469" s="192"/>
      <c r="V469" s="192"/>
      <c r="W469" s="195">
        <f t="shared" si="321"/>
        <v>0</v>
      </c>
      <c r="X469" s="194">
        <f t="shared" si="322"/>
        <v>0</v>
      </c>
      <c r="Y469" s="328">
        <f t="shared" si="323"/>
        <v>0</v>
      </c>
      <c r="Z469" s="329"/>
      <c r="AA469" s="330">
        <f t="shared" si="324"/>
        <v>0</v>
      </c>
    </row>
    <row r="470" spans="1:27" ht="28.35" customHeight="1">
      <c r="A470" s="331">
        <v>62</v>
      </c>
      <c r="B470" s="299"/>
      <c r="C470" s="326"/>
      <c r="D470" s="333"/>
      <c r="E470" s="191"/>
      <c r="F470" s="192"/>
      <c r="G470" s="192"/>
      <c r="H470" s="193">
        <f t="shared" si="315"/>
        <v>0</v>
      </c>
      <c r="I470" s="194">
        <f t="shared" si="316"/>
        <v>0</v>
      </c>
      <c r="J470" s="191"/>
      <c r="K470" s="192"/>
      <c r="L470" s="192"/>
      <c r="M470" s="195">
        <f t="shared" si="317"/>
        <v>0</v>
      </c>
      <c r="N470" s="194">
        <f t="shared" si="318"/>
        <v>0</v>
      </c>
      <c r="O470" s="191"/>
      <c r="P470" s="192"/>
      <c r="Q470" s="192"/>
      <c r="R470" s="195">
        <f t="shared" si="319"/>
        <v>0</v>
      </c>
      <c r="S470" s="194">
        <f t="shared" si="320"/>
        <v>0</v>
      </c>
      <c r="T470" s="191"/>
      <c r="U470" s="192"/>
      <c r="V470" s="192"/>
      <c r="W470" s="195">
        <f t="shared" si="321"/>
        <v>0</v>
      </c>
      <c r="X470" s="194">
        <f t="shared" si="322"/>
        <v>0</v>
      </c>
      <c r="Y470" s="328">
        <f>H470+M470+R470+W470</f>
        <v>0</v>
      </c>
      <c r="Z470" s="329"/>
      <c r="AA470" s="330">
        <f t="shared" si="324"/>
        <v>0</v>
      </c>
    </row>
    <row r="471" spans="1:27" ht="28.35" customHeight="1" thickBot="1">
      <c r="A471" s="332">
        <v>63</v>
      </c>
      <c r="B471" s="299"/>
      <c r="C471" s="326"/>
      <c r="D471" s="333"/>
      <c r="E471" s="191"/>
      <c r="F471" s="192"/>
      <c r="G471" s="192"/>
      <c r="H471" s="193">
        <f t="shared" si="315"/>
        <v>0</v>
      </c>
      <c r="I471" s="194">
        <f t="shared" si="316"/>
        <v>0</v>
      </c>
      <c r="J471" s="191"/>
      <c r="K471" s="192"/>
      <c r="L471" s="192"/>
      <c r="M471" s="195">
        <f t="shared" si="317"/>
        <v>0</v>
      </c>
      <c r="N471" s="194">
        <f t="shared" si="318"/>
        <v>0</v>
      </c>
      <c r="O471" s="191"/>
      <c r="P471" s="192"/>
      <c r="Q471" s="192"/>
      <c r="R471" s="195">
        <f t="shared" si="319"/>
        <v>0</v>
      </c>
      <c r="S471" s="194">
        <f t="shared" si="320"/>
        <v>0</v>
      </c>
      <c r="T471" s="191"/>
      <c r="U471" s="192"/>
      <c r="V471" s="192"/>
      <c r="W471" s="195">
        <f t="shared" si="321"/>
        <v>0</v>
      </c>
      <c r="X471" s="194">
        <f t="shared" si="322"/>
        <v>0</v>
      </c>
      <c r="Y471" s="328">
        <f t="shared" ref="Y471" si="332">H471+M471+R471+W471</f>
        <v>0</v>
      </c>
      <c r="Z471" s="329"/>
      <c r="AA471" s="330">
        <f t="shared" si="324"/>
        <v>0</v>
      </c>
    </row>
    <row r="472" spans="1:27" ht="28.35" customHeight="1">
      <c r="A472" s="325">
        <v>64</v>
      </c>
      <c r="B472" s="299"/>
      <c r="C472" s="326"/>
      <c r="D472" s="333"/>
      <c r="E472" s="191"/>
      <c r="F472" s="192"/>
      <c r="G472" s="192"/>
      <c r="H472" s="193">
        <f t="shared" si="315"/>
        <v>0</v>
      </c>
      <c r="I472" s="194">
        <f t="shared" si="316"/>
        <v>0</v>
      </c>
      <c r="J472" s="191"/>
      <c r="K472" s="192"/>
      <c r="L472" s="192"/>
      <c r="M472" s="195">
        <f t="shared" si="317"/>
        <v>0</v>
      </c>
      <c r="N472" s="194">
        <f t="shared" si="318"/>
        <v>0</v>
      </c>
      <c r="O472" s="191"/>
      <c r="P472" s="192"/>
      <c r="Q472" s="192"/>
      <c r="R472" s="195">
        <f t="shared" si="319"/>
        <v>0</v>
      </c>
      <c r="S472" s="194">
        <f t="shared" si="320"/>
        <v>0</v>
      </c>
      <c r="T472" s="191"/>
      <c r="U472" s="192"/>
      <c r="V472" s="192"/>
      <c r="W472" s="195">
        <f t="shared" si="321"/>
        <v>0</v>
      </c>
      <c r="X472" s="194">
        <f t="shared" si="322"/>
        <v>0</v>
      </c>
      <c r="Y472" s="328">
        <f t="shared" si="323"/>
        <v>0</v>
      </c>
      <c r="Z472" s="329"/>
      <c r="AA472" s="330">
        <f t="shared" si="324"/>
        <v>0</v>
      </c>
    </row>
    <row r="473" spans="1:27" ht="28.35" customHeight="1">
      <c r="A473" s="331">
        <v>65</v>
      </c>
      <c r="B473" s="299"/>
      <c r="C473" s="326"/>
      <c r="D473" s="333"/>
      <c r="E473" s="191"/>
      <c r="F473" s="192"/>
      <c r="G473" s="192"/>
      <c r="H473" s="193">
        <f t="shared" ref="H473:H500" si="333">SUM(E473:G473)</f>
        <v>0</v>
      </c>
      <c r="I473" s="194">
        <f t="shared" ref="I473:I499" si="334">H473*Z473</f>
        <v>0</v>
      </c>
      <c r="J473" s="191"/>
      <c r="K473" s="192"/>
      <c r="L473" s="192"/>
      <c r="M473" s="195">
        <f t="shared" ref="M473:M500" si="335">SUM(J473:L473)</f>
        <v>0</v>
      </c>
      <c r="N473" s="194">
        <f t="shared" ref="N473:N500" si="336">M473*Z473</f>
        <v>0</v>
      </c>
      <c r="O473" s="191"/>
      <c r="P473" s="192"/>
      <c r="Q473" s="192"/>
      <c r="R473" s="195">
        <f t="shared" ref="R473:R500" si="337">SUM(O473:Q473)</f>
        <v>0</v>
      </c>
      <c r="S473" s="194">
        <f t="shared" ref="S473:S500" si="338">R473*Z473</f>
        <v>0</v>
      </c>
      <c r="T473" s="191"/>
      <c r="U473" s="192"/>
      <c r="V473" s="192"/>
      <c r="W473" s="195">
        <f t="shared" ref="W473:W500" si="339">SUM(T473:V473)</f>
        <v>0</v>
      </c>
      <c r="X473" s="194">
        <f t="shared" ref="X473:X500" si="340">W473*Z473</f>
        <v>0</v>
      </c>
      <c r="Y473" s="328">
        <f t="shared" si="323"/>
        <v>0</v>
      </c>
      <c r="Z473" s="329"/>
      <c r="AA473" s="330">
        <f t="shared" si="324"/>
        <v>0</v>
      </c>
    </row>
    <row r="474" spans="1:27" ht="28.35" customHeight="1" thickBot="1">
      <c r="A474" s="332">
        <v>66</v>
      </c>
      <c r="B474" s="299"/>
      <c r="C474" s="326"/>
      <c r="D474" s="333"/>
      <c r="E474" s="191"/>
      <c r="F474" s="192"/>
      <c r="G474" s="192"/>
      <c r="H474" s="193">
        <f t="shared" si="333"/>
        <v>0</v>
      </c>
      <c r="I474" s="194">
        <f t="shared" si="334"/>
        <v>0</v>
      </c>
      <c r="J474" s="191"/>
      <c r="K474" s="192"/>
      <c r="L474" s="192"/>
      <c r="M474" s="195">
        <f t="shared" si="335"/>
        <v>0</v>
      </c>
      <c r="N474" s="194">
        <f t="shared" si="336"/>
        <v>0</v>
      </c>
      <c r="O474" s="191"/>
      <c r="P474" s="192"/>
      <c r="Q474" s="192"/>
      <c r="R474" s="195">
        <f t="shared" si="337"/>
        <v>0</v>
      </c>
      <c r="S474" s="194">
        <f t="shared" si="338"/>
        <v>0</v>
      </c>
      <c r="T474" s="191"/>
      <c r="U474" s="192"/>
      <c r="V474" s="192"/>
      <c r="W474" s="195">
        <f t="shared" si="339"/>
        <v>0</v>
      </c>
      <c r="X474" s="194">
        <f t="shared" si="340"/>
        <v>0</v>
      </c>
      <c r="Y474" s="328">
        <f t="shared" si="323"/>
        <v>0</v>
      </c>
      <c r="Z474" s="329"/>
      <c r="AA474" s="330">
        <f t="shared" si="324"/>
        <v>0</v>
      </c>
    </row>
    <row r="475" spans="1:27" ht="28.35" customHeight="1">
      <c r="A475" s="325">
        <v>67</v>
      </c>
      <c r="B475" s="299"/>
      <c r="C475" s="326"/>
      <c r="D475" s="333"/>
      <c r="E475" s="191"/>
      <c r="F475" s="192"/>
      <c r="G475" s="192"/>
      <c r="H475" s="193">
        <f t="shared" si="333"/>
        <v>0</v>
      </c>
      <c r="I475" s="194">
        <f t="shared" si="334"/>
        <v>0</v>
      </c>
      <c r="J475" s="191"/>
      <c r="K475" s="192"/>
      <c r="L475" s="192"/>
      <c r="M475" s="195">
        <f t="shared" si="335"/>
        <v>0</v>
      </c>
      <c r="N475" s="194">
        <f t="shared" si="336"/>
        <v>0</v>
      </c>
      <c r="O475" s="191"/>
      <c r="P475" s="192"/>
      <c r="Q475" s="192"/>
      <c r="R475" s="195">
        <f t="shared" si="337"/>
        <v>0</v>
      </c>
      <c r="S475" s="194">
        <f t="shared" si="338"/>
        <v>0</v>
      </c>
      <c r="T475" s="191"/>
      <c r="U475" s="192"/>
      <c r="V475" s="192"/>
      <c r="W475" s="195">
        <f t="shared" si="339"/>
        <v>0</v>
      </c>
      <c r="X475" s="194">
        <f t="shared" si="340"/>
        <v>0</v>
      </c>
      <c r="Y475" s="328">
        <f t="shared" si="323"/>
        <v>0</v>
      </c>
      <c r="Z475" s="329"/>
      <c r="AA475" s="330">
        <f t="shared" si="324"/>
        <v>0</v>
      </c>
    </row>
    <row r="476" spans="1:27" ht="28.35" customHeight="1">
      <c r="A476" s="331">
        <v>68</v>
      </c>
      <c r="B476" s="299"/>
      <c r="C476" s="326"/>
      <c r="D476" s="333"/>
      <c r="E476" s="191"/>
      <c r="F476" s="192"/>
      <c r="G476" s="192"/>
      <c r="H476" s="193">
        <f t="shared" si="333"/>
        <v>0</v>
      </c>
      <c r="I476" s="194">
        <f t="shared" si="334"/>
        <v>0</v>
      </c>
      <c r="J476" s="191"/>
      <c r="K476" s="192"/>
      <c r="L476" s="192"/>
      <c r="M476" s="195">
        <f t="shared" si="335"/>
        <v>0</v>
      </c>
      <c r="N476" s="194">
        <f t="shared" si="336"/>
        <v>0</v>
      </c>
      <c r="O476" s="191"/>
      <c r="P476" s="192"/>
      <c r="Q476" s="192"/>
      <c r="R476" s="195">
        <f t="shared" si="337"/>
        <v>0</v>
      </c>
      <c r="S476" s="194">
        <f t="shared" si="338"/>
        <v>0</v>
      </c>
      <c r="T476" s="191"/>
      <c r="U476" s="192"/>
      <c r="V476" s="192"/>
      <c r="W476" s="195">
        <f t="shared" si="339"/>
        <v>0</v>
      </c>
      <c r="X476" s="194">
        <f t="shared" si="340"/>
        <v>0</v>
      </c>
      <c r="Y476" s="328">
        <f t="shared" si="323"/>
        <v>0</v>
      </c>
      <c r="Z476" s="329"/>
      <c r="AA476" s="330">
        <f t="shared" si="324"/>
        <v>0</v>
      </c>
    </row>
    <row r="477" spans="1:27" ht="28.35" customHeight="1" thickBot="1">
      <c r="A477" s="332">
        <v>69</v>
      </c>
      <c r="B477" s="299"/>
      <c r="C477" s="326"/>
      <c r="D477" s="333"/>
      <c r="E477" s="191"/>
      <c r="F477" s="192"/>
      <c r="G477" s="192"/>
      <c r="H477" s="193">
        <f t="shared" si="333"/>
        <v>0</v>
      </c>
      <c r="I477" s="194">
        <f t="shared" si="334"/>
        <v>0</v>
      </c>
      <c r="J477" s="191"/>
      <c r="K477" s="192"/>
      <c r="L477" s="192"/>
      <c r="M477" s="195">
        <f t="shared" si="335"/>
        <v>0</v>
      </c>
      <c r="N477" s="194">
        <f t="shared" si="336"/>
        <v>0</v>
      </c>
      <c r="O477" s="191"/>
      <c r="P477" s="192"/>
      <c r="Q477" s="192"/>
      <c r="R477" s="195">
        <f t="shared" si="337"/>
        <v>0</v>
      </c>
      <c r="S477" s="194">
        <f t="shared" si="338"/>
        <v>0</v>
      </c>
      <c r="T477" s="191"/>
      <c r="U477" s="192"/>
      <c r="V477" s="192"/>
      <c r="W477" s="195">
        <f t="shared" si="339"/>
        <v>0</v>
      </c>
      <c r="X477" s="194">
        <f t="shared" si="340"/>
        <v>0</v>
      </c>
      <c r="Y477" s="328">
        <f>H477+M477+R477+W477</f>
        <v>0</v>
      </c>
      <c r="Z477" s="329"/>
      <c r="AA477" s="330">
        <f>Y477*Z477</f>
        <v>0</v>
      </c>
    </row>
    <row r="478" spans="1:27" ht="28.35" customHeight="1">
      <c r="A478" s="325">
        <v>70</v>
      </c>
      <c r="B478" s="299"/>
      <c r="C478" s="326"/>
      <c r="D478" s="333"/>
      <c r="E478" s="191"/>
      <c r="F478" s="192"/>
      <c r="G478" s="192"/>
      <c r="H478" s="193">
        <f t="shared" si="333"/>
        <v>0</v>
      </c>
      <c r="I478" s="194">
        <f t="shared" si="334"/>
        <v>0</v>
      </c>
      <c r="J478" s="191"/>
      <c r="K478" s="192"/>
      <c r="L478" s="192"/>
      <c r="M478" s="195">
        <f t="shared" si="335"/>
        <v>0</v>
      </c>
      <c r="N478" s="194">
        <f t="shared" si="336"/>
        <v>0</v>
      </c>
      <c r="O478" s="191"/>
      <c r="P478" s="192"/>
      <c r="Q478" s="192"/>
      <c r="R478" s="195">
        <f t="shared" si="337"/>
        <v>0</v>
      </c>
      <c r="S478" s="194">
        <f t="shared" si="338"/>
        <v>0</v>
      </c>
      <c r="T478" s="191"/>
      <c r="U478" s="192"/>
      <c r="V478" s="192"/>
      <c r="W478" s="195">
        <f t="shared" si="339"/>
        <v>0</v>
      </c>
      <c r="X478" s="194">
        <f t="shared" si="340"/>
        <v>0</v>
      </c>
      <c r="Y478" s="328">
        <f>H478+M478+R478+W478</f>
        <v>0</v>
      </c>
      <c r="Z478" s="329"/>
      <c r="AA478" s="330">
        <f>Y478*Z478</f>
        <v>0</v>
      </c>
    </row>
    <row r="479" spans="1:27" ht="28.35" customHeight="1">
      <c r="A479" s="331">
        <v>71</v>
      </c>
      <c r="B479" s="299"/>
      <c r="C479" s="326"/>
      <c r="D479" s="333"/>
      <c r="E479" s="191"/>
      <c r="F479" s="192"/>
      <c r="G479" s="192"/>
      <c r="H479" s="193">
        <f t="shared" si="333"/>
        <v>0</v>
      </c>
      <c r="I479" s="194">
        <f t="shared" si="334"/>
        <v>0</v>
      </c>
      <c r="J479" s="191"/>
      <c r="K479" s="192"/>
      <c r="L479" s="192"/>
      <c r="M479" s="195">
        <f t="shared" si="335"/>
        <v>0</v>
      </c>
      <c r="N479" s="194">
        <f t="shared" si="336"/>
        <v>0</v>
      </c>
      <c r="O479" s="191"/>
      <c r="P479" s="192"/>
      <c r="Q479" s="192"/>
      <c r="R479" s="195">
        <f t="shared" si="337"/>
        <v>0</v>
      </c>
      <c r="S479" s="194">
        <f t="shared" si="338"/>
        <v>0</v>
      </c>
      <c r="T479" s="191"/>
      <c r="U479" s="192"/>
      <c r="V479" s="192"/>
      <c r="W479" s="195">
        <f t="shared" si="339"/>
        <v>0</v>
      </c>
      <c r="X479" s="194">
        <f t="shared" si="340"/>
        <v>0</v>
      </c>
      <c r="Y479" s="328">
        <f>H479+M479+R479+W479</f>
        <v>0</v>
      </c>
      <c r="Z479" s="329"/>
      <c r="AA479" s="330">
        <f>Y479*Z479</f>
        <v>0</v>
      </c>
    </row>
    <row r="480" spans="1:27" ht="28.35" customHeight="1" thickBot="1">
      <c r="A480" s="332">
        <v>72</v>
      </c>
      <c r="B480" s="299"/>
      <c r="C480" s="326"/>
      <c r="D480" s="333"/>
      <c r="E480" s="191"/>
      <c r="F480" s="192"/>
      <c r="G480" s="192"/>
      <c r="H480" s="193">
        <f t="shared" si="333"/>
        <v>0</v>
      </c>
      <c r="I480" s="194">
        <f t="shared" si="334"/>
        <v>0</v>
      </c>
      <c r="J480" s="191"/>
      <c r="K480" s="192"/>
      <c r="L480" s="192"/>
      <c r="M480" s="195">
        <f t="shared" si="335"/>
        <v>0</v>
      </c>
      <c r="N480" s="194">
        <f t="shared" si="336"/>
        <v>0</v>
      </c>
      <c r="O480" s="191"/>
      <c r="P480" s="192"/>
      <c r="Q480" s="192"/>
      <c r="R480" s="195">
        <f t="shared" si="337"/>
        <v>0</v>
      </c>
      <c r="S480" s="194">
        <f t="shared" si="338"/>
        <v>0</v>
      </c>
      <c r="T480" s="191"/>
      <c r="U480" s="192"/>
      <c r="V480" s="192"/>
      <c r="W480" s="195">
        <f t="shared" si="339"/>
        <v>0</v>
      </c>
      <c r="X480" s="194">
        <f t="shared" si="340"/>
        <v>0</v>
      </c>
      <c r="Y480" s="328">
        <f>H480+M480+R480+W480</f>
        <v>0</v>
      </c>
      <c r="Z480" s="329"/>
      <c r="AA480" s="330">
        <f>Y480*Z480</f>
        <v>0</v>
      </c>
    </row>
    <row r="481" spans="1:27" ht="28.35" customHeight="1">
      <c r="A481" s="325">
        <v>73</v>
      </c>
      <c r="B481" s="299"/>
      <c r="C481" s="326"/>
      <c r="D481" s="333"/>
      <c r="E481" s="191"/>
      <c r="F481" s="192"/>
      <c r="G481" s="192"/>
      <c r="H481" s="193">
        <f t="shared" si="333"/>
        <v>0</v>
      </c>
      <c r="I481" s="194">
        <f t="shared" si="334"/>
        <v>0</v>
      </c>
      <c r="J481" s="191"/>
      <c r="K481" s="192"/>
      <c r="L481" s="192"/>
      <c r="M481" s="195">
        <f t="shared" si="335"/>
        <v>0</v>
      </c>
      <c r="N481" s="194">
        <f t="shared" si="336"/>
        <v>0</v>
      </c>
      <c r="O481" s="191"/>
      <c r="P481" s="192"/>
      <c r="Q481" s="192"/>
      <c r="R481" s="195">
        <f t="shared" si="337"/>
        <v>0</v>
      </c>
      <c r="S481" s="194">
        <f t="shared" si="338"/>
        <v>0</v>
      </c>
      <c r="T481" s="191"/>
      <c r="U481" s="192"/>
      <c r="V481" s="192"/>
      <c r="W481" s="195">
        <f t="shared" si="339"/>
        <v>0</v>
      </c>
      <c r="X481" s="194">
        <f t="shared" si="340"/>
        <v>0</v>
      </c>
      <c r="Y481" s="328">
        <f t="shared" ref="Y481" si="341">H481+M481+R481+W481</f>
        <v>0</v>
      </c>
      <c r="Z481" s="329"/>
      <c r="AA481" s="330">
        <f t="shared" ref="AA481" si="342">Y481*Z481</f>
        <v>0</v>
      </c>
    </row>
    <row r="482" spans="1:27" ht="28.35" customHeight="1">
      <c r="A482" s="331">
        <v>74</v>
      </c>
      <c r="B482" s="299"/>
      <c r="C482" s="326"/>
      <c r="D482" s="333"/>
      <c r="E482" s="191"/>
      <c r="F482" s="192"/>
      <c r="G482" s="192"/>
      <c r="H482" s="193">
        <f t="shared" si="333"/>
        <v>0</v>
      </c>
      <c r="I482" s="194">
        <f t="shared" si="334"/>
        <v>0</v>
      </c>
      <c r="J482" s="191"/>
      <c r="K482" s="192"/>
      <c r="L482" s="192"/>
      <c r="M482" s="195">
        <f t="shared" si="335"/>
        <v>0</v>
      </c>
      <c r="N482" s="194">
        <f t="shared" si="336"/>
        <v>0</v>
      </c>
      <c r="O482" s="191"/>
      <c r="P482" s="192"/>
      <c r="Q482" s="192"/>
      <c r="R482" s="195">
        <f t="shared" si="337"/>
        <v>0</v>
      </c>
      <c r="S482" s="194">
        <f t="shared" si="338"/>
        <v>0</v>
      </c>
      <c r="T482" s="191"/>
      <c r="U482" s="192"/>
      <c r="V482" s="192"/>
      <c r="W482" s="195">
        <f t="shared" si="339"/>
        <v>0</v>
      </c>
      <c r="X482" s="194">
        <f t="shared" si="340"/>
        <v>0</v>
      </c>
      <c r="Y482" s="328">
        <f>H482+M482+R482+W482</f>
        <v>0</v>
      </c>
      <c r="Z482" s="329"/>
      <c r="AA482" s="330">
        <f>Y482*Z482</f>
        <v>0</v>
      </c>
    </row>
    <row r="483" spans="1:27" ht="28.35" customHeight="1" thickBot="1">
      <c r="A483" s="332">
        <v>75</v>
      </c>
      <c r="B483" s="299"/>
      <c r="C483" s="326"/>
      <c r="D483" s="333"/>
      <c r="E483" s="191"/>
      <c r="F483" s="192"/>
      <c r="G483" s="192"/>
      <c r="H483" s="193">
        <f t="shared" si="333"/>
        <v>0</v>
      </c>
      <c r="I483" s="194">
        <f t="shared" si="334"/>
        <v>0</v>
      </c>
      <c r="J483" s="191"/>
      <c r="K483" s="192"/>
      <c r="L483" s="192"/>
      <c r="M483" s="195">
        <f t="shared" si="335"/>
        <v>0</v>
      </c>
      <c r="N483" s="194">
        <f t="shared" si="336"/>
        <v>0</v>
      </c>
      <c r="O483" s="191"/>
      <c r="P483" s="192"/>
      <c r="Q483" s="192"/>
      <c r="R483" s="195">
        <f t="shared" si="337"/>
        <v>0</v>
      </c>
      <c r="S483" s="194">
        <f t="shared" si="338"/>
        <v>0</v>
      </c>
      <c r="T483" s="191"/>
      <c r="U483" s="192"/>
      <c r="V483" s="192"/>
      <c r="W483" s="195">
        <f t="shared" si="339"/>
        <v>0</v>
      </c>
      <c r="X483" s="194">
        <f t="shared" si="340"/>
        <v>0</v>
      </c>
      <c r="Y483" s="328">
        <f>H483+M483+R483+W483</f>
        <v>0</v>
      </c>
      <c r="Z483" s="329"/>
      <c r="AA483" s="330">
        <f t="shared" ref="AA483:AA497" si="343">Y483*Z483</f>
        <v>0</v>
      </c>
    </row>
    <row r="484" spans="1:27" ht="28.35" customHeight="1">
      <c r="A484" s="325">
        <v>76</v>
      </c>
      <c r="B484" s="299"/>
      <c r="C484" s="326"/>
      <c r="D484" s="327"/>
      <c r="E484" s="191"/>
      <c r="F484" s="192"/>
      <c r="G484" s="192"/>
      <c r="H484" s="193">
        <f t="shared" si="333"/>
        <v>0</v>
      </c>
      <c r="I484" s="194">
        <f t="shared" si="334"/>
        <v>0</v>
      </c>
      <c r="J484" s="191"/>
      <c r="K484" s="192"/>
      <c r="L484" s="192"/>
      <c r="M484" s="195">
        <f t="shared" si="335"/>
        <v>0</v>
      </c>
      <c r="N484" s="194">
        <f t="shared" si="336"/>
        <v>0</v>
      </c>
      <c r="O484" s="191"/>
      <c r="P484" s="192"/>
      <c r="Q484" s="192"/>
      <c r="R484" s="195">
        <f t="shared" si="337"/>
        <v>0</v>
      </c>
      <c r="S484" s="194">
        <f t="shared" si="338"/>
        <v>0</v>
      </c>
      <c r="T484" s="191"/>
      <c r="U484" s="192"/>
      <c r="V484" s="192"/>
      <c r="W484" s="195">
        <f t="shared" si="339"/>
        <v>0</v>
      </c>
      <c r="X484" s="194">
        <f t="shared" si="340"/>
        <v>0</v>
      </c>
      <c r="Y484" s="328">
        <f t="shared" ref="Y484:Y500" si="344">H484+M484+R484+W484</f>
        <v>0</v>
      </c>
      <c r="Z484" s="329"/>
      <c r="AA484" s="330">
        <f t="shared" si="343"/>
        <v>0</v>
      </c>
    </row>
    <row r="485" spans="1:27" ht="28.35" customHeight="1">
      <c r="A485" s="331">
        <v>77</v>
      </c>
      <c r="B485" s="299"/>
      <c r="C485" s="326"/>
      <c r="D485" s="333"/>
      <c r="E485" s="191"/>
      <c r="F485" s="192"/>
      <c r="G485" s="192"/>
      <c r="H485" s="193">
        <f t="shared" si="333"/>
        <v>0</v>
      </c>
      <c r="I485" s="194">
        <f t="shared" si="334"/>
        <v>0</v>
      </c>
      <c r="J485" s="191"/>
      <c r="K485" s="192"/>
      <c r="L485" s="192"/>
      <c r="M485" s="195">
        <f t="shared" si="335"/>
        <v>0</v>
      </c>
      <c r="N485" s="194">
        <f t="shared" si="336"/>
        <v>0</v>
      </c>
      <c r="O485" s="191"/>
      <c r="P485" s="192"/>
      <c r="Q485" s="192"/>
      <c r="R485" s="195">
        <f t="shared" si="337"/>
        <v>0</v>
      </c>
      <c r="S485" s="194">
        <f t="shared" si="338"/>
        <v>0</v>
      </c>
      <c r="T485" s="191"/>
      <c r="U485" s="192"/>
      <c r="V485" s="192"/>
      <c r="W485" s="195">
        <f t="shared" si="339"/>
        <v>0</v>
      </c>
      <c r="X485" s="194">
        <f t="shared" si="340"/>
        <v>0</v>
      </c>
      <c r="Y485" s="328">
        <f t="shared" si="344"/>
        <v>0</v>
      </c>
      <c r="Z485" s="329"/>
      <c r="AA485" s="330">
        <f t="shared" si="343"/>
        <v>0</v>
      </c>
    </row>
    <row r="486" spans="1:27" ht="28.35" customHeight="1" thickBot="1">
      <c r="A486" s="332">
        <v>78</v>
      </c>
      <c r="B486" s="299"/>
      <c r="C486" s="326"/>
      <c r="D486" s="327"/>
      <c r="E486" s="191"/>
      <c r="F486" s="192"/>
      <c r="G486" s="192"/>
      <c r="H486" s="193">
        <f t="shared" si="333"/>
        <v>0</v>
      </c>
      <c r="I486" s="194">
        <f t="shared" si="334"/>
        <v>0</v>
      </c>
      <c r="J486" s="191"/>
      <c r="K486" s="192"/>
      <c r="L486" s="192"/>
      <c r="M486" s="195">
        <f t="shared" si="335"/>
        <v>0</v>
      </c>
      <c r="N486" s="194">
        <f t="shared" si="336"/>
        <v>0</v>
      </c>
      <c r="O486" s="191"/>
      <c r="P486" s="192"/>
      <c r="Q486" s="192"/>
      <c r="R486" s="195">
        <f t="shared" si="337"/>
        <v>0</v>
      </c>
      <c r="S486" s="194">
        <f t="shared" si="338"/>
        <v>0</v>
      </c>
      <c r="T486" s="191"/>
      <c r="U486" s="192"/>
      <c r="V486" s="192"/>
      <c r="W486" s="195">
        <f t="shared" si="339"/>
        <v>0</v>
      </c>
      <c r="X486" s="194">
        <f t="shared" si="340"/>
        <v>0</v>
      </c>
      <c r="Y486" s="328">
        <f t="shared" si="344"/>
        <v>0</v>
      </c>
      <c r="Z486" s="329"/>
      <c r="AA486" s="330">
        <f t="shared" si="343"/>
        <v>0</v>
      </c>
    </row>
    <row r="487" spans="1:27" ht="28.35" customHeight="1">
      <c r="A487" s="325">
        <v>79</v>
      </c>
      <c r="B487" s="299"/>
      <c r="C487" s="326"/>
      <c r="D487" s="333"/>
      <c r="E487" s="191"/>
      <c r="F487" s="192"/>
      <c r="G487" s="192"/>
      <c r="H487" s="193">
        <f t="shared" si="333"/>
        <v>0</v>
      </c>
      <c r="I487" s="194">
        <f t="shared" si="334"/>
        <v>0</v>
      </c>
      <c r="J487" s="191"/>
      <c r="K487" s="192"/>
      <c r="L487" s="192"/>
      <c r="M487" s="195">
        <f t="shared" si="335"/>
        <v>0</v>
      </c>
      <c r="N487" s="194">
        <f t="shared" si="336"/>
        <v>0</v>
      </c>
      <c r="O487" s="191"/>
      <c r="P487" s="192"/>
      <c r="Q487" s="192"/>
      <c r="R487" s="195">
        <f t="shared" si="337"/>
        <v>0</v>
      </c>
      <c r="S487" s="194">
        <f t="shared" si="338"/>
        <v>0</v>
      </c>
      <c r="T487" s="191"/>
      <c r="U487" s="192"/>
      <c r="V487" s="192"/>
      <c r="W487" s="195">
        <f t="shared" si="339"/>
        <v>0</v>
      </c>
      <c r="X487" s="194">
        <f t="shared" si="340"/>
        <v>0</v>
      </c>
      <c r="Y487" s="328">
        <f t="shared" si="344"/>
        <v>0</v>
      </c>
      <c r="Z487" s="329"/>
      <c r="AA487" s="330">
        <f t="shared" si="343"/>
        <v>0</v>
      </c>
    </row>
    <row r="488" spans="1:27" ht="28.35" customHeight="1">
      <c r="A488" s="331">
        <v>80</v>
      </c>
      <c r="B488" s="299"/>
      <c r="C488" s="326"/>
      <c r="D488" s="333"/>
      <c r="E488" s="191"/>
      <c r="F488" s="192"/>
      <c r="G488" s="192"/>
      <c r="H488" s="193">
        <f t="shared" si="333"/>
        <v>0</v>
      </c>
      <c r="I488" s="194">
        <f t="shared" si="334"/>
        <v>0</v>
      </c>
      <c r="J488" s="191"/>
      <c r="K488" s="192"/>
      <c r="L488" s="192"/>
      <c r="M488" s="195">
        <f t="shared" si="335"/>
        <v>0</v>
      </c>
      <c r="N488" s="194">
        <f t="shared" si="336"/>
        <v>0</v>
      </c>
      <c r="O488" s="191"/>
      <c r="P488" s="192"/>
      <c r="Q488" s="192"/>
      <c r="R488" s="195">
        <f t="shared" si="337"/>
        <v>0</v>
      </c>
      <c r="S488" s="194">
        <f t="shared" si="338"/>
        <v>0</v>
      </c>
      <c r="T488" s="191"/>
      <c r="U488" s="192"/>
      <c r="V488" s="192"/>
      <c r="W488" s="195">
        <f t="shared" si="339"/>
        <v>0</v>
      </c>
      <c r="X488" s="194">
        <f t="shared" si="340"/>
        <v>0</v>
      </c>
      <c r="Y488" s="328">
        <f t="shared" si="344"/>
        <v>0</v>
      </c>
      <c r="Z488" s="329"/>
      <c r="AA488" s="330">
        <f t="shared" si="343"/>
        <v>0</v>
      </c>
    </row>
    <row r="489" spans="1:27" ht="28.35" customHeight="1">
      <c r="A489" s="332">
        <v>81</v>
      </c>
      <c r="B489" s="299"/>
      <c r="C489" s="326"/>
      <c r="D489" s="333"/>
      <c r="E489" s="191"/>
      <c r="F489" s="192"/>
      <c r="G489" s="192"/>
      <c r="H489" s="193">
        <f t="shared" si="333"/>
        <v>0</v>
      </c>
      <c r="I489" s="194">
        <f t="shared" si="334"/>
        <v>0</v>
      </c>
      <c r="J489" s="191"/>
      <c r="K489" s="192"/>
      <c r="L489" s="192"/>
      <c r="M489" s="195">
        <f t="shared" si="335"/>
        <v>0</v>
      </c>
      <c r="N489" s="194">
        <f t="shared" si="336"/>
        <v>0</v>
      </c>
      <c r="O489" s="191"/>
      <c r="P489" s="192"/>
      <c r="Q489" s="192"/>
      <c r="R489" s="195">
        <f t="shared" si="337"/>
        <v>0</v>
      </c>
      <c r="S489" s="194">
        <f t="shared" si="338"/>
        <v>0</v>
      </c>
      <c r="T489" s="191"/>
      <c r="U489" s="192"/>
      <c r="V489" s="192"/>
      <c r="W489" s="195">
        <f t="shared" si="339"/>
        <v>0</v>
      </c>
      <c r="X489" s="194">
        <f t="shared" si="340"/>
        <v>0</v>
      </c>
      <c r="Y489" s="328">
        <f t="shared" si="344"/>
        <v>0</v>
      </c>
      <c r="Z489" s="329"/>
      <c r="AA489" s="330">
        <f t="shared" si="343"/>
        <v>0</v>
      </c>
    </row>
    <row r="490" spans="1:27" ht="28.35" customHeight="1">
      <c r="A490" s="332"/>
      <c r="B490" s="299"/>
      <c r="C490" s="326"/>
      <c r="D490" s="333"/>
      <c r="E490" s="191"/>
      <c r="F490" s="192"/>
      <c r="G490" s="192"/>
      <c r="H490" s="193">
        <f t="shared" si="333"/>
        <v>0</v>
      </c>
      <c r="I490" s="194">
        <f t="shared" si="334"/>
        <v>0</v>
      </c>
      <c r="J490" s="191"/>
      <c r="K490" s="192"/>
      <c r="L490" s="192"/>
      <c r="M490" s="195">
        <f t="shared" si="335"/>
        <v>0</v>
      </c>
      <c r="N490" s="194">
        <f t="shared" si="336"/>
        <v>0</v>
      </c>
      <c r="O490" s="191"/>
      <c r="P490" s="192"/>
      <c r="Q490" s="192"/>
      <c r="R490" s="195">
        <f t="shared" si="337"/>
        <v>0</v>
      </c>
      <c r="S490" s="194">
        <f t="shared" si="338"/>
        <v>0</v>
      </c>
      <c r="T490" s="191"/>
      <c r="U490" s="192"/>
      <c r="V490" s="192"/>
      <c r="W490" s="195">
        <f t="shared" si="339"/>
        <v>0</v>
      </c>
      <c r="X490" s="194">
        <f t="shared" si="340"/>
        <v>0</v>
      </c>
      <c r="Y490" s="328">
        <f t="shared" si="344"/>
        <v>0</v>
      </c>
      <c r="Z490" s="329"/>
      <c r="AA490" s="330">
        <f t="shared" si="343"/>
        <v>0</v>
      </c>
    </row>
    <row r="491" spans="1:27" ht="28.35" customHeight="1">
      <c r="A491" s="332"/>
      <c r="B491" s="299"/>
      <c r="C491" s="326"/>
      <c r="D491" s="333"/>
      <c r="E491" s="191"/>
      <c r="F491" s="192"/>
      <c r="G491" s="192"/>
      <c r="H491" s="193">
        <f t="shared" si="333"/>
        <v>0</v>
      </c>
      <c r="I491" s="194">
        <f t="shared" si="334"/>
        <v>0</v>
      </c>
      <c r="J491" s="191"/>
      <c r="K491" s="192"/>
      <c r="L491" s="192"/>
      <c r="M491" s="195">
        <f t="shared" si="335"/>
        <v>0</v>
      </c>
      <c r="N491" s="194">
        <f t="shared" si="336"/>
        <v>0</v>
      </c>
      <c r="O491" s="191"/>
      <c r="P491" s="192"/>
      <c r="Q491" s="192"/>
      <c r="R491" s="195">
        <f t="shared" si="337"/>
        <v>0</v>
      </c>
      <c r="S491" s="194">
        <f t="shared" si="338"/>
        <v>0</v>
      </c>
      <c r="T491" s="191"/>
      <c r="U491" s="192"/>
      <c r="V491" s="192"/>
      <c r="W491" s="195">
        <f t="shared" si="339"/>
        <v>0</v>
      </c>
      <c r="X491" s="194">
        <f t="shared" si="340"/>
        <v>0</v>
      </c>
      <c r="Y491" s="328">
        <f t="shared" si="344"/>
        <v>0</v>
      </c>
      <c r="Z491" s="329"/>
      <c r="AA491" s="330">
        <f t="shared" si="343"/>
        <v>0</v>
      </c>
    </row>
    <row r="492" spans="1:27" ht="28.35" customHeight="1">
      <c r="A492" s="332"/>
      <c r="B492" s="299"/>
      <c r="C492" s="326"/>
      <c r="D492" s="333"/>
      <c r="E492" s="191"/>
      <c r="F492" s="192"/>
      <c r="G492" s="192"/>
      <c r="H492" s="193">
        <f t="shared" si="333"/>
        <v>0</v>
      </c>
      <c r="I492" s="194">
        <f t="shared" si="334"/>
        <v>0</v>
      </c>
      <c r="J492" s="191"/>
      <c r="K492" s="192"/>
      <c r="L492" s="192"/>
      <c r="M492" s="195">
        <f t="shared" si="335"/>
        <v>0</v>
      </c>
      <c r="N492" s="194">
        <f t="shared" si="336"/>
        <v>0</v>
      </c>
      <c r="O492" s="191"/>
      <c r="P492" s="192"/>
      <c r="Q492" s="192"/>
      <c r="R492" s="195">
        <f t="shared" si="337"/>
        <v>0</v>
      </c>
      <c r="S492" s="194">
        <f t="shared" si="338"/>
        <v>0</v>
      </c>
      <c r="T492" s="191"/>
      <c r="U492" s="192"/>
      <c r="V492" s="192"/>
      <c r="W492" s="195">
        <f t="shared" si="339"/>
        <v>0</v>
      </c>
      <c r="X492" s="194">
        <f t="shared" si="340"/>
        <v>0</v>
      </c>
      <c r="Y492" s="328">
        <f t="shared" si="344"/>
        <v>0</v>
      </c>
      <c r="Z492" s="329"/>
      <c r="AA492" s="330">
        <f t="shared" si="343"/>
        <v>0</v>
      </c>
    </row>
    <row r="493" spans="1:27" ht="28.35" customHeight="1">
      <c r="A493" s="332"/>
      <c r="B493" s="299"/>
      <c r="C493" s="326"/>
      <c r="D493" s="333"/>
      <c r="E493" s="191"/>
      <c r="F493" s="192"/>
      <c r="G493" s="192"/>
      <c r="H493" s="193">
        <f t="shared" si="333"/>
        <v>0</v>
      </c>
      <c r="I493" s="194">
        <f t="shared" si="334"/>
        <v>0</v>
      </c>
      <c r="J493" s="191"/>
      <c r="K493" s="192"/>
      <c r="L493" s="192"/>
      <c r="M493" s="195">
        <f t="shared" si="335"/>
        <v>0</v>
      </c>
      <c r="N493" s="194">
        <f t="shared" si="336"/>
        <v>0</v>
      </c>
      <c r="O493" s="191"/>
      <c r="P493" s="192"/>
      <c r="Q493" s="192"/>
      <c r="R493" s="195">
        <f t="shared" si="337"/>
        <v>0</v>
      </c>
      <c r="S493" s="194">
        <f t="shared" si="338"/>
        <v>0</v>
      </c>
      <c r="T493" s="191"/>
      <c r="U493" s="192"/>
      <c r="V493" s="192"/>
      <c r="W493" s="195">
        <f t="shared" si="339"/>
        <v>0</v>
      </c>
      <c r="X493" s="194">
        <f t="shared" si="340"/>
        <v>0</v>
      </c>
      <c r="Y493" s="328">
        <f>H493+M493+R493+W493</f>
        <v>0</v>
      </c>
      <c r="Z493" s="329"/>
      <c r="AA493" s="330">
        <f t="shared" si="343"/>
        <v>0</v>
      </c>
    </row>
    <row r="494" spans="1:27" ht="28.35" customHeight="1">
      <c r="A494" s="332"/>
      <c r="B494" s="299"/>
      <c r="C494" s="326"/>
      <c r="D494" s="333"/>
      <c r="E494" s="191"/>
      <c r="F494" s="192"/>
      <c r="G494" s="192"/>
      <c r="H494" s="193">
        <f t="shared" si="333"/>
        <v>0</v>
      </c>
      <c r="I494" s="194">
        <f t="shared" si="334"/>
        <v>0</v>
      </c>
      <c r="J494" s="191"/>
      <c r="K494" s="192"/>
      <c r="L494" s="192"/>
      <c r="M494" s="195">
        <f t="shared" si="335"/>
        <v>0</v>
      </c>
      <c r="N494" s="194">
        <f t="shared" si="336"/>
        <v>0</v>
      </c>
      <c r="O494" s="191"/>
      <c r="P494" s="192"/>
      <c r="Q494" s="192"/>
      <c r="R494" s="195">
        <f t="shared" si="337"/>
        <v>0</v>
      </c>
      <c r="S494" s="194">
        <f t="shared" si="338"/>
        <v>0</v>
      </c>
      <c r="T494" s="191"/>
      <c r="U494" s="192"/>
      <c r="V494" s="192"/>
      <c r="W494" s="195">
        <f t="shared" si="339"/>
        <v>0</v>
      </c>
      <c r="X494" s="194">
        <f t="shared" si="340"/>
        <v>0</v>
      </c>
      <c r="Y494" s="328">
        <f>H494+M494+R494+W494</f>
        <v>0</v>
      </c>
      <c r="Z494" s="329"/>
      <c r="AA494" s="330">
        <f t="shared" si="343"/>
        <v>0</v>
      </c>
    </row>
    <row r="495" spans="1:27" ht="28.35" customHeight="1">
      <c r="A495" s="332"/>
      <c r="B495" s="299"/>
      <c r="C495" s="326"/>
      <c r="D495" s="333"/>
      <c r="E495" s="191"/>
      <c r="F495" s="192"/>
      <c r="G495" s="192"/>
      <c r="H495" s="193">
        <f t="shared" si="333"/>
        <v>0</v>
      </c>
      <c r="I495" s="194">
        <f t="shared" si="334"/>
        <v>0</v>
      </c>
      <c r="J495" s="191"/>
      <c r="K495" s="192"/>
      <c r="L495" s="192"/>
      <c r="M495" s="195">
        <f t="shared" si="335"/>
        <v>0</v>
      </c>
      <c r="N495" s="194">
        <f t="shared" si="336"/>
        <v>0</v>
      </c>
      <c r="O495" s="191"/>
      <c r="P495" s="192"/>
      <c r="Q495" s="192"/>
      <c r="R495" s="195">
        <f t="shared" si="337"/>
        <v>0</v>
      </c>
      <c r="S495" s="194">
        <f t="shared" si="338"/>
        <v>0</v>
      </c>
      <c r="T495" s="191"/>
      <c r="U495" s="192"/>
      <c r="V495" s="192"/>
      <c r="W495" s="195">
        <f t="shared" si="339"/>
        <v>0</v>
      </c>
      <c r="X495" s="194">
        <f t="shared" si="340"/>
        <v>0</v>
      </c>
      <c r="Y495" s="328">
        <f>H495+M495+R495+W495</f>
        <v>0</v>
      </c>
      <c r="Z495" s="329"/>
      <c r="AA495" s="330">
        <f t="shared" si="343"/>
        <v>0</v>
      </c>
    </row>
    <row r="496" spans="1:27" ht="28.35" customHeight="1">
      <c r="A496" s="332"/>
      <c r="B496" s="299"/>
      <c r="C496" s="326"/>
      <c r="D496" s="333"/>
      <c r="E496" s="191"/>
      <c r="F496" s="192"/>
      <c r="G496" s="192"/>
      <c r="H496" s="193">
        <f t="shared" si="333"/>
        <v>0</v>
      </c>
      <c r="I496" s="194">
        <f t="shared" si="334"/>
        <v>0</v>
      </c>
      <c r="J496" s="191"/>
      <c r="K496" s="192"/>
      <c r="L496" s="192"/>
      <c r="M496" s="195">
        <f t="shared" si="335"/>
        <v>0</v>
      </c>
      <c r="N496" s="194">
        <f t="shared" si="336"/>
        <v>0</v>
      </c>
      <c r="O496" s="191"/>
      <c r="P496" s="192"/>
      <c r="Q496" s="192"/>
      <c r="R496" s="195">
        <f t="shared" si="337"/>
        <v>0</v>
      </c>
      <c r="S496" s="194">
        <f t="shared" si="338"/>
        <v>0</v>
      </c>
      <c r="T496" s="191"/>
      <c r="U496" s="192"/>
      <c r="V496" s="192"/>
      <c r="W496" s="195">
        <f t="shared" si="339"/>
        <v>0</v>
      </c>
      <c r="X496" s="194">
        <f t="shared" si="340"/>
        <v>0</v>
      </c>
      <c r="Y496" s="328">
        <f t="shared" si="344"/>
        <v>0</v>
      </c>
      <c r="Z496" s="329"/>
      <c r="AA496" s="330">
        <f t="shared" si="343"/>
        <v>0</v>
      </c>
    </row>
    <row r="497" spans="1:27" ht="28.35" customHeight="1">
      <c r="A497" s="332"/>
      <c r="B497" s="299"/>
      <c r="C497" s="326"/>
      <c r="D497" s="333"/>
      <c r="E497" s="191"/>
      <c r="F497" s="192"/>
      <c r="G497" s="192"/>
      <c r="H497" s="193">
        <f t="shared" si="333"/>
        <v>0</v>
      </c>
      <c r="I497" s="194">
        <f t="shared" si="334"/>
        <v>0</v>
      </c>
      <c r="J497" s="191"/>
      <c r="K497" s="192"/>
      <c r="L497" s="192"/>
      <c r="M497" s="195">
        <f t="shared" si="335"/>
        <v>0</v>
      </c>
      <c r="N497" s="194">
        <f t="shared" si="336"/>
        <v>0</v>
      </c>
      <c r="O497" s="191"/>
      <c r="P497" s="192"/>
      <c r="Q497" s="192"/>
      <c r="R497" s="195">
        <f t="shared" si="337"/>
        <v>0</v>
      </c>
      <c r="S497" s="194">
        <f t="shared" si="338"/>
        <v>0</v>
      </c>
      <c r="T497" s="191"/>
      <c r="U497" s="192"/>
      <c r="V497" s="192"/>
      <c r="W497" s="195">
        <f t="shared" si="339"/>
        <v>0</v>
      </c>
      <c r="X497" s="194">
        <f t="shared" si="340"/>
        <v>0</v>
      </c>
      <c r="Y497" s="328">
        <f t="shared" si="344"/>
        <v>0</v>
      </c>
      <c r="Z497" s="329"/>
      <c r="AA497" s="330">
        <f t="shared" si="343"/>
        <v>0</v>
      </c>
    </row>
    <row r="498" spans="1:27" ht="28.35" customHeight="1">
      <c r="A498" s="332"/>
      <c r="B498" s="299"/>
      <c r="C498" s="326"/>
      <c r="D498" s="333"/>
      <c r="E498" s="191"/>
      <c r="F498" s="192"/>
      <c r="G498" s="192"/>
      <c r="H498" s="193">
        <f t="shared" si="333"/>
        <v>0</v>
      </c>
      <c r="I498" s="194">
        <f t="shared" si="334"/>
        <v>0</v>
      </c>
      <c r="J498" s="191"/>
      <c r="K498" s="192"/>
      <c r="L498" s="192"/>
      <c r="M498" s="195">
        <f t="shared" si="335"/>
        <v>0</v>
      </c>
      <c r="N498" s="194">
        <f t="shared" si="336"/>
        <v>0</v>
      </c>
      <c r="O498" s="191"/>
      <c r="P498" s="192"/>
      <c r="Q498" s="192"/>
      <c r="R498" s="195">
        <f t="shared" si="337"/>
        <v>0</v>
      </c>
      <c r="S498" s="194">
        <f t="shared" si="338"/>
        <v>0</v>
      </c>
      <c r="T498" s="191"/>
      <c r="U498" s="192"/>
      <c r="V498" s="192"/>
      <c r="W498" s="195">
        <f t="shared" si="339"/>
        <v>0</v>
      </c>
      <c r="X498" s="194">
        <f t="shared" si="340"/>
        <v>0</v>
      </c>
      <c r="Y498" s="328">
        <f t="shared" si="344"/>
        <v>0</v>
      </c>
      <c r="Z498" s="329"/>
      <c r="AA498" s="330">
        <f>Y498*Z498</f>
        <v>0</v>
      </c>
    </row>
    <row r="499" spans="1:27" ht="28.35" customHeight="1">
      <c r="A499" s="332"/>
      <c r="B499" s="299"/>
      <c r="C499" s="326"/>
      <c r="D499" s="333"/>
      <c r="E499" s="191"/>
      <c r="F499" s="192"/>
      <c r="G499" s="192"/>
      <c r="H499" s="193">
        <f t="shared" si="333"/>
        <v>0</v>
      </c>
      <c r="I499" s="194">
        <f t="shared" si="334"/>
        <v>0</v>
      </c>
      <c r="J499" s="191"/>
      <c r="K499" s="192"/>
      <c r="L499" s="192"/>
      <c r="M499" s="195">
        <f t="shared" si="335"/>
        <v>0</v>
      </c>
      <c r="N499" s="194">
        <f t="shared" si="336"/>
        <v>0</v>
      </c>
      <c r="O499" s="191"/>
      <c r="P499" s="192"/>
      <c r="Q499" s="192"/>
      <c r="R499" s="195">
        <f t="shared" si="337"/>
        <v>0</v>
      </c>
      <c r="S499" s="194">
        <f t="shared" si="338"/>
        <v>0</v>
      </c>
      <c r="T499" s="191"/>
      <c r="U499" s="192"/>
      <c r="V499" s="192"/>
      <c r="W499" s="195">
        <f t="shared" si="339"/>
        <v>0</v>
      </c>
      <c r="X499" s="194">
        <f t="shared" si="340"/>
        <v>0</v>
      </c>
      <c r="Y499" s="328">
        <f t="shared" si="344"/>
        <v>0</v>
      </c>
      <c r="Z499" s="329"/>
      <c r="AA499" s="330">
        <f>Y499*Z499</f>
        <v>0</v>
      </c>
    </row>
    <row r="500" spans="1:27" ht="28.35" customHeight="1">
      <c r="A500" s="332"/>
      <c r="B500" s="299"/>
      <c r="C500" s="326"/>
      <c r="D500" s="333"/>
      <c r="E500" s="191"/>
      <c r="F500" s="192"/>
      <c r="G500" s="192"/>
      <c r="H500" s="193">
        <f t="shared" si="333"/>
        <v>0</v>
      </c>
      <c r="I500" s="194">
        <f>H500*Z500</f>
        <v>0</v>
      </c>
      <c r="J500" s="191"/>
      <c r="K500" s="192"/>
      <c r="L500" s="192"/>
      <c r="M500" s="195">
        <f t="shared" si="335"/>
        <v>0</v>
      </c>
      <c r="N500" s="194">
        <f t="shared" si="336"/>
        <v>0</v>
      </c>
      <c r="O500" s="191"/>
      <c r="P500" s="192"/>
      <c r="Q500" s="192"/>
      <c r="R500" s="195">
        <f t="shared" si="337"/>
        <v>0</v>
      </c>
      <c r="S500" s="194">
        <f t="shared" si="338"/>
        <v>0</v>
      </c>
      <c r="T500" s="191"/>
      <c r="U500" s="192"/>
      <c r="V500" s="192"/>
      <c r="W500" s="195">
        <f t="shared" si="339"/>
        <v>0</v>
      </c>
      <c r="X500" s="194">
        <f t="shared" si="340"/>
        <v>0</v>
      </c>
      <c r="Y500" s="328">
        <f t="shared" si="344"/>
        <v>0</v>
      </c>
      <c r="Z500" s="329"/>
      <c r="AA500" s="330">
        <f t="shared" ref="AA500" si="345">Y500*Z500</f>
        <v>0</v>
      </c>
    </row>
    <row r="501" spans="1:27" ht="28.35" customHeight="1">
      <c r="A501" s="332"/>
      <c r="B501" s="299"/>
      <c r="C501" s="299"/>
      <c r="D501" s="300"/>
      <c r="E501" s="334"/>
      <c r="F501" s="334"/>
      <c r="G501" s="334"/>
      <c r="H501" s="335"/>
      <c r="I501" s="301"/>
      <c r="J501" s="334"/>
      <c r="K501" s="334"/>
      <c r="L501" s="334"/>
      <c r="M501" s="335"/>
      <c r="N501" s="301"/>
      <c r="O501" s="334"/>
      <c r="P501" s="334"/>
      <c r="Q501" s="334"/>
      <c r="R501" s="335"/>
      <c r="S501" s="301"/>
      <c r="T501" s="334"/>
      <c r="U501" s="334"/>
      <c r="V501" s="334"/>
      <c r="W501" s="335"/>
      <c r="X501" s="301"/>
      <c r="Y501" s="301"/>
      <c r="Z501" s="274"/>
      <c r="AA501" s="302"/>
    </row>
    <row r="502" spans="1:27" ht="30" customHeight="1" thickBot="1">
      <c r="A502" s="331"/>
      <c r="B502" s="299"/>
      <c r="C502" s="299"/>
      <c r="D502" s="300"/>
      <c r="E502" s="334"/>
      <c r="F502" s="334"/>
      <c r="G502" s="334"/>
      <c r="H502" s="335"/>
      <c r="I502" s="301"/>
      <c r="J502" s="334"/>
      <c r="K502" s="334"/>
      <c r="L502" s="334"/>
      <c r="M502" s="335"/>
      <c r="N502" s="301"/>
      <c r="O502" s="334"/>
      <c r="P502" s="334"/>
      <c r="Q502" s="334"/>
      <c r="R502" s="335"/>
      <c r="S502" s="301"/>
      <c r="T502" s="334"/>
      <c r="U502" s="334"/>
      <c r="V502" s="334"/>
      <c r="W502" s="335"/>
      <c r="X502" s="301"/>
      <c r="Y502" s="301"/>
      <c r="Z502" s="274"/>
      <c r="AA502" s="302"/>
    </row>
    <row r="503" spans="1:27" ht="28.35" customHeight="1" thickBot="1">
      <c r="A503" s="256" t="s">
        <v>1009</v>
      </c>
      <c r="B503" s="336"/>
      <c r="C503" s="336"/>
      <c r="D503" s="337"/>
      <c r="E503" s="337"/>
      <c r="F503" s="337"/>
      <c r="G503" s="337"/>
      <c r="H503" s="337"/>
      <c r="I503" s="338"/>
      <c r="J503" s="337"/>
      <c r="K503" s="337"/>
      <c r="L503" s="337"/>
      <c r="M503" s="337"/>
      <c r="N503" s="338"/>
      <c r="O503" s="337"/>
      <c r="P503" s="337"/>
      <c r="Q503" s="337"/>
      <c r="R503" s="337"/>
      <c r="S503" s="338"/>
      <c r="T503" s="337"/>
      <c r="U503" s="337"/>
      <c r="V503" s="337"/>
      <c r="W503" s="337"/>
      <c r="X503" s="338"/>
      <c r="Y503" s="338"/>
      <c r="Z503" s="339"/>
      <c r="AA503" s="340"/>
    </row>
    <row r="504" spans="1:27" ht="28.35" customHeight="1">
      <c r="A504" s="325">
        <v>1</v>
      </c>
      <c r="B504" s="294"/>
      <c r="C504" s="294" t="s">
        <v>1010</v>
      </c>
      <c r="D504" s="342" t="s">
        <v>364</v>
      </c>
      <c r="E504" s="342"/>
      <c r="F504" s="342">
        <v>0</v>
      </c>
      <c r="G504" s="342">
        <v>0</v>
      </c>
      <c r="H504" s="343"/>
      <c r="I504" s="296" t="e">
        <f>H504*$Z504</f>
        <v>#DIV/0!</v>
      </c>
      <c r="J504" s="342"/>
      <c r="K504" s="342">
        <v>0</v>
      </c>
      <c r="L504" s="342">
        <v>0</v>
      </c>
      <c r="M504" s="343"/>
      <c r="N504" s="296" t="e">
        <f>M504*$Z504</f>
        <v>#DIV/0!</v>
      </c>
      <c r="O504" s="342"/>
      <c r="P504" s="342"/>
      <c r="Q504" s="342">
        <v>0</v>
      </c>
      <c r="R504" s="343"/>
      <c r="S504" s="296" t="e">
        <f>R504*$Z504</f>
        <v>#DIV/0!</v>
      </c>
      <c r="T504" s="342"/>
      <c r="U504" s="342">
        <v>0</v>
      </c>
      <c r="V504" s="342">
        <v>0</v>
      </c>
      <c r="W504" s="343"/>
      <c r="X504" s="296" t="e">
        <f>W504*$Z504</f>
        <v>#DIV/0!</v>
      </c>
      <c r="Y504" s="296">
        <f>H504+M504+R504+W504</f>
        <v>0</v>
      </c>
      <c r="Z504" s="268" t="e">
        <f>1120/Y504</f>
        <v>#DIV/0!</v>
      </c>
      <c r="AA504" s="297" t="e">
        <f>Y504*Z504</f>
        <v>#DIV/0!</v>
      </c>
    </row>
    <row r="505" spans="1:27" ht="28.35" customHeight="1" thickBot="1">
      <c r="A505" s="331">
        <v>2</v>
      </c>
      <c r="B505" s="299"/>
      <c r="C505" s="299" t="s">
        <v>1011</v>
      </c>
      <c r="D505" s="300" t="s">
        <v>364</v>
      </c>
      <c r="E505" s="334"/>
      <c r="F505" s="334">
        <v>0</v>
      </c>
      <c r="G505" s="334">
        <v>0</v>
      </c>
      <c r="H505" s="335">
        <f>SUM(E505:G505)</f>
        <v>0</v>
      </c>
      <c r="I505" s="301" t="e">
        <f>H505*$Z505</f>
        <v>#DIV/0!</v>
      </c>
      <c r="J505" s="334"/>
      <c r="K505" s="334">
        <v>0</v>
      </c>
      <c r="L505" s="334">
        <v>0</v>
      </c>
      <c r="M505" s="335">
        <f>SUM(J505:L505)</f>
        <v>0</v>
      </c>
      <c r="N505" s="301" t="e">
        <f>M505*$Z505</f>
        <v>#DIV/0!</v>
      </c>
      <c r="O505" s="334"/>
      <c r="P505" s="334">
        <v>0</v>
      </c>
      <c r="Q505" s="334">
        <v>0</v>
      </c>
      <c r="R505" s="335">
        <f>SUM(O505:Q505)</f>
        <v>0</v>
      </c>
      <c r="S505" s="301" t="e">
        <f>R505*$Z505</f>
        <v>#DIV/0!</v>
      </c>
      <c r="T505" s="334"/>
      <c r="U505" s="334">
        <v>0</v>
      </c>
      <c r="V505" s="334">
        <v>0</v>
      </c>
      <c r="W505" s="335">
        <f>SUM(T505:V505)</f>
        <v>0</v>
      </c>
      <c r="X505" s="301" t="e">
        <f>W505*$Z505</f>
        <v>#DIV/0!</v>
      </c>
      <c r="Y505" s="301">
        <f>H505+M505+R505+W505</f>
        <v>0</v>
      </c>
      <c r="Z505" s="274" t="e">
        <f>5760/Y505</f>
        <v>#DIV/0!</v>
      </c>
      <c r="AA505" s="302" t="e">
        <f>Y505*Z505</f>
        <v>#DIV/0!</v>
      </c>
    </row>
    <row r="506" spans="1:27" ht="28.35" customHeight="1">
      <c r="A506" s="325">
        <v>3</v>
      </c>
      <c r="B506" s="299"/>
      <c r="C506" s="299" t="s">
        <v>1012</v>
      </c>
      <c r="D506" s="300" t="s">
        <v>364</v>
      </c>
      <c r="E506" s="334"/>
      <c r="F506" s="334">
        <v>0</v>
      </c>
      <c r="G506" s="334">
        <v>0</v>
      </c>
      <c r="H506" s="335">
        <f>SUM(E506:G506)</f>
        <v>0</v>
      </c>
      <c r="I506" s="301" t="e">
        <f>H506*$Z506</f>
        <v>#DIV/0!</v>
      </c>
      <c r="J506" s="334"/>
      <c r="K506" s="334">
        <v>0</v>
      </c>
      <c r="L506" s="334">
        <v>0</v>
      </c>
      <c r="M506" s="335">
        <f>SUM(J506:L506)</f>
        <v>0</v>
      </c>
      <c r="N506" s="301" t="e">
        <f>M506*$Z506</f>
        <v>#DIV/0!</v>
      </c>
      <c r="O506" s="334"/>
      <c r="P506" s="334">
        <v>0</v>
      </c>
      <c r="Q506" s="334">
        <v>0</v>
      </c>
      <c r="R506" s="335">
        <f>SUM(O506:Q506)</f>
        <v>0</v>
      </c>
      <c r="S506" s="301" t="e">
        <f>R506*$Z506</f>
        <v>#DIV/0!</v>
      </c>
      <c r="T506" s="334"/>
      <c r="U506" s="334">
        <v>0</v>
      </c>
      <c r="V506" s="334">
        <v>0</v>
      </c>
      <c r="W506" s="335">
        <f>SUM(T506:V506)</f>
        <v>0</v>
      </c>
      <c r="X506" s="301" t="e">
        <f>W506*$Z506</f>
        <v>#DIV/0!</v>
      </c>
      <c r="Y506" s="301">
        <f>H506+M506+R506+W506</f>
        <v>0</v>
      </c>
      <c r="Z506" s="274" t="e">
        <f>2304/Y506</f>
        <v>#DIV/0!</v>
      </c>
      <c r="AA506" s="302" t="e">
        <f>Y506*Z506</f>
        <v>#DIV/0!</v>
      </c>
    </row>
    <row r="507" spans="1:27" ht="28.35" customHeight="1" thickBot="1">
      <c r="A507" s="331">
        <v>4</v>
      </c>
      <c r="B507" s="299"/>
      <c r="C507" s="299" t="s">
        <v>1013</v>
      </c>
      <c r="D507" s="300" t="s">
        <v>364</v>
      </c>
      <c r="E507" s="334"/>
      <c r="F507" s="334">
        <v>0</v>
      </c>
      <c r="G507" s="334">
        <v>0</v>
      </c>
      <c r="H507" s="335">
        <f t="shared" ref="H507:H512" si="346">SUM(E507:G507)</f>
        <v>0</v>
      </c>
      <c r="I507" s="301" t="e">
        <f t="shared" ref="I507:I512" si="347">H507*$Z507</f>
        <v>#DIV/0!</v>
      </c>
      <c r="J507" s="334"/>
      <c r="K507" s="334">
        <v>0</v>
      </c>
      <c r="L507" s="334">
        <v>0</v>
      </c>
      <c r="M507" s="335">
        <f t="shared" ref="M507:M512" si="348">SUM(J507:L507)</f>
        <v>0</v>
      </c>
      <c r="N507" s="301" t="e">
        <f t="shared" ref="N507:N512" si="349">M507*$Z507</f>
        <v>#DIV/0!</v>
      </c>
      <c r="O507" s="334"/>
      <c r="P507" s="334">
        <v>0</v>
      </c>
      <c r="Q507" s="334">
        <v>0</v>
      </c>
      <c r="R507" s="335">
        <f t="shared" ref="R507:R512" si="350">SUM(O507:Q507)</f>
        <v>0</v>
      </c>
      <c r="S507" s="301" t="e">
        <f t="shared" ref="S507:S512" si="351">R507*$Z507</f>
        <v>#DIV/0!</v>
      </c>
      <c r="T507" s="334"/>
      <c r="U507" s="334">
        <v>0</v>
      </c>
      <c r="V507" s="334">
        <v>0</v>
      </c>
      <c r="W507" s="335"/>
      <c r="X507" s="301" t="e">
        <f t="shared" ref="X507:X512" si="352">W507*$Z507</f>
        <v>#DIV/0!</v>
      </c>
      <c r="Y507" s="301">
        <f t="shared" ref="Y507:Y512" si="353">H507+M507+R507+W507</f>
        <v>0</v>
      </c>
      <c r="Z507" s="274" t="e">
        <f>6528/Y507</f>
        <v>#DIV/0!</v>
      </c>
      <c r="AA507" s="302" t="e">
        <f t="shared" ref="AA507:AA512" si="354">Y507*Z507</f>
        <v>#DIV/0!</v>
      </c>
    </row>
    <row r="508" spans="1:27" ht="28.35" customHeight="1">
      <c r="A508" s="325">
        <v>5</v>
      </c>
      <c r="B508" s="299"/>
      <c r="C508" s="299" t="s">
        <v>1014</v>
      </c>
      <c r="D508" s="300" t="s">
        <v>364</v>
      </c>
      <c r="E508" s="334"/>
      <c r="F508" s="334">
        <v>0</v>
      </c>
      <c r="G508" s="334">
        <v>0</v>
      </c>
      <c r="H508" s="335">
        <f t="shared" si="346"/>
        <v>0</v>
      </c>
      <c r="I508" s="301" t="e">
        <f t="shared" si="347"/>
        <v>#DIV/0!</v>
      </c>
      <c r="J508" s="334"/>
      <c r="K508" s="334">
        <v>0</v>
      </c>
      <c r="L508" s="334">
        <v>0</v>
      </c>
      <c r="M508" s="335">
        <f t="shared" si="348"/>
        <v>0</v>
      </c>
      <c r="N508" s="301" t="e">
        <f t="shared" si="349"/>
        <v>#DIV/0!</v>
      </c>
      <c r="O508" s="334"/>
      <c r="P508" s="334">
        <v>0</v>
      </c>
      <c r="Q508" s="334">
        <v>0</v>
      </c>
      <c r="R508" s="335">
        <f t="shared" si="350"/>
        <v>0</v>
      </c>
      <c r="S508" s="301" t="e">
        <f t="shared" si="351"/>
        <v>#DIV/0!</v>
      </c>
      <c r="T508" s="334"/>
      <c r="U508" s="334">
        <v>0</v>
      </c>
      <c r="V508" s="334">
        <v>0</v>
      </c>
      <c r="W508" s="335"/>
      <c r="X508" s="301" t="e">
        <f t="shared" si="352"/>
        <v>#DIV/0!</v>
      </c>
      <c r="Y508" s="301">
        <f t="shared" si="353"/>
        <v>0</v>
      </c>
      <c r="Z508" s="274" t="e">
        <f>600/Y508</f>
        <v>#DIV/0!</v>
      </c>
      <c r="AA508" s="302" t="e">
        <f t="shared" si="354"/>
        <v>#DIV/0!</v>
      </c>
    </row>
    <row r="509" spans="1:27" ht="28.35" customHeight="1" thickBot="1">
      <c r="A509" s="331">
        <v>6</v>
      </c>
      <c r="B509" s="299"/>
      <c r="C509" s="299" t="s">
        <v>1015</v>
      </c>
      <c r="D509" s="300" t="s">
        <v>364</v>
      </c>
      <c r="E509" s="334"/>
      <c r="F509" s="334">
        <v>0</v>
      </c>
      <c r="G509" s="334">
        <v>0</v>
      </c>
      <c r="H509" s="335">
        <f t="shared" si="346"/>
        <v>0</v>
      </c>
      <c r="I509" s="301" t="e">
        <f t="shared" si="347"/>
        <v>#DIV/0!</v>
      </c>
      <c r="J509" s="334"/>
      <c r="K509" s="334">
        <v>0</v>
      </c>
      <c r="L509" s="334">
        <v>0</v>
      </c>
      <c r="M509" s="335">
        <f t="shared" si="348"/>
        <v>0</v>
      </c>
      <c r="N509" s="301" t="e">
        <f t="shared" si="349"/>
        <v>#DIV/0!</v>
      </c>
      <c r="O509" s="334"/>
      <c r="P509" s="334">
        <v>0</v>
      </c>
      <c r="Q509" s="334">
        <v>0</v>
      </c>
      <c r="R509" s="335">
        <f t="shared" si="350"/>
        <v>0</v>
      </c>
      <c r="S509" s="301" t="e">
        <f t="shared" si="351"/>
        <v>#DIV/0!</v>
      </c>
      <c r="T509" s="334"/>
      <c r="U509" s="334">
        <v>0</v>
      </c>
      <c r="V509" s="334">
        <v>0</v>
      </c>
      <c r="W509" s="335">
        <f t="shared" ref="W509:W512" si="355">SUM(T509:V509)</f>
        <v>0</v>
      </c>
      <c r="X509" s="301" t="e">
        <f t="shared" si="352"/>
        <v>#DIV/0!</v>
      </c>
      <c r="Y509" s="301">
        <f t="shared" si="353"/>
        <v>0</v>
      </c>
      <c r="Z509" s="274" t="e">
        <f>4080/Y509</f>
        <v>#DIV/0!</v>
      </c>
      <c r="AA509" s="302" t="e">
        <f t="shared" si="354"/>
        <v>#DIV/0!</v>
      </c>
    </row>
    <row r="510" spans="1:27" ht="28.35" customHeight="1">
      <c r="A510" s="325">
        <v>7</v>
      </c>
      <c r="B510" s="299"/>
      <c r="C510" s="299" t="s">
        <v>1016</v>
      </c>
      <c r="D510" s="300" t="s">
        <v>364</v>
      </c>
      <c r="E510" s="334"/>
      <c r="F510" s="334">
        <v>0</v>
      </c>
      <c r="G510" s="334">
        <v>0</v>
      </c>
      <c r="H510" s="335">
        <f t="shared" si="346"/>
        <v>0</v>
      </c>
      <c r="I510" s="301" t="e">
        <f t="shared" si="347"/>
        <v>#DIV/0!</v>
      </c>
      <c r="J510" s="334"/>
      <c r="K510" s="334">
        <v>0</v>
      </c>
      <c r="L510" s="334">
        <v>0</v>
      </c>
      <c r="M510" s="335">
        <f t="shared" si="348"/>
        <v>0</v>
      </c>
      <c r="N510" s="301" t="e">
        <f t="shared" si="349"/>
        <v>#DIV/0!</v>
      </c>
      <c r="O510" s="334"/>
      <c r="P510" s="334">
        <v>0</v>
      </c>
      <c r="Q510" s="334">
        <v>0</v>
      </c>
      <c r="R510" s="335">
        <f t="shared" si="350"/>
        <v>0</v>
      </c>
      <c r="S510" s="301" t="e">
        <f t="shared" si="351"/>
        <v>#DIV/0!</v>
      </c>
      <c r="T510" s="334"/>
      <c r="U510" s="334">
        <v>0</v>
      </c>
      <c r="V510" s="334">
        <v>0</v>
      </c>
      <c r="W510" s="335"/>
      <c r="X510" s="301" t="e">
        <f t="shared" si="352"/>
        <v>#DIV/0!</v>
      </c>
      <c r="Y510" s="301">
        <f t="shared" si="353"/>
        <v>0</v>
      </c>
      <c r="Z510" s="274" t="e">
        <f>3570/Y510</f>
        <v>#DIV/0!</v>
      </c>
      <c r="AA510" s="302" t="e">
        <f t="shared" si="354"/>
        <v>#DIV/0!</v>
      </c>
    </row>
    <row r="511" spans="1:27" ht="28.35" customHeight="1" thickBot="1">
      <c r="A511" s="331">
        <v>8</v>
      </c>
      <c r="B511" s="299"/>
      <c r="C511" s="299" t="s">
        <v>1017</v>
      </c>
      <c r="D511" s="300" t="s">
        <v>364</v>
      </c>
      <c r="E511" s="334"/>
      <c r="F511" s="334">
        <v>0</v>
      </c>
      <c r="G511" s="334">
        <v>0</v>
      </c>
      <c r="H511" s="335">
        <f t="shared" si="346"/>
        <v>0</v>
      </c>
      <c r="I511" s="301" t="e">
        <f t="shared" si="347"/>
        <v>#DIV/0!</v>
      </c>
      <c r="J511" s="334"/>
      <c r="K511" s="334">
        <v>0</v>
      </c>
      <c r="L511" s="334">
        <v>0</v>
      </c>
      <c r="M511" s="335">
        <f t="shared" si="348"/>
        <v>0</v>
      </c>
      <c r="N511" s="301" t="e">
        <f t="shared" si="349"/>
        <v>#DIV/0!</v>
      </c>
      <c r="O511" s="334"/>
      <c r="P511" s="334">
        <v>0</v>
      </c>
      <c r="Q511" s="334">
        <v>0</v>
      </c>
      <c r="R511" s="335">
        <f t="shared" si="350"/>
        <v>0</v>
      </c>
      <c r="S511" s="301" t="e">
        <f t="shared" si="351"/>
        <v>#DIV/0!</v>
      </c>
      <c r="T511" s="334"/>
      <c r="U511" s="334">
        <v>0</v>
      </c>
      <c r="V511" s="334">
        <v>0</v>
      </c>
      <c r="W511" s="335">
        <f t="shared" si="355"/>
        <v>0</v>
      </c>
      <c r="X511" s="301" t="e">
        <f t="shared" si="352"/>
        <v>#DIV/0!</v>
      </c>
      <c r="Y511" s="301">
        <f t="shared" si="353"/>
        <v>0</v>
      </c>
      <c r="Z511" s="274" t="e">
        <f>1940/Y511</f>
        <v>#DIV/0!</v>
      </c>
      <c r="AA511" s="302" t="e">
        <f t="shared" si="354"/>
        <v>#DIV/0!</v>
      </c>
    </row>
    <row r="512" spans="1:27" ht="28.35" customHeight="1">
      <c r="A512" s="325">
        <v>9</v>
      </c>
      <c r="B512" s="299"/>
      <c r="C512" s="299" t="s">
        <v>1018</v>
      </c>
      <c r="D512" s="300" t="s">
        <v>364</v>
      </c>
      <c r="E512" s="334"/>
      <c r="F512" s="334">
        <v>0</v>
      </c>
      <c r="G512" s="334">
        <v>0</v>
      </c>
      <c r="H512" s="335">
        <f t="shared" si="346"/>
        <v>0</v>
      </c>
      <c r="I512" s="301" t="e">
        <f t="shared" si="347"/>
        <v>#DIV/0!</v>
      </c>
      <c r="J512" s="334"/>
      <c r="K512" s="334">
        <v>0</v>
      </c>
      <c r="L512" s="334">
        <v>0</v>
      </c>
      <c r="M512" s="335">
        <f t="shared" si="348"/>
        <v>0</v>
      </c>
      <c r="N512" s="301" t="e">
        <f t="shared" si="349"/>
        <v>#DIV/0!</v>
      </c>
      <c r="O512" s="334"/>
      <c r="P512" s="334">
        <v>0</v>
      </c>
      <c r="Q512" s="334">
        <v>0</v>
      </c>
      <c r="R512" s="335">
        <f t="shared" si="350"/>
        <v>0</v>
      </c>
      <c r="S512" s="301" t="e">
        <f t="shared" si="351"/>
        <v>#DIV/0!</v>
      </c>
      <c r="T512" s="334"/>
      <c r="U512" s="334">
        <v>0</v>
      </c>
      <c r="V512" s="334">
        <v>0</v>
      </c>
      <c r="W512" s="335">
        <f t="shared" si="355"/>
        <v>0</v>
      </c>
      <c r="X512" s="301" t="e">
        <f t="shared" si="352"/>
        <v>#DIV/0!</v>
      </c>
      <c r="Y512" s="301">
        <f t="shared" si="353"/>
        <v>0</v>
      </c>
      <c r="Z512" s="274" t="e">
        <f>8160/Y512</f>
        <v>#DIV/0!</v>
      </c>
      <c r="AA512" s="302" t="e">
        <f t="shared" si="354"/>
        <v>#DIV/0!</v>
      </c>
    </row>
    <row r="513" spans="1:27" ht="28.35" customHeight="1">
      <c r="A513" s="344"/>
      <c r="B513" s="299"/>
      <c r="C513" s="299"/>
      <c r="D513" s="300"/>
      <c r="E513" s="334"/>
      <c r="F513" s="334"/>
      <c r="G513" s="334"/>
      <c r="H513" s="335"/>
      <c r="I513" s="301"/>
      <c r="J513" s="334"/>
      <c r="K513" s="334"/>
      <c r="L513" s="334"/>
      <c r="M513" s="335"/>
      <c r="N513" s="301"/>
      <c r="O513" s="334"/>
      <c r="P513" s="334"/>
      <c r="Q513" s="334"/>
      <c r="R513" s="335"/>
      <c r="S513" s="301"/>
      <c r="T513" s="334"/>
      <c r="U513" s="334"/>
      <c r="V513" s="334"/>
      <c r="W513" s="335"/>
      <c r="X513" s="301"/>
      <c r="Y513" s="301"/>
      <c r="Z513" s="274"/>
      <c r="AA513" s="302"/>
    </row>
    <row r="514" spans="1:27" ht="30" customHeight="1" thickBot="1">
      <c r="A514" s="331"/>
      <c r="B514" s="299"/>
      <c r="C514" s="299"/>
      <c r="D514" s="300"/>
      <c r="E514" s="334"/>
      <c r="F514" s="334"/>
      <c r="G514" s="334"/>
      <c r="H514" s="335"/>
      <c r="I514" s="301"/>
      <c r="J514" s="334"/>
      <c r="K514" s="334"/>
      <c r="L514" s="334"/>
      <c r="M514" s="335"/>
      <c r="N514" s="301"/>
      <c r="O514" s="334"/>
      <c r="P514" s="334"/>
      <c r="Q514" s="334"/>
      <c r="R514" s="335"/>
      <c r="S514" s="301"/>
      <c r="T514" s="334"/>
      <c r="U514" s="334"/>
      <c r="V514" s="334"/>
      <c r="W514" s="335"/>
      <c r="X514" s="301"/>
      <c r="Y514" s="301"/>
      <c r="Z514" s="274"/>
      <c r="AA514" s="302"/>
    </row>
    <row r="515" spans="1:27" ht="28.35" customHeight="1" thickBot="1">
      <c r="A515" s="256" t="s">
        <v>1019</v>
      </c>
      <c r="B515" s="336"/>
      <c r="C515" s="336"/>
      <c r="D515" s="337"/>
      <c r="E515" s="337"/>
      <c r="F515" s="337"/>
      <c r="G515" s="337"/>
      <c r="H515" s="337"/>
      <c r="I515" s="338"/>
      <c r="J515" s="337"/>
      <c r="K515" s="337"/>
      <c r="L515" s="337"/>
      <c r="M515" s="337"/>
      <c r="N515" s="338"/>
      <c r="O515" s="337"/>
      <c r="P515" s="337"/>
      <c r="Q515" s="337"/>
      <c r="R515" s="337"/>
      <c r="S515" s="338"/>
      <c r="T515" s="337"/>
      <c r="U515" s="337"/>
      <c r="V515" s="337"/>
      <c r="W515" s="337"/>
      <c r="X515" s="338"/>
      <c r="Y515" s="338"/>
      <c r="Z515" s="339"/>
      <c r="AA515" s="340"/>
    </row>
    <row r="516" spans="1:27" ht="28.35" customHeight="1">
      <c r="A516" s="325">
        <v>1</v>
      </c>
      <c r="B516" s="294"/>
      <c r="C516" s="299" t="s">
        <v>1020</v>
      </c>
      <c r="D516" s="300" t="s">
        <v>364</v>
      </c>
      <c r="E516" s="334">
        <f>0+0</f>
        <v>0</v>
      </c>
      <c r="F516" s="334">
        <f>0+0</f>
        <v>0</v>
      </c>
      <c r="G516" s="334">
        <f>0+0</f>
        <v>0</v>
      </c>
      <c r="H516" s="335">
        <f>SUM(E516:G516)</f>
        <v>0</v>
      </c>
      <c r="I516" s="301">
        <f>H516*$Z516</f>
        <v>0</v>
      </c>
      <c r="J516" s="334">
        <f>0+0</f>
        <v>0</v>
      </c>
      <c r="K516" s="334">
        <f>0+0</f>
        <v>0</v>
      </c>
      <c r="L516" s="334"/>
      <c r="M516" s="335">
        <f>SUM(J516:L516)</f>
        <v>0</v>
      </c>
      <c r="N516" s="301">
        <f>M516*$Z516</f>
        <v>0</v>
      </c>
      <c r="O516" s="334">
        <f t="shared" ref="O516:Q519" si="356">0+0</f>
        <v>0</v>
      </c>
      <c r="P516" s="334">
        <f t="shared" si="356"/>
        <v>0</v>
      </c>
      <c r="Q516" s="334">
        <f t="shared" si="356"/>
        <v>0</v>
      </c>
      <c r="R516" s="335">
        <f>SUM(O516:Q516)</f>
        <v>0</v>
      </c>
      <c r="S516" s="301">
        <f>R516*$Z516</f>
        <v>0</v>
      </c>
      <c r="T516" s="334">
        <f t="shared" ref="T516:V519" si="357">0+0</f>
        <v>0</v>
      </c>
      <c r="U516" s="334">
        <f t="shared" si="357"/>
        <v>0</v>
      </c>
      <c r="V516" s="334">
        <f t="shared" si="357"/>
        <v>0</v>
      </c>
      <c r="W516" s="335">
        <f>SUM(T516:V516)</f>
        <v>0</v>
      </c>
      <c r="X516" s="301">
        <f>W516*$Z516</f>
        <v>0</v>
      </c>
      <c r="Y516" s="301">
        <f>H516+M516+R516+W516</f>
        <v>0</v>
      </c>
      <c r="Z516" s="274">
        <f>45000/3</f>
        <v>15000</v>
      </c>
      <c r="AA516" s="302">
        <f>Y516*Z516</f>
        <v>0</v>
      </c>
    </row>
    <row r="517" spans="1:27" ht="28.35" customHeight="1" thickBot="1">
      <c r="A517" s="331">
        <v>2</v>
      </c>
      <c r="B517" s="299"/>
      <c r="C517" s="299" t="s">
        <v>1021</v>
      </c>
      <c r="D517" s="300" t="s">
        <v>420</v>
      </c>
      <c r="E517" s="334">
        <v>0</v>
      </c>
      <c r="F517" s="334">
        <v>0</v>
      </c>
      <c r="G517" s="334"/>
      <c r="H517" s="335">
        <f t="shared" ref="H517:H518" si="358">SUM(E517:G517)</f>
        <v>0</v>
      </c>
      <c r="I517" s="301" t="e">
        <f t="shared" ref="I517:I518" si="359">H517*$Z517</f>
        <v>#DIV/0!</v>
      </c>
      <c r="J517" s="334">
        <v>0</v>
      </c>
      <c r="K517" s="334">
        <v>0</v>
      </c>
      <c r="L517" s="334">
        <v>0</v>
      </c>
      <c r="M517" s="335">
        <f t="shared" ref="M517:M518" si="360">SUM(J517:L517)</f>
        <v>0</v>
      </c>
      <c r="N517" s="301" t="e">
        <f t="shared" ref="N517:N518" si="361">M517*$Z517</f>
        <v>#DIV/0!</v>
      </c>
      <c r="O517" s="334">
        <v>0</v>
      </c>
      <c r="P517" s="334">
        <v>0</v>
      </c>
      <c r="Q517" s="334">
        <v>0</v>
      </c>
      <c r="R517" s="335">
        <f t="shared" ref="R517:R518" si="362">SUM(O517:Q517)</f>
        <v>0</v>
      </c>
      <c r="S517" s="301" t="e">
        <f t="shared" ref="S517:S518" si="363">R517*$Z517</f>
        <v>#DIV/0!</v>
      </c>
      <c r="T517" s="334">
        <v>0</v>
      </c>
      <c r="U517" s="334">
        <v>0</v>
      </c>
      <c r="V517" s="334">
        <v>0</v>
      </c>
      <c r="W517" s="335">
        <f t="shared" ref="W517:W518" si="364">SUM(T517:V517)</f>
        <v>0</v>
      </c>
      <c r="X517" s="301" t="e">
        <f t="shared" ref="X517:X518" si="365">W517*$Z517</f>
        <v>#DIV/0!</v>
      </c>
      <c r="Y517" s="301">
        <f t="shared" ref="Y517:Y518" si="366">H517+M517+R517+W517</f>
        <v>0</v>
      </c>
      <c r="Z517" s="274" t="e">
        <f>8500/Y517</f>
        <v>#DIV/0!</v>
      </c>
      <c r="AA517" s="302" t="e">
        <f t="shared" ref="AA517:AA518" si="367">Y517*Z517</f>
        <v>#DIV/0!</v>
      </c>
    </row>
    <row r="518" spans="1:27" ht="28.35" customHeight="1">
      <c r="A518" s="325">
        <v>3</v>
      </c>
      <c r="B518" s="299"/>
      <c r="C518" s="299" t="s">
        <v>1022</v>
      </c>
      <c r="D518" s="300" t="s">
        <v>420</v>
      </c>
      <c r="E518" s="334">
        <v>0</v>
      </c>
      <c r="F518" s="334">
        <v>0</v>
      </c>
      <c r="G518" s="334"/>
      <c r="H518" s="335">
        <f t="shared" si="358"/>
        <v>0</v>
      </c>
      <c r="I518" s="301" t="e">
        <f t="shared" si="359"/>
        <v>#DIV/0!</v>
      </c>
      <c r="J518" s="334">
        <v>0</v>
      </c>
      <c r="K518" s="334">
        <v>0</v>
      </c>
      <c r="L518" s="334">
        <v>0</v>
      </c>
      <c r="M518" s="335">
        <f t="shared" si="360"/>
        <v>0</v>
      </c>
      <c r="N518" s="301" t="e">
        <f t="shared" si="361"/>
        <v>#DIV/0!</v>
      </c>
      <c r="O518" s="334">
        <v>0</v>
      </c>
      <c r="P518" s="334">
        <v>0</v>
      </c>
      <c r="Q518" s="334">
        <v>0</v>
      </c>
      <c r="R518" s="335">
        <f t="shared" si="362"/>
        <v>0</v>
      </c>
      <c r="S518" s="301" t="e">
        <f t="shared" si="363"/>
        <v>#DIV/0!</v>
      </c>
      <c r="T518" s="334">
        <v>0</v>
      </c>
      <c r="U518" s="334">
        <v>0</v>
      </c>
      <c r="V518" s="334">
        <v>0</v>
      </c>
      <c r="W518" s="335">
        <f t="shared" si="364"/>
        <v>0</v>
      </c>
      <c r="X518" s="301" t="e">
        <f t="shared" si="365"/>
        <v>#DIV/0!</v>
      </c>
      <c r="Y518" s="301">
        <f t="shared" si="366"/>
        <v>0</v>
      </c>
      <c r="Z518" s="274" t="e">
        <f>8500/Y518</f>
        <v>#DIV/0!</v>
      </c>
      <c r="AA518" s="302" t="e">
        <f t="shared" si="367"/>
        <v>#DIV/0!</v>
      </c>
    </row>
    <row r="519" spans="1:27" ht="28.35" customHeight="1" thickBot="1">
      <c r="A519" s="331">
        <v>4</v>
      </c>
      <c r="B519" s="299"/>
      <c r="C519" s="299" t="s">
        <v>1023</v>
      </c>
      <c r="D519" s="300" t="s">
        <v>364</v>
      </c>
      <c r="E519" s="334">
        <f>0+0</f>
        <v>0</v>
      </c>
      <c r="F519" s="334">
        <v>0</v>
      </c>
      <c r="G519" s="334">
        <f>0+0</f>
        <v>0</v>
      </c>
      <c r="H519" s="335">
        <v>0</v>
      </c>
      <c r="I519" s="301">
        <f>H519*$Z519</f>
        <v>0</v>
      </c>
      <c r="J519" s="334">
        <f t="shared" ref="J519:L520" si="368">0+0</f>
        <v>0</v>
      </c>
      <c r="K519" s="334">
        <f t="shared" si="368"/>
        <v>0</v>
      </c>
      <c r="L519" s="334">
        <f t="shared" si="368"/>
        <v>0</v>
      </c>
      <c r="M519" s="335">
        <f t="shared" ref="M519" si="369">SUM(J519:L519)</f>
        <v>0</v>
      </c>
      <c r="N519" s="301">
        <f>M519*$Z519</f>
        <v>0</v>
      </c>
      <c r="O519" s="334">
        <f t="shared" si="356"/>
        <v>0</v>
      </c>
      <c r="P519" s="334">
        <f t="shared" si="356"/>
        <v>0</v>
      </c>
      <c r="Q519" s="334">
        <f t="shared" si="356"/>
        <v>0</v>
      </c>
      <c r="R519" s="335">
        <f t="shared" ref="R519" si="370">SUM(O519:Q519)</f>
        <v>0</v>
      </c>
      <c r="S519" s="301">
        <f>R519*$Z519</f>
        <v>0</v>
      </c>
      <c r="T519" s="334">
        <f t="shared" si="357"/>
        <v>0</v>
      </c>
      <c r="U519" s="334">
        <f t="shared" si="357"/>
        <v>0</v>
      </c>
      <c r="V519" s="334">
        <f t="shared" si="357"/>
        <v>0</v>
      </c>
      <c r="W519" s="335">
        <f t="shared" ref="W519" si="371">SUM(T519:V519)</f>
        <v>0</v>
      </c>
      <c r="X519" s="301">
        <f>W519*$Z519</f>
        <v>0</v>
      </c>
      <c r="Y519" s="301">
        <f>H519+M519+R519+W519</f>
        <v>0</v>
      </c>
      <c r="Z519" s="274">
        <f>8500</f>
        <v>8500</v>
      </c>
      <c r="AA519" s="302">
        <f>Y519*Z519</f>
        <v>0</v>
      </c>
    </row>
    <row r="520" spans="1:27" ht="28.35" customHeight="1">
      <c r="A520" s="325">
        <v>5</v>
      </c>
      <c r="B520" s="299"/>
      <c r="C520" s="299" t="s">
        <v>1024</v>
      </c>
      <c r="D520" s="300" t="s">
        <v>420</v>
      </c>
      <c r="E520" s="334">
        <v>0</v>
      </c>
      <c r="F520" s="334">
        <f>0+0</f>
        <v>0</v>
      </c>
      <c r="G520" s="334">
        <f>0+0</f>
        <v>0</v>
      </c>
      <c r="H520" s="335">
        <f t="shared" ref="H520" si="372">SUM(E520:G520)</f>
        <v>0</v>
      </c>
      <c r="I520" s="301">
        <f>H520*$Z520</f>
        <v>0</v>
      </c>
      <c r="J520" s="334">
        <f t="shared" si="368"/>
        <v>0</v>
      </c>
      <c r="K520" s="334">
        <f t="shared" si="368"/>
        <v>0</v>
      </c>
      <c r="L520" s="334">
        <f t="shared" si="368"/>
        <v>0</v>
      </c>
      <c r="M520" s="335">
        <f t="shared" ref="M520:M522" si="373">SUM(J520:L520)</f>
        <v>0</v>
      </c>
      <c r="N520" s="301">
        <f>M520*$Z520</f>
        <v>0</v>
      </c>
      <c r="O520" s="334">
        <f>0+0</f>
        <v>0</v>
      </c>
      <c r="P520" s="334">
        <f>0+0</f>
        <v>0</v>
      </c>
      <c r="Q520" s="334">
        <f>0+0</f>
        <v>0</v>
      </c>
      <c r="R520" s="335">
        <f t="shared" ref="R520:R522" si="374">SUM(O520:Q520)</f>
        <v>0</v>
      </c>
      <c r="S520" s="301">
        <f>R520*$Z520</f>
        <v>0</v>
      </c>
      <c r="T520" s="334">
        <f>0+0</f>
        <v>0</v>
      </c>
      <c r="U520" s="334">
        <f>0+0</f>
        <v>0</v>
      </c>
      <c r="V520" s="334">
        <f>0+0</f>
        <v>0</v>
      </c>
      <c r="W520" s="335">
        <f t="shared" ref="W520:W522" si="375">SUM(T520:V520)</f>
        <v>0</v>
      </c>
      <c r="X520" s="301">
        <f>W520*$Z520</f>
        <v>0</v>
      </c>
      <c r="Y520" s="301">
        <f>H520+M520+R520+W520</f>
        <v>0</v>
      </c>
      <c r="Z520" s="274">
        <f>2600/2</f>
        <v>1300</v>
      </c>
      <c r="AA520" s="302">
        <f>Y520*Z520</f>
        <v>0</v>
      </c>
    </row>
    <row r="521" spans="1:27" ht="28.35" customHeight="1" thickBot="1">
      <c r="A521" s="331">
        <v>6</v>
      </c>
      <c r="B521" s="299"/>
      <c r="C521" s="299" t="s">
        <v>1025</v>
      </c>
      <c r="D521" s="300" t="s">
        <v>364</v>
      </c>
      <c r="E521" s="334">
        <v>0</v>
      </c>
      <c r="F521" s="334">
        <v>0</v>
      </c>
      <c r="G521" s="334">
        <v>0</v>
      </c>
      <c r="H521" s="335">
        <f t="shared" ref="H521:H522" si="376">SUM(E521:G521)</f>
        <v>0</v>
      </c>
      <c r="I521" s="301">
        <f t="shared" ref="I521:I523" si="377">H521*$Z521</f>
        <v>0</v>
      </c>
      <c r="J521" s="334"/>
      <c r="K521" s="334"/>
      <c r="L521" s="334">
        <v>0</v>
      </c>
      <c r="M521" s="335">
        <f t="shared" si="373"/>
        <v>0</v>
      </c>
      <c r="N521" s="301">
        <f t="shared" ref="N521:N523" si="378">M521*$Z521</f>
        <v>0</v>
      </c>
      <c r="O521" s="334">
        <v>0</v>
      </c>
      <c r="P521" s="334">
        <v>0</v>
      </c>
      <c r="Q521" s="334">
        <v>0</v>
      </c>
      <c r="R521" s="335">
        <f t="shared" si="374"/>
        <v>0</v>
      </c>
      <c r="S521" s="301">
        <f t="shared" ref="S521:S523" si="379">R521*$Z521</f>
        <v>0</v>
      </c>
      <c r="T521" s="334">
        <v>0</v>
      </c>
      <c r="U521" s="334">
        <v>0</v>
      </c>
      <c r="V521" s="334">
        <v>0</v>
      </c>
      <c r="W521" s="335">
        <f t="shared" si="375"/>
        <v>0</v>
      </c>
      <c r="X521" s="301">
        <f t="shared" ref="X521:X523" si="380">W521*$Z521</f>
        <v>0</v>
      </c>
      <c r="Y521" s="301">
        <f t="shared" ref="Y521:Y523" si="381">H521+M521+R521+W521</f>
        <v>0</v>
      </c>
      <c r="Z521" s="274">
        <f>6600/40</f>
        <v>165</v>
      </c>
      <c r="AA521" s="302">
        <f t="shared" ref="AA521:AA523" si="382">Y521*Z521</f>
        <v>0</v>
      </c>
    </row>
    <row r="522" spans="1:27" ht="28.35" customHeight="1">
      <c r="A522" s="325">
        <v>7</v>
      </c>
      <c r="B522" s="299"/>
      <c r="C522" s="299" t="s">
        <v>1026</v>
      </c>
      <c r="D522" s="300" t="s">
        <v>364</v>
      </c>
      <c r="E522" s="334">
        <v>0</v>
      </c>
      <c r="F522" s="334">
        <v>0</v>
      </c>
      <c r="G522" s="334">
        <v>0</v>
      </c>
      <c r="H522" s="335">
        <f t="shared" si="376"/>
        <v>0</v>
      </c>
      <c r="I522" s="301">
        <f t="shared" si="377"/>
        <v>0</v>
      </c>
      <c r="J522" s="334">
        <v>0</v>
      </c>
      <c r="K522" s="334"/>
      <c r="L522" s="334">
        <v>0</v>
      </c>
      <c r="M522" s="335">
        <f t="shared" si="373"/>
        <v>0</v>
      </c>
      <c r="N522" s="301">
        <f t="shared" si="378"/>
        <v>0</v>
      </c>
      <c r="O522" s="334">
        <v>0</v>
      </c>
      <c r="P522" s="334">
        <v>0</v>
      </c>
      <c r="Q522" s="334">
        <v>0</v>
      </c>
      <c r="R522" s="335">
        <f t="shared" si="374"/>
        <v>0</v>
      </c>
      <c r="S522" s="301">
        <f t="shared" si="379"/>
        <v>0</v>
      </c>
      <c r="T522" s="334">
        <v>0</v>
      </c>
      <c r="U522" s="334">
        <v>0</v>
      </c>
      <c r="V522" s="334">
        <v>0</v>
      </c>
      <c r="W522" s="335">
        <f t="shared" si="375"/>
        <v>0</v>
      </c>
      <c r="X522" s="301">
        <f t="shared" si="380"/>
        <v>0</v>
      </c>
      <c r="Y522" s="301">
        <f t="shared" si="381"/>
        <v>0</v>
      </c>
      <c r="Z522" s="274">
        <f>10000/250</f>
        <v>40</v>
      </c>
      <c r="AA522" s="302">
        <f t="shared" si="382"/>
        <v>0</v>
      </c>
    </row>
    <row r="523" spans="1:27" ht="28.35" customHeight="1" thickBot="1">
      <c r="A523" s="331">
        <v>8</v>
      </c>
      <c r="B523" s="299"/>
      <c r="C523" s="299" t="s">
        <v>1026</v>
      </c>
      <c r="D523" s="300" t="s">
        <v>364</v>
      </c>
      <c r="E523" s="334"/>
      <c r="F523" s="334">
        <v>0</v>
      </c>
      <c r="G523" s="334">
        <v>0</v>
      </c>
      <c r="H523" s="335">
        <f t="shared" ref="H523" si="383">SUM(E523:G523)</f>
        <v>0</v>
      </c>
      <c r="I523" s="301">
        <f t="shared" si="377"/>
        <v>0</v>
      </c>
      <c r="J523" s="334">
        <v>0</v>
      </c>
      <c r="K523" s="334">
        <v>0</v>
      </c>
      <c r="L523" s="334">
        <v>0</v>
      </c>
      <c r="M523" s="335">
        <f t="shared" ref="M523" si="384">SUM(J523:L523)</f>
        <v>0</v>
      </c>
      <c r="N523" s="301">
        <f t="shared" si="378"/>
        <v>0</v>
      </c>
      <c r="O523" s="334">
        <v>0</v>
      </c>
      <c r="P523" s="334"/>
      <c r="Q523" s="334">
        <v>0</v>
      </c>
      <c r="R523" s="335">
        <f t="shared" ref="R523" si="385">SUM(O523:Q523)</f>
        <v>0</v>
      </c>
      <c r="S523" s="301">
        <f t="shared" si="379"/>
        <v>0</v>
      </c>
      <c r="T523" s="334"/>
      <c r="U523" s="334">
        <v>0</v>
      </c>
      <c r="V523" s="334">
        <v>0</v>
      </c>
      <c r="W523" s="335">
        <f t="shared" ref="W523" si="386">SUM(T523:V523)</f>
        <v>0</v>
      </c>
      <c r="X523" s="301">
        <f t="shared" si="380"/>
        <v>0</v>
      </c>
      <c r="Y523" s="301">
        <f t="shared" si="381"/>
        <v>0</v>
      </c>
      <c r="Z523" s="274">
        <f>3360/48</f>
        <v>70</v>
      </c>
      <c r="AA523" s="302">
        <f t="shared" si="382"/>
        <v>0</v>
      </c>
    </row>
    <row r="524" spans="1:27" ht="28.35" customHeight="1">
      <c r="A524" s="325">
        <v>9</v>
      </c>
      <c r="B524" s="299"/>
      <c r="C524" s="299" t="s">
        <v>1027</v>
      </c>
      <c r="D524" s="300" t="s">
        <v>364</v>
      </c>
      <c r="E524" s="334">
        <v>0</v>
      </c>
      <c r="F524" s="334"/>
      <c r="G524" s="334">
        <v>0</v>
      </c>
      <c r="H524" s="335">
        <f>SUM(E524:G524)</f>
        <v>0</v>
      </c>
      <c r="I524" s="301">
        <f>H524*$Z524</f>
        <v>0</v>
      </c>
      <c r="J524" s="334">
        <v>0</v>
      </c>
      <c r="K524" s="334">
        <v>0</v>
      </c>
      <c r="L524" s="334">
        <v>0</v>
      </c>
      <c r="M524" s="335">
        <f>SUM(J524:L524)</f>
        <v>0</v>
      </c>
      <c r="N524" s="301">
        <f>M524*$Z524</f>
        <v>0</v>
      </c>
      <c r="O524" s="334">
        <v>0</v>
      </c>
      <c r="P524" s="334">
        <v>0</v>
      </c>
      <c r="Q524" s="334">
        <v>0</v>
      </c>
      <c r="R524" s="335">
        <f>SUM(O524:Q524)</f>
        <v>0</v>
      </c>
      <c r="S524" s="301">
        <f>R524*$Z524</f>
        <v>0</v>
      </c>
      <c r="T524" s="334">
        <v>0</v>
      </c>
      <c r="U524" s="334">
        <v>0</v>
      </c>
      <c r="V524" s="334">
        <v>0</v>
      </c>
      <c r="W524" s="335">
        <f>SUM(T524:V524)</f>
        <v>0</v>
      </c>
      <c r="X524" s="301">
        <f>W524*$Z524</f>
        <v>0</v>
      </c>
      <c r="Y524" s="301">
        <f>H524+M524+R524+W524</f>
        <v>0</v>
      </c>
      <c r="Z524" s="274">
        <f>4075/100</f>
        <v>40.75</v>
      </c>
      <c r="AA524" s="302">
        <f>Y524*Z524</f>
        <v>0</v>
      </c>
    </row>
    <row r="525" spans="1:27" ht="28.35" customHeight="1" thickBot="1">
      <c r="A525" s="331">
        <v>10</v>
      </c>
      <c r="B525" s="299"/>
      <c r="C525" s="299" t="s">
        <v>1028</v>
      </c>
      <c r="D525" s="300" t="s">
        <v>364</v>
      </c>
      <c r="E525" s="334">
        <v>0</v>
      </c>
      <c r="F525" s="334">
        <v>0</v>
      </c>
      <c r="G525" s="334">
        <v>0</v>
      </c>
      <c r="H525" s="335">
        <f>SUM(E525:G525)</f>
        <v>0</v>
      </c>
      <c r="I525" s="301" t="e">
        <f>H525*$Z525</f>
        <v>#DIV/0!</v>
      </c>
      <c r="J525" s="334">
        <v>0</v>
      </c>
      <c r="K525" s="334">
        <v>0</v>
      </c>
      <c r="L525" s="334"/>
      <c r="M525" s="335">
        <f>SUM(J525:L525)</f>
        <v>0</v>
      </c>
      <c r="N525" s="301" t="e">
        <f>M525*$Z525</f>
        <v>#DIV/0!</v>
      </c>
      <c r="O525" s="334">
        <v>0</v>
      </c>
      <c r="P525" s="334">
        <v>0</v>
      </c>
      <c r="Q525" s="334">
        <v>0</v>
      </c>
      <c r="R525" s="335">
        <f>SUM(O525:Q525)</f>
        <v>0</v>
      </c>
      <c r="S525" s="301" t="e">
        <f>R525*$Z525</f>
        <v>#DIV/0!</v>
      </c>
      <c r="T525" s="334">
        <v>0</v>
      </c>
      <c r="U525" s="334">
        <v>0</v>
      </c>
      <c r="V525" s="334">
        <v>0</v>
      </c>
      <c r="W525" s="335">
        <f>SUM(T525:V525)</f>
        <v>0</v>
      </c>
      <c r="X525" s="301" t="e">
        <f>W525*$Z525</f>
        <v>#DIV/0!</v>
      </c>
      <c r="Y525" s="301">
        <f>H525+M525+R525+W525</f>
        <v>0</v>
      </c>
      <c r="Z525" s="274" t="e">
        <f>1000/Y525</f>
        <v>#DIV/0!</v>
      </c>
      <c r="AA525" s="302" t="e">
        <f>Y525*Z525</f>
        <v>#DIV/0!</v>
      </c>
    </row>
    <row r="526" spans="1:27" ht="28.35" customHeight="1">
      <c r="A526" s="325">
        <v>11</v>
      </c>
      <c r="B526" s="299"/>
      <c r="C526" s="299" t="s">
        <v>1028</v>
      </c>
      <c r="D526" s="300" t="s">
        <v>364</v>
      </c>
      <c r="E526" s="334">
        <v>0</v>
      </c>
      <c r="F526" s="334">
        <v>0</v>
      </c>
      <c r="G526" s="334">
        <v>0</v>
      </c>
      <c r="H526" s="335">
        <f>SUM(E526:G526)</f>
        <v>0</v>
      </c>
      <c r="I526" s="301">
        <f>H526*$Z526</f>
        <v>0</v>
      </c>
      <c r="J526" s="334">
        <v>0</v>
      </c>
      <c r="K526" s="334">
        <v>0</v>
      </c>
      <c r="L526" s="334"/>
      <c r="M526" s="335"/>
      <c r="N526" s="301">
        <f>M526*$Z526</f>
        <v>0</v>
      </c>
      <c r="O526" s="334">
        <v>0</v>
      </c>
      <c r="P526" s="334">
        <v>0</v>
      </c>
      <c r="Q526" s="334">
        <v>0</v>
      </c>
      <c r="R526" s="335">
        <f>SUM(O526:Q526)</f>
        <v>0</v>
      </c>
      <c r="S526" s="301">
        <f>R526*$Z526</f>
        <v>0</v>
      </c>
      <c r="T526" s="334">
        <v>0</v>
      </c>
      <c r="U526" s="334">
        <v>0</v>
      </c>
      <c r="V526" s="334">
        <v>0</v>
      </c>
      <c r="W526" s="335">
        <f>SUM(T526:V526)</f>
        <v>0</v>
      </c>
      <c r="X526" s="301">
        <f>W526*$Z526</f>
        <v>0</v>
      </c>
      <c r="Y526" s="301">
        <f>H526+M526+R526+W526</f>
        <v>0</v>
      </c>
      <c r="Z526" s="274">
        <v>5000</v>
      </c>
      <c r="AA526" s="302">
        <f>Y526*Z526</f>
        <v>0</v>
      </c>
    </row>
    <row r="527" spans="1:27" ht="28.35" customHeight="1" thickBot="1">
      <c r="A527" s="331">
        <v>12</v>
      </c>
      <c r="B527" s="299"/>
      <c r="C527" s="299" t="s">
        <v>1029</v>
      </c>
      <c r="D527" s="300" t="s">
        <v>420</v>
      </c>
      <c r="E527" s="334">
        <v>0</v>
      </c>
      <c r="F527" s="334">
        <v>0</v>
      </c>
      <c r="G527" s="334">
        <v>0</v>
      </c>
      <c r="H527" s="335">
        <f t="shared" ref="H527" si="387">SUM(E527:G527)</f>
        <v>0</v>
      </c>
      <c r="I527" s="301">
        <f>H527*$Z527</f>
        <v>0</v>
      </c>
      <c r="J527" s="334">
        <v>0</v>
      </c>
      <c r="K527" s="334">
        <v>0</v>
      </c>
      <c r="L527" s="334">
        <v>0</v>
      </c>
      <c r="M527" s="335">
        <f t="shared" ref="M527:M528" si="388">SUM(J527:L527)</f>
        <v>0</v>
      </c>
      <c r="N527" s="301">
        <f>M527*$Z527</f>
        <v>0</v>
      </c>
      <c r="O527" s="334">
        <v>0</v>
      </c>
      <c r="P527" s="334">
        <v>0</v>
      </c>
      <c r="Q527" s="334">
        <v>0</v>
      </c>
      <c r="R527" s="335">
        <f t="shared" ref="R527:R528" si="389">SUM(O527:Q527)</f>
        <v>0</v>
      </c>
      <c r="S527" s="301">
        <f>R527*$Z527</f>
        <v>0</v>
      </c>
      <c r="T527" s="334">
        <v>0</v>
      </c>
      <c r="U527" s="334">
        <v>0</v>
      </c>
      <c r="V527" s="334">
        <v>0</v>
      </c>
      <c r="W527" s="335">
        <f t="shared" ref="W527:W528" si="390">SUM(T527:V527)</f>
        <v>0</v>
      </c>
      <c r="X527" s="301">
        <f>W527*$Z527</f>
        <v>0</v>
      </c>
      <c r="Y527" s="301">
        <f>H527+M527+R527+W527</f>
        <v>0</v>
      </c>
      <c r="Z527" s="274">
        <f>300000/100</f>
        <v>3000</v>
      </c>
      <c r="AA527" s="302">
        <f>Y527*Z527</f>
        <v>0</v>
      </c>
    </row>
    <row r="528" spans="1:27" ht="28.35" customHeight="1">
      <c r="A528" s="325">
        <v>13</v>
      </c>
      <c r="B528" s="299"/>
      <c r="C528" s="299" t="s">
        <v>1030</v>
      </c>
      <c r="D528" s="300" t="s">
        <v>364</v>
      </c>
      <c r="E528" s="334">
        <v>0</v>
      </c>
      <c r="F528" s="334">
        <v>0</v>
      </c>
      <c r="G528" s="334">
        <v>0</v>
      </c>
      <c r="H528" s="335">
        <f t="shared" ref="H528" si="391">SUM(E528:G528)</f>
        <v>0</v>
      </c>
      <c r="I528" s="301" t="e">
        <f t="shared" ref="I528" si="392">H528*$Z528</f>
        <v>#DIV/0!</v>
      </c>
      <c r="J528" s="334">
        <v>0</v>
      </c>
      <c r="K528" s="334">
        <v>0</v>
      </c>
      <c r="L528" s="334">
        <v>0</v>
      </c>
      <c r="M528" s="335">
        <f t="shared" si="388"/>
        <v>0</v>
      </c>
      <c r="N528" s="301" t="e">
        <f t="shared" ref="N528" si="393">M528*$Z528</f>
        <v>#DIV/0!</v>
      </c>
      <c r="O528" s="334">
        <v>0</v>
      </c>
      <c r="P528" s="334">
        <v>0</v>
      </c>
      <c r="Q528" s="334">
        <v>0</v>
      </c>
      <c r="R528" s="335">
        <f t="shared" si="389"/>
        <v>0</v>
      </c>
      <c r="S528" s="301" t="e">
        <f t="shared" ref="S528" si="394">R528*$Z528</f>
        <v>#DIV/0!</v>
      </c>
      <c r="T528" s="334">
        <v>0</v>
      </c>
      <c r="U528" s="334">
        <v>0</v>
      </c>
      <c r="V528" s="334">
        <v>0</v>
      </c>
      <c r="W528" s="335">
        <f t="shared" si="390"/>
        <v>0</v>
      </c>
      <c r="X528" s="301" t="e">
        <f t="shared" ref="X528" si="395">W528*$Z528</f>
        <v>#DIV/0!</v>
      </c>
      <c r="Y528" s="301">
        <f t="shared" ref="Y528" si="396">H528+M528+R528+W528</f>
        <v>0</v>
      </c>
      <c r="Z528" s="274" t="e">
        <f>1800/Y528</f>
        <v>#DIV/0!</v>
      </c>
      <c r="AA528" s="302" t="e">
        <f t="shared" ref="AA528" si="397">Y528*Z528</f>
        <v>#DIV/0!</v>
      </c>
    </row>
    <row r="529" spans="1:27" ht="28.35" customHeight="1" thickBot="1">
      <c r="A529" s="331">
        <v>14</v>
      </c>
      <c r="B529" s="299"/>
      <c r="C529" s="299" t="s">
        <v>1031</v>
      </c>
      <c r="D529" s="300" t="s">
        <v>364</v>
      </c>
      <c r="E529" s="334"/>
      <c r="F529" s="334"/>
      <c r="G529" s="334"/>
      <c r="H529" s="335">
        <f>SUM(E529:G529)</f>
        <v>0</v>
      </c>
      <c r="I529" s="301">
        <f>H529*$Z529</f>
        <v>0</v>
      </c>
      <c r="J529" s="334"/>
      <c r="K529" s="334">
        <f>0+0</f>
        <v>0</v>
      </c>
      <c r="L529" s="334"/>
      <c r="M529" s="335">
        <f>SUM(J529:L529)</f>
        <v>0</v>
      </c>
      <c r="N529" s="301">
        <f>M529*$Z529</f>
        <v>0</v>
      </c>
      <c r="O529" s="334"/>
      <c r="P529" s="334">
        <f>0+0</f>
        <v>0</v>
      </c>
      <c r="Q529" s="334"/>
      <c r="R529" s="335">
        <f>SUM(O529:Q529)</f>
        <v>0</v>
      </c>
      <c r="S529" s="301">
        <f>R529*$Z529</f>
        <v>0</v>
      </c>
      <c r="T529" s="334">
        <f>0+0</f>
        <v>0</v>
      </c>
      <c r="U529" s="334">
        <f>0+0</f>
        <v>0</v>
      </c>
      <c r="V529" s="334"/>
      <c r="W529" s="335">
        <f>SUM(T529:V529)</f>
        <v>0</v>
      </c>
      <c r="X529" s="301">
        <f>W529*$Z529</f>
        <v>0</v>
      </c>
      <c r="Y529" s="301">
        <f>H529+M529+R529+W529</f>
        <v>0</v>
      </c>
      <c r="Z529" s="274">
        <f>3750/30</f>
        <v>125</v>
      </c>
      <c r="AA529" s="302">
        <f>Y529*Z529</f>
        <v>0</v>
      </c>
    </row>
    <row r="530" spans="1:27" ht="28.35" customHeight="1">
      <c r="A530" s="325">
        <v>15</v>
      </c>
      <c r="B530" s="299"/>
      <c r="C530" s="299" t="s">
        <v>1032</v>
      </c>
      <c r="D530" s="300" t="s">
        <v>364</v>
      </c>
      <c r="E530" s="334"/>
      <c r="F530" s="334">
        <v>0</v>
      </c>
      <c r="G530" s="334">
        <v>0</v>
      </c>
      <c r="H530" s="335">
        <f t="shared" ref="H530:H531" si="398">SUM(E530:G530)</f>
        <v>0</v>
      </c>
      <c r="I530" s="301">
        <f t="shared" ref="I530:I531" si="399">H530*$Z530</f>
        <v>0</v>
      </c>
      <c r="J530" s="334">
        <v>0</v>
      </c>
      <c r="K530" s="334">
        <v>0</v>
      </c>
      <c r="L530" s="334">
        <v>0</v>
      </c>
      <c r="M530" s="335">
        <f t="shared" ref="M530:M531" si="400">SUM(J530:L530)</f>
        <v>0</v>
      </c>
      <c r="N530" s="301">
        <f t="shared" ref="N530:N531" si="401">M530*$Z530</f>
        <v>0</v>
      </c>
      <c r="O530" s="334"/>
      <c r="P530" s="334">
        <v>0</v>
      </c>
      <c r="Q530" s="334">
        <v>0</v>
      </c>
      <c r="R530" s="335">
        <f t="shared" ref="R530:R531" si="402">SUM(O530:Q530)</f>
        <v>0</v>
      </c>
      <c r="S530" s="301">
        <f t="shared" ref="S530:S531" si="403">R530*$Z530</f>
        <v>0</v>
      </c>
      <c r="T530" s="334">
        <v>0</v>
      </c>
      <c r="U530" s="334">
        <v>0</v>
      </c>
      <c r="V530" s="334">
        <v>0</v>
      </c>
      <c r="W530" s="335">
        <f t="shared" ref="W530:W531" si="404">SUM(T530:V530)</f>
        <v>0</v>
      </c>
      <c r="X530" s="301">
        <f t="shared" ref="X530:X531" si="405">W530*$Z530</f>
        <v>0</v>
      </c>
      <c r="Y530" s="301">
        <f t="shared" ref="Y530:Y531" si="406">H530+M530+R530+W530</f>
        <v>0</v>
      </c>
      <c r="Z530" s="274">
        <f>1680/6</f>
        <v>280</v>
      </c>
      <c r="AA530" s="302">
        <f t="shared" ref="AA530:AA531" si="407">Y530*Z530</f>
        <v>0</v>
      </c>
    </row>
    <row r="531" spans="1:27" ht="28.35" customHeight="1" thickBot="1">
      <c r="A531" s="331">
        <v>16</v>
      </c>
      <c r="B531" s="299"/>
      <c r="C531" s="299" t="s">
        <v>1033</v>
      </c>
      <c r="D531" s="300" t="s">
        <v>364</v>
      </c>
      <c r="E531" s="334"/>
      <c r="F531" s="334">
        <v>0</v>
      </c>
      <c r="G531" s="334">
        <v>0</v>
      </c>
      <c r="H531" s="335">
        <f t="shared" si="398"/>
        <v>0</v>
      </c>
      <c r="I531" s="301" t="e">
        <f t="shared" si="399"/>
        <v>#DIV/0!</v>
      </c>
      <c r="J531" s="334">
        <v>0</v>
      </c>
      <c r="K531" s="334">
        <v>0</v>
      </c>
      <c r="L531" s="334">
        <v>0</v>
      </c>
      <c r="M531" s="335">
        <f t="shared" si="400"/>
        <v>0</v>
      </c>
      <c r="N531" s="301" t="e">
        <f t="shared" si="401"/>
        <v>#DIV/0!</v>
      </c>
      <c r="O531" s="334"/>
      <c r="P531" s="334">
        <v>0</v>
      </c>
      <c r="Q531" s="334">
        <v>0</v>
      </c>
      <c r="R531" s="335">
        <f t="shared" si="402"/>
        <v>0</v>
      </c>
      <c r="S531" s="301" t="e">
        <f t="shared" si="403"/>
        <v>#DIV/0!</v>
      </c>
      <c r="T531" s="334">
        <v>0</v>
      </c>
      <c r="U531" s="334">
        <v>0</v>
      </c>
      <c r="V531" s="334">
        <v>0</v>
      </c>
      <c r="W531" s="335">
        <f t="shared" si="404"/>
        <v>0</v>
      </c>
      <c r="X531" s="301" t="e">
        <f t="shared" si="405"/>
        <v>#DIV/0!</v>
      </c>
      <c r="Y531" s="301">
        <f t="shared" si="406"/>
        <v>0</v>
      </c>
      <c r="Z531" s="274" t="e">
        <f>2100/Y531</f>
        <v>#DIV/0!</v>
      </c>
      <c r="AA531" s="302" t="e">
        <f t="shared" si="407"/>
        <v>#DIV/0!</v>
      </c>
    </row>
    <row r="532" spans="1:27" ht="28.35" customHeight="1" thickBot="1">
      <c r="A532" s="325">
        <v>17</v>
      </c>
      <c r="B532" s="299"/>
      <c r="C532" s="294" t="s">
        <v>1034</v>
      </c>
      <c r="D532" s="342" t="s">
        <v>364</v>
      </c>
      <c r="E532" s="342"/>
      <c r="F532" s="342"/>
      <c r="G532" s="342">
        <v>0</v>
      </c>
      <c r="H532" s="343">
        <f>SUM(E532:G532)</f>
        <v>0</v>
      </c>
      <c r="I532" s="296">
        <f>H532*$Z532</f>
        <v>0</v>
      </c>
      <c r="J532" s="342">
        <v>0</v>
      </c>
      <c r="K532" s="342"/>
      <c r="L532" s="342">
        <v>0</v>
      </c>
      <c r="M532" s="343">
        <v>0</v>
      </c>
      <c r="N532" s="296">
        <f>M532*$Z532</f>
        <v>0</v>
      </c>
      <c r="O532" s="342">
        <v>0</v>
      </c>
      <c r="P532" s="342">
        <v>0</v>
      </c>
      <c r="Q532" s="342">
        <v>0</v>
      </c>
      <c r="R532" s="343">
        <f>SUM(O532:Q532)</f>
        <v>0</v>
      </c>
      <c r="S532" s="296">
        <f>R532*$Z532</f>
        <v>0</v>
      </c>
      <c r="T532" s="342">
        <v>0</v>
      </c>
      <c r="U532" s="342">
        <v>0</v>
      </c>
      <c r="V532" s="342">
        <v>0</v>
      </c>
      <c r="W532" s="343">
        <f>SUM(T532:V532)</f>
        <v>0</v>
      </c>
      <c r="X532" s="296">
        <f>W532*$Z532</f>
        <v>0</v>
      </c>
      <c r="Y532" s="296">
        <f>H532+M532+R532+W532</f>
        <v>0</v>
      </c>
      <c r="Z532" s="268">
        <f>5000/50</f>
        <v>100</v>
      </c>
      <c r="AA532" s="297">
        <f>Y532*Z532</f>
        <v>0</v>
      </c>
    </row>
    <row r="533" spans="1:27" ht="28.35" customHeight="1" thickBot="1">
      <c r="A533" s="331">
        <v>18</v>
      </c>
      <c r="B533" s="299"/>
      <c r="C533" s="294" t="s">
        <v>1034</v>
      </c>
      <c r="D533" s="300" t="s">
        <v>364</v>
      </c>
      <c r="E533" s="334"/>
      <c r="F533" s="334">
        <v>0</v>
      </c>
      <c r="G533" s="334">
        <v>0</v>
      </c>
      <c r="H533" s="335">
        <f t="shared" ref="H533" si="408">SUM(E533:G533)</f>
        <v>0</v>
      </c>
      <c r="I533" s="301" t="e">
        <f t="shared" ref="I533:I544" si="409">H533*$Z533</f>
        <v>#DIV/0!</v>
      </c>
      <c r="J533" s="334"/>
      <c r="K533" s="334">
        <v>0</v>
      </c>
      <c r="L533" s="334">
        <v>0</v>
      </c>
      <c r="M533" s="335">
        <f t="shared" ref="M533" si="410">SUM(J533:L533)</f>
        <v>0</v>
      </c>
      <c r="N533" s="301" t="e">
        <f t="shared" ref="N533:N544" si="411">M533*$Z533</f>
        <v>#DIV/0!</v>
      </c>
      <c r="O533" s="334"/>
      <c r="P533" s="334">
        <v>0</v>
      </c>
      <c r="Q533" s="334">
        <v>0</v>
      </c>
      <c r="R533" s="335">
        <f t="shared" ref="R533" si="412">SUM(O533:Q533)</f>
        <v>0</v>
      </c>
      <c r="S533" s="301" t="e">
        <f t="shared" ref="S533:S544" si="413">R533*$Z533</f>
        <v>#DIV/0!</v>
      </c>
      <c r="T533" s="334">
        <v>0</v>
      </c>
      <c r="U533" s="334">
        <v>0</v>
      </c>
      <c r="V533" s="334"/>
      <c r="W533" s="335">
        <f t="shared" ref="W533" si="414">SUM(T533:V533)</f>
        <v>0</v>
      </c>
      <c r="X533" s="301" t="e">
        <f t="shared" ref="X533:X536" si="415">W533*$Z533</f>
        <v>#DIV/0!</v>
      </c>
      <c r="Y533" s="301">
        <f t="shared" ref="Y533:Y555" si="416">H533+M533+R533+W533</f>
        <v>0</v>
      </c>
      <c r="Z533" s="274" t="e">
        <f>3800/Y533</f>
        <v>#DIV/0!</v>
      </c>
      <c r="AA533" s="302" t="e">
        <f t="shared" ref="AA533:AA550" si="417">Y533*Z533</f>
        <v>#DIV/0!</v>
      </c>
    </row>
    <row r="534" spans="1:27" ht="28.35" customHeight="1">
      <c r="A534" s="325">
        <v>19</v>
      </c>
      <c r="B534" s="299"/>
      <c r="C534" s="299" t="s">
        <v>1035</v>
      </c>
      <c r="D534" s="300" t="s">
        <v>364</v>
      </c>
      <c r="E534" s="334"/>
      <c r="F534" s="334">
        <v>0</v>
      </c>
      <c r="G534" s="334">
        <v>0</v>
      </c>
      <c r="H534" s="335">
        <f t="shared" ref="H534:H554" si="418">SUM(E534:G534)</f>
        <v>0</v>
      </c>
      <c r="I534" s="301">
        <f t="shared" si="409"/>
        <v>0</v>
      </c>
      <c r="J534" s="334">
        <v>0</v>
      </c>
      <c r="K534" s="334">
        <v>0</v>
      </c>
      <c r="L534" s="334">
        <v>0</v>
      </c>
      <c r="M534" s="335">
        <f t="shared" ref="M534:M555" si="419">SUM(J534:L534)</f>
        <v>0</v>
      </c>
      <c r="N534" s="301">
        <f t="shared" si="411"/>
        <v>0</v>
      </c>
      <c r="O534" s="334">
        <v>0</v>
      </c>
      <c r="P534" s="334">
        <v>0</v>
      </c>
      <c r="Q534" s="334">
        <v>0</v>
      </c>
      <c r="R534" s="335">
        <f t="shared" ref="R534:R555" si="420">SUM(O534:Q534)</f>
        <v>0</v>
      </c>
      <c r="S534" s="301">
        <f t="shared" si="413"/>
        <v>0</v>
      </c>
      <c r="T534" s="334">
        <v>0</v>
      </c>
      <c r="U534" s="334">
        <v>0</v>
      </c>
      <c r="V534" s="334">
        <v>0</v>
      </c>
      <c r="W534" s="335">
        <f t="shared" ref="W534:W555" si="421">SUM(T534:V534)</f>
        <v>0</v>
      </c>
      <c r="X534" s="301">
        <f t="shared" si="415"/>
        <v>0</v>
      </c>
      <c r="Y534" s="301">
        <f t="shared" si="416"/>
        <v>0</v>
      </c>
      <c r="Z534" s="274">
        <f>500/1</f>
        <v>500</v>
      </c>
      <c r="AA534" s="302">
        <f t="shared" si="417"/>
        <v>0</v>
      </c>
    </row>
    <row r="535" spans="1:27" ht="28.35" customHeight="1" thickBot="1">
      <c r="A535" s="331">
        <v>20</v>
      </c>
      <c r="B535" s="299"/>
      <c r="C535" s="299" t="s">
        <v>1036</v>
      </c>
      <c r="D535" s="300" t="s">
        <v>364</v>
      </c>
      <c r="E535" s="334"/>
      <c r="F535" s="334">
        <v>0</v>
      </c>
      <c r="G535" s="334">
        <v>0</v>
      </c>
      <c r="H535" s="335">
        <f t="shared" si="418"/>
        <v>0</v>
      </c>
      <c r="I535" s="301" t="e">
        <f t="shared" si="409"/>
        <v>#DIV/0!</v>
      </c>
      <c r="J535" s="334">
        <v>0</v>
      </c>
      <c r="K535" s="334">
        <v>0</v>
      </c>
      <c r="L535" s="334">
        <v>0</v>
      </c>
      <c r="M535" s="335">
        <f t="shared" si="419"/>
        <v>0</v>
      </c>
      <c r="N535" s="301" t="e">
        <f t="shared" si="411"/>
        <v>#DIV/0!</v>
      </c>
      <c r="O535" s="334">
        <v>0</v>
      </c>
      <c r="P535" s="334">
        <v>0</v>
      </c>
      <c r="Q535" s="334">
        <v>0</v>
      </c>
      <c r="R535" s="335">
        <f t="shared" si="420"/>
        <v>0</v>
      </c>
      <c r="S535" s="301" t="e">
        <f t="shared" si="413"/>
        <v>#DIV/0!</v>
      </c>
      <c r="T535" s="334">
        <v>0</v>
      </c>
      <c r="U535" s="334">
        <v>0</v>
      </c>
      <c r="V535" s="334">
        <v>0</v>
      </c>
      <c r="W535" s="335">
        <f t="shared" si="421"/>
        <v>0</v>
      </c>
      <c r="X535" s="301" t="e">
        <f t="shared" si="415"/>
        <v>#DIV/0!</v>
      </c>
      <c r="Y535" s="301">
        <f t="shared" si="416"/>
        <v>0</v>
      </c>
      <c r="Z535" s="274" t="e">
        <f>2300/Y535</f>
        <v>#DIV/0!</v>
      </c>
      <c r="AA535" s="302" t="e">
        <f t="shared" si="417"/>
        <v>#DIV/0!</v>
      </c>
    </row>
    <row r="536" spans="1:27" ht="28.35" customHeight="1">
      <c r="A536" s="325">
        <v>21</v>
      </c>
      <c r="B536" s="299"/>
      <c r="C536" s="299" t="s">
        <v>1037</v>
      </c>
      <c r="D536" s="300" t="s">
        <v>364</v>
      </c>
      <c r="E536" s="334">
        <v>0</v>
      </c>
      <c r="F536" s="334">
        <v>0</v>
      </c>
      <c r="G536" s="334">
        <v>0</v>
      </c>
      <c r="H536" s="335">
        <f t="shared" si="418"/>
        <v>0</v>
      </c>
      <c r="I536" s="301">
        <f t="shared" si="409"/>
        <v>0</v>
      </c>
      <c r="J536" s="334">
        <v>0</v>
      </c>
      <c r="K536" s="334">
        <v>0</v>
      </c>
      <c r="L536" s="334">
        <v>0</v>
      </c>
      <c r="M536" s="335">
        <f t="shared" si="419"/>
        <v>0</v>
      </c>
      <c r="N536" s="301">
        <f t="shared" si="411"/>
        <v>0</v>
      </c>
      <c r="O536" s="334">
        <v>2</v>
      </c>
      <c r="P536" s="334">
        <v>0</v>
      </c>
      <c r="Q536" s="334">
        <v>0</v>
      </c>
      <c r="R536" s="335">
        <f t="shared" si="420"/>
        <v>2</v>
      </c>
      <c r="S536" s="301">
        <f t="shared" si="413"/>
        <v>3400</v>
      </c>
      <c r="T536" s="334">
        <v>0</v>
      </c>
      <c r="U536" s="334">
        <v>0</v>
      </c>
      <c r="V536" s="334">
        <v>0</v>
      </c>
      <c r="W536" s="335">
        <f t="shared" si="421"/>
        <v>0</v>
      </c>
      <c r="X536" s="301">
        <f t="shared" si="415"/>
        <v>0</v>
      </c>
      <c r="Y536" s="301">
        <f t="shared" si="416"/>
        <v>2</v>
      </c>
      <c r="Z536" s="274">
        <f>3400/2</f>
        <v>1700</v>
      </c>
      <c r="AA536" s="302">
        <f t="shared" si="417"/>
        <v>3400</v>
      </c>
    </row>
    <row r="537" spans="1:27" ht="28.35" customHeight="1" thickBot="1">
      <c r="A537" s="331">
        <v>22</v>
      </c>
      <c r="B537" s="299"/>
      <c r="C537" s="299" t="s">
        <v>1038</v>
      </c>
      <c r="D537" s="300" t="s">
        <v>364</v>
      </c>
      <c r="E537" s="334">
        <v>0</v>
      </c>
      <c r="F537" s="334">
        <v>0</v>
      </c>
      <c r="G537" s="334"/>
      <c r="H537" s="335">
        <f t="shared" si="418"/>
        <v>0</v>
      </c>
      <c r="I537" s="301">
        <f t="shared" si="409"/>
        <v>0</v>
      </c>
      <c r="J537" s="334">
        <v>0</v>
      </c>
      <c r="K537" s="334">
        <v>0</v>
      </c>
      <c r="L537" s="334">
        <v>0</v>
      </c>
      <c r="M537" s="335">
        <f t="shared" si="419"/>
        <v>0</v>
      </c>
      <c r="N537" s="301">
        <f t="shared" si="411"/>
        <v>0</v>
      </c>
      <c r="O537" s="334">
        <v>0</v>
      </c>
      <c r="P537" s="334">
        <v>0</v>
      </c>
      <c r="Q537" s="334">
        <v>0</v>
      </c>
      <c r="R537" s="335">
        <f t="shared" si="420"/>
        <v>0</v>
      </c>
      <c r="S537" s="301">
        <f t="shared" si="413"/>
        <v>0</v>
      </c>
      <c r="T537" s="334">
        <v>0</v>
      </c>
      <c r="U537" s="334">
        <v>0</v>
      </c>
      <c r="V537" s="334">
        <v>0</v>
      </c>
      <c r="W537" s="335">
        <f t="shared" si="421"/>
        <v>0</v>
      </c>
      <c r="X537" s="301">
        <f>W537*$Z537</f>
        <v>0</v>
      </c>
      <c r="Y537" s="301">
        <f t="shared" si="416"/>
        <v>0</v>
      </c>
      <c r="Z537" s="274">
        <f>2400/3</f>
        <v>800</v>
      </c>
      <c r="AA537" s="302">
        <f t="shared" si="417"/>
        <v>0</v>
      </c>
    </row>
    <row r="538" spans="1:27" ht="28.35" customHeight="1">
      <c r="A538" s="325">
        <v>23</v>
      </c>
      <c r="B538" s="299"/>
      <c r="C538" s="299" t="s">
        <v>1039</v>
      </c>
      <c r="D538" s="300" t="s">
        <v>364</v>
      </c>
      <c r="E538" s="334">
        <v>0</v>
      </c>
      <c r="F538" s="334">
        <v>0</v>
      </c>
      <c r="G538" s="334"/>
      <c r="H538" s="335">
        <f t="shared" si="418"/>
        <v>0</v>
      </c>
      <c r="I538" s="301">
        <f t="shared" si="409"/>
        <v>0</v>
      </c>
      <c r="J538" s="334">
        <v>0</v>
      </c>
      <c r="K538" s="334">
        <v>0</v>
      </c>
      <c r="L538" s="334">
        <v>0</v>
      </c>
      <c r="M538" s="335">
        <f t="shared" si="419"/>
        <v>0</v>
      </c>
      <c r="N538" s="301">
        <f t="shared" si="411"/>
        <v>0</v>
      </c>
      <c r="O538" s="334">
        <v>0</v>
      </c>
      <c r="P538" s="334">
        <v>0</v>
      </c>
      <c r="Q538" s="334"/>
      <c r="R538" s="335">
        <f t="shared" si="420"/>
        <v>0</v>
      </c>
      <c r="S538" s="301">
        <f t="shared" si="413"/>
        <v>0</v>
      </c>
      <c r="T538" s="334">
        <v>0</v>
      </c>
      <c r="U538" s="334">
        <v>0</v>
      </c>
      <c r="V538" s="334">
        <v>0</v>
      </c>
      <c r="W538" s="335">
        <f t="shared" si="421"/>
        <v>0</v>
      </c>
      <c r="X538" s="301">
        <f t="shared" ref="X538:X544" si="422">W538*$Z538</f>
        <v>0</v>
      </c>
      <c r="Y538" s="301">
        <f t="shared" si="416"/>
        <v>0</v>
      </c>
      <c r="Z538" s="274">
        <f>10000/10</f>
        <v>1000</v>
      </c>
      <c r="AA538" s="302">
        <f t="shared" si="417"/>
        <v>0</v>
      </c>
    </row>
    <row r="539" spans="1:27" ht="28.35" customHeight="1" thickBot="1">
      <c r="A539" s="331">
        <v>24</v>
      </c>
      <c r="B539" s="299"/>
      <c r="C539" s="299" t="s">
        <v>1040</v>
      </c>
      <c r="D539" s="300" t="s">
        <v>364</v>
      </c>
      <c r="E539" s="334">
        <v>0</v>
      </c>
      <c r="F539" s="334">
        <v>0</v>
      </c>
      <c r="G539" s="334"/>
      <c r="H539" s="335">
        <f t="shared" si="418"/>
        <v>0</v>
      </c>
      <c r="I539" s="301">
        <f t="shared" si="409"/>
        <v>0</v>
      </c>
      <c r="J539" s="334">
        <v>0</v>
      </c>
      <c r="K539" s="334">
        <v>0</v>
      </c>
      <c r="L539" s="334">
        <v>0</v>
      </c>
      <c r="M539" s="335">
        <f t="shared" si="419"/>
        <v>0</v>
      </c>
      <c r="N539" s="301">
        <f t="shared" si="411"/>
        <v>0</v>
      </c>
      <c r="O539" s="334"/>
      <c r="P539" s="334">
        <v>0</v>
      </c>
      <c r="Q539" s="334">
        <v>0</v>
      </c>
      <c r="R539" s="335">
        <f t="shared" si="420"/>
        <v>0</v>
      </c>
      <c r="S539" s="301">
        <f t="shared" si="413"/>
        <v>0</v>
      </c>
      <c r="T539" s="334">
        <v>0</v>
      </c>
      <c r="U539" s="334">
        <v>0</v>
      </c>
      <c r="V539" s="334">
        <v>0</v>
      </c>
      <c r="W539" s="335">
        <f t="shared" si="421"/>
        <v>0</v>
      </c>
      <c r="X539" s="301">
        <f t="shared" si="422"/>
        <v>0</v>
      </c>
      <c r="Y539" s="301">
        <f t="shared" si="416"/>
        <v>0</v>
      </c>
      <c r="Z539" s="274">
        <f>38500/11</f>
        <v>3500</v>
      </c>
      <c r="AA539" s="302">
        <f t="shared" si="417"/>
        <v>0</v>
      </c>
    </row>
    <row r="540" spans="1:27" ht="28.35" customHeight="1">
      <c r="A540" s="325">
        <v>25</v>
      </c>
      <c r="B540" s="299"/>
      <c r="C540" s="299" t="s">
        <v>1041</v>
      </c>
      <c r="D540" s="300" t="s">
        <v>334</v>
      </c>
      <c r="E540" s="334">
        <v>0</v>
      </c>
      <c r="F540" s="334">
        <v>0</v>
      </c>
      <c r="G540" s="334">
        <v>0</v>
      </c>
      <c r="H540" s="335">
        <f t="shared" si="418"/>
        <v>0</v>
      </c>
      <c r="I540" s="301">
        <f t="shared" si="409"/>
        <v>0</v>
      </c>
      <c r="J540" s="334">
        <v>0</v>
      </c>
      <c r="K540" s="334">
        <v>0</v>
      </c>
      <c r="L540" s="334">
        <v>0</v>
      </c>
      <c r="M540" s="335">
        <f t="shared" si="419"/>
        <v>0</v>
      </c>
      <c r="N540" s="301">
        <f t="shared" si="411"/>
        <v>0</v>
      </c>
      <c r="O540" s="334"/>
      <c r="P540" s="334">
        <v>0</v>
      </c>
      <c r="Q540" s="334">
        <v>0</v>
      </c>
      <c r="R540" s="335">
        <f t="shared" si="420"/>
        <v>0</v>
      </c>
      <c r="S540" s="301">
        <f t="shared" si="413"/>
        <v>0</v>
      </c>
      <c r="T540" s="334">
        <v>0</v>
      </c>
      <c r="U540" s="334">
        <v>0</v>
      </c>
      <c r="V540" s="334">
        <v>0</v>
      </c>
      <c r="W540" s="335">
        <f t="shared" si="421"/>
        <v>0</v>
      </c>
      <c r="X540" s="301">
        <f t="shared" si="422"/>
        <v>0</v>
      </c>
      <c r="Y540" s="301">
        <f t="shared" si="416"/>
        <v>0</v>
      </c>
      <c r="Z540" s="274">
        <f>32500/50</f>
        <v>650</v>
      </c>
      <c r="AA540" s="302">
        <f t="shared" si="417"/>
        <v>0</v>
      </c>
    </row>
    <row r="541" spans="1:27" ht="28.35" customHeight="1" thickBot="1">
      <c r="A541" s="331">
        <v>26</v>
      </c>
      <c r="B541" s="299"/>
      <c r="C541" s="299" t="s">
        <v>1042</v>
      </c>
      <c r="D541" s="300" t="s">
        <v>364</v>
      </c>
      <c r="E541" s="334">
        <v>0</v>
      </c>
      <c r="F541" s="334">
        <v>0</v>
      </c>
      <c r="G541" s="334">
        <v>0</v>
      </c>
      <c r="H541" s="335">
        <f t="shared" si="418"/>
        <v>0</v>
      </c>
      <c r="I541" s="301">
        <f t="shared" si="409"/>
        <v>0</v>
      </c>
      <c r="J541" s="334">
        <v>0</v>
      </c>
      <c r="K541" s="334">
        <v>3</v>
      </c>
      <c r="L541" s="334">
        <v>0</v>
      </c>
      <c r="M541" s="335">
        <f t="shared" si="419"/>
        <v>3</v>
      </c>
      <c r="N541" s="301">
        <f t="shared" si="411"/>
        <v>4500</v>
      </c>
      <c r="O541" s="334">
        <v>0</v>
      </c>
      <c r="P541" s="334">
        <v>0</v>
      </c>
      <c r="Q541" s="334">
        <v>0</v>
      </c>
      <c r="R541" s="335">
        <f t="shared" si="420"/>
        <v>0</v>
      </c>
      <c r="S541" s="301">
        <f t="shared" si="413"/>
        <v>0</v>
      </c>
      <c r="T541" s="334">
        <v>0</v>
      </c>
      <c r="U541" s="334">
        <v>0</v>
      </c>
      <c r="V541" s="334">
        <v>0</v>
      </c>
      <c r="W541" s="335">
        <f t="shared" si="421"/>
        <v>0</v>
      </c>
      <c r="X541" s="301">
        <f t="shared" si="422"/>
        <v>0</v>
      </c>
      <c r="Y541" s="301">
        <f t="shared" si="416"/>
        <v>3</v>
      </c>
      <c r="Z541" s="274">
        <f>4500/3</f>
        <v>1500</v>
      </c>
      <c r="AA541" s="302">
        <f t="shared" si="417"/>
        <v>4500</v>
      </c>
    </row>
    <row r="542" spans="1:27" ht="28.35" customHeight="1">
      <c r="A542" s="325">
        <v>27</v>
      </c>
      <c r="B542" s="299"/>
      <c r="C542" s="299" t="s">
        <v>1043</v>
      </c>
      <c r="D542" s="300" t="s">
        <v>364</v>
      </c>
      <c r="E542" s="334">
        <f>0+0</f>
        <v>0</v>
      </c>
      <c r="F542" s="334"/>
      <c r="G542" s="334"/>
      <c r="H542" s="335">
        <f t="shared" si="418"/>
        <v>0</v>
      </c>
      <c r="I542" s="301">
        <f t="shared" si="409"/>
        <v>0</v>
      </c>
      <c r="J542" s="334">
        <f t="shared" ref="J542:K550" si="423">0+0</f>
        <v>0</v>
      </c>
      <c r="K542" s="334">
        <f t="shared" si="423"/>
        <v>0</v>
      </c>
      <c r="L542" s="334"/>
      <c r="M542" s="335">
        <f t="shared" si="419"/>
        <v>0</v>
      </c>
      <c r="N542" s="301">
        <f t="shared" si="411"/>
        <v>0</v>
      </c>
      <c r="O542" s="334">
        <f>0+0</f>
        <v>0</v>
      </c>
      <c r="P542" s="334"/>
      <c r="Q542" s="334">
        <f t="shared" ref="P542:Q550" si="424">0+0</f>
        <v>0</v>
      </c>
      <c r="R542" s="335">
        <f t="shared" si="420"/>
        <v>0</v>
      </c>
      <c r="S542" s="301">
        <f t="shared" si="413"/>
        <v>0</v>
      </c>
      <c r="T542" s="334">
        <f>0+0</f>
        <v>0</v>
      </c>
      <c r="U542" s="334">
        <f t="shared" ref="U542:V550" si="425">0+0</f>
        <v>0</v>
      </c>
      <c r="V542" s="334">
        <f t="shared" si="425"/>
        <v>0</v>
      </c>
      <c r="W542" s="335">
        <f t="shared" si="421"/>
        <v>0</v>
      </c>
      <c r="X542" s="301">
        <f t="shared" si="422"/>
        <v>0</v>
      </c>
      <c r="Y542" s="301">
        <f t="shared" si="416"/>
        <v>0</v>
      </c>
      <c r="Z542" s="274">
        <f>375/25</f>
        <v>15</v>
      </c>
      <c r="AA542" s="302">
        <f t="shared" si="417"/>
        <v>0</v>
      </c>
    </row>
    <row r="543" spans="1:27" ht="28.35" customHeight="1" thickBot="1">
      <c r="A543" s="331">
        <v>28</v>
      </c>
      <c r="B543" s="299"/>
      <c r="C543" s="299" t="s">
        <v>1043</v>
      </c>
      <c r="D543" s="300" t="s">
        <v>364</v>
      </c>
      <c r="E543" s="334">
        <v>0</v>
      </c>
      <c r="F543" s="334">
        <v>0</v>
      </c>
      <c r="G543" s="334"/>
      <c r="H543" s="335">
        <f t="shared" si="418"/>
        <v>0</v>
      </c>
      <c r="I543" s="301">
        <f t="shared" si="409"/>
        <v>0</v>
      </c>
      <c r="J543" s="334">
        <v>0</v>
      </c>
      <c r="K543" s="334">
        <v>0</v>
      </c>
      <c r="L543" s="334">
        <v>0</v>
      </c>
      <c r="M543" s="335">
        <f t="shared" si="419"/>
        <v>0</v>
      </c>
      <c r="N543" s="301">
        <f t="shared" si="411"/>
        <v>0</v>
      </c>
      <c r="O543" s="334">
        <v>0</v>
      </c>
      <c r="P543" s="334">
        <v>0</v>
      </c>
      <c r="Q543" s="334">
        <v>0</v>
      </c>
      <c r="R543" s="335">
        <f t="shared" si="420"/>
        <v>0</v>
      </c>
      <c r="S543" s="301">
        <f t="shared" si="413"/>
        <v>0</v>
      </c>
      <c r="T543" s="334">
        <v>0</v>
      </c>
      <c r="U543" s="334">
        <v>0</v>
      </c>
      <c r="V543" s="334">
        <v>0</v>
      </c>
      <c r="W543" s="335">
        <f t="shared" si="421"/>
        <v>0</v>
      </c>
      <c r="X543" s="301">
        <f t="shared" si="422"/>
        <v>0</v>
      </c>
      <c r="Y543" s="301">
        <f t="shared" si="416"/>
        <v>0</v>
      </c>
      <c r="Z543" s="274">
        <f>300/10</f>
        <v>30</v>
      </c>
      <c r="AA543" s="302">
        <f t="shared" si="417"/>
        <v>0</v>
      </c>
    </row>
    <row r="544" spans="1:27" ht="28.35" customHeight="1">
      <c r="A544" s="325">
        <v>29</v>
      </c>
      <c r="B544" s="299"/>
      <c r="C544" s="299" t="s">
        <v>1043</v>
      </c>
      <c r="D544" s="300" t="s">
        <v>364</v>
      </c>
      <c r="E544" s="334"/>
      <c r="F544" s="334">
        <v>0</v>
      </c>
      <c r="G544" s="334">
        <v>0</v>
      </c>
      <c r="H544" s="335">
        <f t="shared" si="418"/>
        <v>0</v>
      </c>
      <c r="I544" s="301">
        <f t="shared" si="409"/>
        <v>0</v>
      </c>
      <c r="J544" s="334"/>
      <c r="K544" s="334">
        <v>0</v>
      </c>
      <c r="L544" s="334">
        <v>0</v>
      </c>
      <c r="M544" s="335">
        <f t="shared" si="419"/>
        <v>0</v>
      </c>
      <c r="N544" s="301">
        <f t="shared" si="411"/>
        <v>0</v>
      </c>
      <c r="O544" s="334"/>
      <c r="P544" s="334">
        <v>0</v>
      </c>
      <c r="Q544" s="334">
        <v>0</v>
      </c>
      <c r="R544" s="335">
        <f t="shared" si="420"/>
        <v>0</v>
      </c>
      <c r="S544" s="301">
        <f t="shared" si="413"/>
        <v>0</v>
      </c>
      <c r="T544" s="334"/>
      <c r="U544" s="334">
        <v>0</v>
      </c>
      <c r="V544" s="334">
        <v>0</v>
      </c>
      <c r="W544" s="335">
        <f t="shared" si="421"/>
        <v>0</v>
      </c>
      <c r="X544" s="301">
        <f t="shared" si="422"/>
        <v>0</v>
      </c>
      <c r="Y544" s="301">
        <f t="shared" si="416"/>
        <v>0</v>
      </c>
      <c r="Z544" s="274">
        <f>1344/48</f>
        <v>28</v>
      </c>
      <c r="AA544" s="302">
        <f t="shared" si="417"/>
        <v>0</v>
      </c>
    </row>
    <row r="545" spans="1:27" ht="28.35" customHeight="1" thickBot="1">
      <c r="A545" s="331">
        <v>30</v>
      </c>
      <c r="B545" s="299"/>
      <c r="C545" s="299" t="s">
        <v>1044</v>
      </c>
      <c r="D545" s="300" t="s">
        <v>364</v>
      </c>
      <c r="E545" s="334">
        <f>0+0</f>
        <v>0</v>
      </c>
      <c r="F545" s="334"/>
      <c r="G545" s="334"/>
      <c r="H545" s="335">
        <f t="shared" si="418"/>
        <v>0</v>
      </c>
      <c r="I545" s="301">
        <f>H545*$Z545</f>
        <v>0</v>
      </c>
      <c r="J545" s="334">
        <f t="shared" si="423"/>
        <v>0</v>
      </c>
      <c r="K545" s="334">
        <f t="shared" si="423"/>
        <v>0</v>
      </c>
      <c r="L545" s="334"/>
      <c r="M545" s="335">
        <f t="shared" si="419"/>
        <v>0</v>
      </c>
      <c r="N545" s="301">
        <f>M545*$Z545</f>
        <v>0</v>
      </c>
      <c r="O545" s="334">
        <f>0+0</f>
        <v>0</v>
      </c>
      <c r="P545" s="334"/>
      <c r="Q545" s="334">
        <f t="shared" si="424"/>
        <v>0</v>
      </c>
      <c r="R545" s="335">
        <f t="shared" si="420"/>
        <v>0</v>
      </c>
      <c r="S545" s="301">
        <f>R545*$Z545</f>
        <v>0</v>
      </c>
      <c r="T545" s="334">
        <f>0+0</f>
        <v>0</v>
      </c>
      <c r="U545" s="334">
        <f t="shared" si="425"/>
        <v>0</v>
      </c>
      <c r="V545" s="334">
        <f t="shared" si="425"/>
        <v>0</v>
      </c>
      <c r="W545" s="335">
        <f t="shared" si="421"/>
        <v>0</v>
      </c>
      <c r="X545" s="301">
        <f>W545*$Z545</f>
        <v>0</v>
      </c>
      <c r="Y545" s="301">
        <f t="shared" si="416"/>
        <v>0</v>
      </c>
      <c r="Z545" s="274">
        <f>375/25</f>
        <v>15</v>
      </c>
      <c r="AA545" s="302">
        <f t="shared" si="417"/>
        <v>0</v>
      </c>
    </row>
    <row r="546" spans="1:27" ht="28.35" customHeight="1">
      <c r="A546" s="325">
        <v>31</v>
      </c>
      <c r="B546" s="299"/>
      <c r="C546" s="299" t="s">
        <v>1044</v>
      </c>
      <c r="D546" s="300" t="s">
        <v>364</v>
      </c>
      <c r="E546" s="334">
        <v>0</v>
      </c>
      <c r="F546" s="334">
        <v>0</v>
      </c>
      <c r="G546" s="334"/>
      <c r="H546" s="335">
        <f t="shared" si="418"/>
        <v>0</v>
      </c>
      <c r="I546" s="301">
        <f t="shared" ref="I546:I547" si="426">H546*$Z546</f>
        <v>0</v>
      </c>
      <c r="J546" s="334">
        <v>0</v>
      </c>
      <c r="K546" s="334">
        <v>0</v>
      </c>
      <c r="L546" s="334">
        <v>0</v>
      </c>
      <c r="M546" s="335">
        <f t="shared" si="419"/>
        <v>0</v>
      </c>
      <c r="N546" s="301">
        <f t="shared" ref="N546:N547" si="427">M546*$Z546</f>
        <v>0</v>
      </c>
      <c r="O546" s="334">
        <v>0</v>
      </c>
      <c r="P546" s="334">
        <v>0</v>
      </c>
      <c r="Q546" s="334">
        <v>0</v>
      </c>
      <c r="R546" s="335">
        <f t="shared" si="420"/>
        <v>0</v>
      </c>
      <c r="S546" s="301">
        <f t="shared" ref="S546:S547" si="428">R546*$Z546</f>
        <v>0</v>
      </c>
      <c r="T546" s="334">
        <v>0</v>
      </c>
      <c r="U546" s="334">
        <v>0</v>
      </c>
      <c r="V546" s="334">
        <v>0</v>
      </c>
      <c r="W546" s="335">
        <f t="shared" si="421"/>
        <v>0</v>
      </c>
      <c r="X546" s="301">
        <f t="shared" ref="X546:X547" si="429">W546*$Z546</f>
        <v>0</v>
      </c>
      <c r="Y546" s="301">
        <f t="shared" si="416"/>
        <v>0</v>
      </c>
      <c r="Z546" s="274">
        <f>900/30</f>
        <v>30</v>
      </c>
      <c r="AA546" s="302">
        <f t="shared" si="417"/>
        <v>0</v>
      </c>
    </row>
    <row r="547" spans="1:27" ht="28.35" customHeight="1" thickBot="1">
      <c r="A547" s="331">
        <v>32</v>
      </c>
      <c r="B547" s="299"/>
      <c r="C547" s="299" t="s">
        <v>1045</v>
      </c>
      <c r="D547" s="300" t="s">
        <v>364</v>
      </c>
      <c r="E547" s="334"/>
      <c r="F547" s="334">
        <v>0</v>
      </c>
      <c r="G547" s="334">
        <v>0</v>
      </c>
      <c r="H547" s="335">
        <f t="shared" si="418"/>
        <v>0</v>
      </c>
      <c r="I547" s="301">
        <f t="shared" si="426"/>
        <v>0</v>
      </c>
      <c r="J547" s="334"/>
      <c r="K547" s="334">
        <v>0</v>
      </c>
      <c r="L547" s="334">
        <v>0</v>
      </c>
      <c r="M547" s="335">
        <f t="shared" si="419"/>
        <v>0</v>
      </c>
      <c r="N547" s="301">
        <f t="shared" si="427"/>
        <v>0</v>
      </c>
      <c r="O547" s="334"/>
      <c r="P547" s="334">
        <v>0</v>
      </c>
      <c r="Q547" s="334">
        <v>0</v>
      </c>
      <c r="R547" s="335">
        <f t="shared" si="420"/>
        <v>0</v>
      </c>
      <c r="S547" s="301">
        <f t="shared" si="428"/>
        <v>0</v>
      </c>
      <c r="T547" s="334"/>
      <c r="U547" s="334">
        <v>0</v>
      </c>
      <c r="V547" s="334">
        <v>0</v>
      </c>
      <c r="W547" s="335">
        <f t="shared" si="421"/>
        <v>0</v>
      </c>
      <c r="X547" s="301">
        <f t="shared" si="429"/>
        <v>0</v>
      </c>
      <c r="Y547" s="301">
        <f t="shared" si="416"/>
        <v>0</v>
      </c>
      <c r="Z547" s="274">
        <f>1536/48</f>
        <v>32</v>
      </c>
      <c r="AA547" s="302">
        <f t="shared" si="417"/>
        <v>0</v>
      </c>
    </row>
    <row r="548" spans="1:27" ht="28.35" customHeight="1">
      <c r="A548" s="325">
        <v>33</v>
      </c>
      <c r="B548" s="299"/>
      <c r="C548" s="299" t="s">
        <v>1046</v>
      </c>
      <c r="D548" s="300" t="s">
        <v>364</v>
      </c>
      <c r="E548" s="334"/>
      <c r="F548" s="334"/>
      <c r="G548" s="334"/>
      <c r="H548" s="335">
        <f t="shared" si="418"/>
        <v>0</v>
      </c>
      <c r="I548" s="301">
        <f>H548*$Z548</f>
        <v>0</v>
      </c>
      <c r="J548" s="334"/>
      <c r="K548" s="334">
        <f t="shared" si="423"/>
        <v>0</v>
      </c>
      <c r="L548" s="334"/>
      <c r="M548" s="335">
        <f t="shared" si="419"/>
        <v>0</v>
      </c>
      <c r="N548" s="301">
        <f>M548*$Z548</f>
        <v>0</v>
      </c>
      <c r="O548" s="334"/>
      <c r="P548" s="334"/>
      <c r="Q548" s="334">
        <f t="shared" si="424"/>
        <v>0</v>
      </c>
      <c r="R548" s="335">
        <f t="shared" si="420"/>
        <v>0</v>
      </c>
      <c r="S548" s="301">
        <f>R548*$Z548</f>
        <v>0</v>
      </c>
      <c r="T548" s="334"/>
      <c r="U548" s="334">
        <f t="shared" si="425"/>
        <v>0</v>
      </c>
      <c r="V548" s="334">
        <f t="shared" si="425"/>
        <v>0</v>
      </c>
      <c r="W548" s="335">
        <f t="shared" si="421"/>
        <v>0</v>
      </c>
      <c r="X548" s="301">
        <f>W548*$Z548</f>
        <v>0</v>
      </c>
      <c r="Y548" s="301">
        <f t="shared" si="416"/>
        <v>0</v>
      </c>
      <c r="Z548" s="274">
        <f>1125/25</f>
        <v>45</v>
      </c>
      <c r="AA548" s="302">
        <f t="shared" si="417"/>
        <v>0</v>
      </c>
    </row>
    <row r="549" spans="1:27" ht="28.35" customHeight="1" thickBot="1">
      <c r="A549" s="331">
        <v>34</v>
      </c>
      <c r="B549" s="299"/>
      <c r="C549" s="299" t="s">
        <v>1047</v>
      </c>
      <c r="D549" s="300" t="s">
        <v>354</v>
      </c>
      <c r="E549" s="334">
        <f>0+0</f>
        <v>0</v>
      </c>
      <c r="F549" s="334">
        <f t="shared" ref="F549:F550" si="430">0+0</f>
        <v>0</v>
      </c>
      <c r="G549" s="334"/>
      <c r="H549" s="335">
        <f t="shared" si="418"/>
        <v>0</v>
      </c>
      <c r="I549" s="301">
        <f>H549*$Z549</f>
        <v>0</v>
      </c>
      <c r="J549" s="334">
        <f t="shared" si="423"/>
        <v>0</v>
      </c>
      <c r="K549" s="334">
        <f t="shared" si="423"/>
        <v>0</v>
      </c>
      <c r="L549" s="334">
        <f>0+0</f>
        <v>0</v>
      </c>
      <c r="M549" s="335">
        <f t="shared" si="419"/>
        <v>0</v>
      </c>
      <c r="N549" s="301">
        <f>M549*$Z549</f>
        <v>0</v>
      </c>
      <c r="O549" s="334">
        <f>0+0</f>
        <v>0</v>
      </c>
      <c r="P549" s="334">
        <f t="shared" si="424"/>
        <v>0</v>
      </c>
      <c r="Q549" s="334">
        <f t="shared" si="424"/>
        <v>0</v>
      </c>
      <c r="R549" s="335">
        <f t="shared" si="420"/>
        <v>0</v>
      </c>
      <c r="S549" s="301">
        <f>R549*$Z549</f>
        <v>0</v>
      </c>
      <c r="T549" s="334">
        <f>0+0</f>
        <v>0</v>
      </c>
      <c r="U549" s="334">
        <f t="shared" si="425"/>
        <v>0</v>
      </c>
      <c r="V549" s="334">
        <f t="shared" si="425"/>
        <v>0</v>
      </c>
      <c r="W549" s="335">
        <f t="shared" si="421"/>
        <v>0</v>
      </c>
      <c r="X549" s="301">
        <f>W549*$Z549</f>
        <v>0</v>
      </c>
      <c r="Y549" s="301">
        <f t="shared" si="416"/>
        <v>0</v>
      </c>
      <c r="Z549" s="274">
        <f>211.33</f>
        <v>211.33</v>
      </c>
      <c r="AA549" s="302">
        <f t="shared" si="417"/>
        <v>0</v>
      </c>
    </row>
    <row r="550" spans="1:27" ht="28.35" customHeight="1">
      <c r="A550" s="325">
        <v>35</v>
      </c>
      <c r="B550" s="299"/>
      <c r="C550" s="299" t="s">
        <v>1048</v>
      </c>
      <c r="D550" s="300" t="s">
        <v>364</v>
      </c>
      <c r="E550" s="334">
        <f>0+0</f>
        <v>0</v>
      </c>
      <c r="F550" s="334">
        <f t="shared" si="430"/>
        <v>0</v>
      </c>
      <c r="G550" s="334"/>
      <c r="H550" s="335">
        <f t="shared" si="418"/>
        <v>0</v>
      </c>
      <c r="I550" s="301">
        <f>H550*$Z550</f>
        <v>0</v>
      </c>
      <c r="J550" s="334">
        <f t="shared" si="423"/>
        <v>0</v>
      </c>
      <c r="K550" s="334">
        <f t="shared" si="423"/>
        <v>0</v>
      </c>
      <c r="L550" s="334"/>
      <c r="M550" s="335">
        <f t="shared" si="419"/>
        <v>0</v>
      </c>
      <c r="N550" s="301">
        <f>M550*$Z550</f>
        <v>0</v>
      </c>
      <c r="O550" s="334">
        <f>0+0</f>
        <v>0</v>
      </c>
      <c r="P550" s="334">
        <f t="shared" si="424"/>
        <v>0</v>
      </c>
      <c r="Q550" s="334">
        <f t="shared" si="424"/>
        <v>0</v>
      </c>
      <c r="R550" s="335">
        <f t="shared" si="420"/>
        <v>0</v>
      </c>
      <c r="S550" s="301">
        <f>R550*$Z550</f>
        <v>0</v>
      </c>
      <c r="T550" s="334">
        <f>0+0</f>
        <v>0</v>
      </c>
      <c r="U550" s="334">
        <f t="shared" si="425"/>
        <v>0</v>
      </c>
      <c r="V550" s="334">
        <f t="shared" si="425"/>
        <v>0</v>
      </c>
      <c r="W550" s="335">
        <f t="shared" si="421"/>
        <v>0</v>
      </c>
      <c r="X550" s="301">
        <f>W550*$Z550</f>
        <v>0</v>
      </c>
      <c r="Y550" s="301">
        <f t="shared" si="416"/>
        <v>0</v>
      </c>
      <c r="Z550" s="274">
        <f>1125/25</f>
        <v>45</v>
      </c>
      <c r="AA550" s="302">
        <f t="shared" si="417"/>
        <v>0</v>
      </c>
    </row>
    <row r="551" spans="1:27" ht="28.35" customHeight="1" thickBot="1">
      <c r="A551" s="331">
        <v>36</v>
      </c>
      <c r="B551" s="299"/>
      <c r="C551" s="299" t="s">
        <v>1049</v>
      </c>
      <c r="D551" s="300" t="s">
        <v>420</v>
      </c>
      <c r="E551" s="334">
        <v>0</v>
      </c>
      <c r="F551" s="334">
        <v>0</v>
      </c>
      <c r="G551" s="334">
        <v>0</v>
      </c>
      <c r="H551" s="335">
        <f t="shared" si="418"/>
        <v>0</v>
      </c>
      <c r="I551" s="301">
        <f t="shared" ref="I551:I555" si="431">H551*$Z551</f>
        <v>0</v>
      </c>
      <c r="J551" s="334">
        <v>0</v>
      </c>
      <c r="K551" s="334">
        <v>0</v>
      </c>
      <c r="L551" s="334"/>
      <c r="M551" s="335">
        <f t="shared" si="419"/>
        <v>0</v>
      </c>
      <c r="N551" s="301">
        <f>M551*$Z551</f>
        <v>0</v>
      </c>
      <c r="O551" s="334">
        <v>0</v>
      </c>
      <c r="P551" s="334">
        <v>0</v>
      </c>
      <c r="Q551" s="334">
        <v>0</v>
      </c>
      <c r="R551" s="335">
        <f t="shared" si="420"/>
        <v>0</v>
      </c>
      <c r="S551" s="301">
        <f t="shared" ref="S551:S555" si="432">R551*$Z551</f>
        <v>0</v>
      </c>
      <c r="T551" s="334">
        <v>0</v>
      </c>
      <c r="U551" s="334">
        <v>0</v>
      </c>
      <c r="V551" s="334">
        <v>0</v>
      </c>
      <c r="W551" s="335">
        <f t="shared" si="421"/>
        <v>0</v>
      </c>
      <c r="X551" s="301">
        <f t="shared" ref="X551:X555" si="433">W551*$Z551</f>
        <v>0</v>
      </c>
      <c r="Y551" s="301">
        <f t="shared" si="416"/>
        <v>0</v>
      </c>
      <c r="Z551" s="274">
        <f>729/1</f>
        <v>729</v>
      </c>
      <c r="AA551" s="302">
        <f>Y551*Z551</f>
        <v>0</v>
      </c>
    </row>
    <row r="552" spans="1:27" ht="28.35" customHeight="1">
      <c r="A552" s="325">
        <v>37</v>
      </c>
      <c r="B552" s="299"/>
      <c r="C552" s="299" t="s">
        <v>1050</v>
      </c>
      <c r="D552" s="300" t="s">
        <v>364</v>
      </c>
      <c r="E552" s="334"/>
      <c r="F552" s="334">
        <v>0</v>
      </c>
      <c r="G552" s="334"/>
      <c r="H552" s="335">
        <f t="shared" si="418"/>
        <v>0</v>
      </c>
      <c r="I552" s="301">
        <f t="shared" si="431"/>
        <v>0</v>
      </c>
      <c r="J552" s="334"/>
      <c r="K552" s="334">
        <v>0</v>
      </c>
      <c r="L552" s="334"/>
      <c r="M552" s="335">
        <f t="shared" si="419"/>
        <v>0</v>
      </c>
      <c r="N552" s="301">
        <f t="shared" ref="N552:N555" si="434">M552*$Z552</f>
        <v>0</v>
      </c>
      <c r="O552" s="334"/>
      <c r="P552" s="334">
        <v>0</v>
      </c>
      <c r="Q552" s="334"/>
      <c r="R552" s="335">
        <f t="shared" si="420"/>
        <v>0</v>
      </c>
      <c r="S552" s="301">
        <f t="shared" si="432"/>
        <v>0</v>
      </c>
      <c r="T552" s="334"/>
      <c r="U552" s="334">
        <v>0</v>
      </c>
      <c r="V552" s="334"/>
      <c r="W552" s="335">
        <f t="shared" si="421"/>
        <v>0</v>
      </c>
      <c r="X552" s="301">
        <f t="shared" si="433"/>
        <v>0</v>
      </c>
      <c r="Y552" s="301">
        <f t="shared" si="416"/>
        <v>0</v>
      </c>
      <c r="Z552" s="274">
        <f>295.56/18</f>
        <v>16.420000000000002</v>
      </c>
      <c r="AA552" s="302">
        <f t="shared" ref="AA552:AA555" si="435">Y552*Z552</f>
        <v>0</v>
      </c>
    </row>
    <row r="553" spans="1:27" ht="28.35" customHeight="1" thickBot="1">
      <c r="A553" s="331">
        <v>38</v>
      </c>
      <c r="B553" s="299"/>
      <c r="C553" s="299" t="s">
        <v>1050</v>
      </c>
      <c r="D553" s="300" t="s">
        <v>364</v>
      </c>
      <c r="E553" s="334"/>
      <c r="F553" s="334">
        <v>0</v>
      </c>
      <c r="G553" s="334">
        <v>0</v>
      </c>
      <c r="H553" s="335">
        <f t="shared" si="418"/>
        <v>0</v>
      </c>
      <c r="I553" s="301">
        <f t="shared" si="431"/>
        <v>0</v>
      </c>
      <c r="J553" s="334">
        <v>0</v>
      </c>
      <c r="K553" s="334">
        <v>0</v>
      </c>
      <c r="L553" s="334">
        <v>0</v>
      </c>
      <c r="M553" s="335">
        <f t="shared" si="419"/>
        <v>0</v>
      </c>
      <c r="N553" s="301">
        <f t="shared" si="434"/>
        <v>0</v>
      </c>
      <c r="O553" s="334">
        <v>0</v>
      </c>
      <c r="P553" s="334">
        <v>0</v>
      </c>
      <c r="Q553" s="334">
        <v>0</v>
      </c>
      <c r="R553" s="335">
        <f t="shared" si="420"/>
        <v>0</v>
      </c>
      <c r="S553" s="301">
        <f t="shared" si="432"/>
        <v>0</v>
      </c>
      <c r="T553" s="334">
        <v>0</v>
      </c>
      <c r="U553" s="334">
        <v>0</v>
      </c>
      <c r="V553" s="334">
        <v>0</v>
      </c>
      <c r="W553" s="335">
        <f t="shared" si="421"/>
        <v>0</v>
      </c>
      <c r="X553" s="301">
        <f t="shared" si="433"/>
        <v>0</v>
      </c>
      <c r="Y553" s="301">
        <f t="shared" si="416"/>
        <v>0</v>
      </c>
      <c r="Z553" s="274">
        <f>72/4</f>
        <v>18</v>
      </c>
      <c r="AA553" s="302">
        <f t="shared" si="435"/>
        <v>0</v>
      </c>
    </row>
    <row r="554" spans="1:27" ht="28.35" customHeight="1">
      <c r="A554" s="325">
        <v>39</v>
      </c>
      <c r="B554" s="299"/>
      <c r="C554" s="299" t="s">
        <v>1050</v>
      </c>
      <c r="D554" s="300" t="s">
        <v>364</v>
      </c>
      <c r="E554" s="334">
        <v>0</v>
      </c>
      <c r="F554" s="334">
        <v>0</v>
      </c>
      <c r="G554" s="334"/>
      <c r="H554" s="335">
        <f t="shared" si="418"/>
        <v>0</v>
      </c>
      <c r="I554" s="301" t="e">
        <f t="shared" si="431"/>
        <v>#DIV/0!</v>
      </c>
      <c r="J554" s="334">
        <v>0</v>
      </c>
      <c r="K554" s="334">
        <v>0</v>
      </c>
      <c r="L554" s="334">
        <v>0</v>
      </c>
      <c r="M554" s="335">
        <f t="shared" si="419"/>
        <v>0</v>
      </c>
      <c r="N554" s="301" t="e">
        <f t="shared" si="434"/>
        <v>#DIV/0!</v>
      </c>
      <c r="O554" s="334">
        <v>0</v>
      </c>
      <c r="P554" s="334">
        <v>0</v>
      </c>
      <c r="Q554" s="334">
        <v>0</v>
      </c>
      <c r="R554" s="335">
        <f t="shared" si="420"/>
        <v>0</v>
      </c>
      <c r="S554" s="301" t="e">
        <f t="shared" si="432"/>
        <v>#DIV/0!</v>
      </c>
      <c r="T554" s="334">
        <v>0</v>
      </c>
      <c r="U554" s="334">
        <v>0</v>
      </c>
      <c r="V554" s="334">
        <v>0</v>
      </c>
      <c r="W554" s="335">
        <f t="shared" si="421"/>
        <v>0</v>
      </c>
      <c r="X554" s="301" t="e">
        <f t="shared" si="433"/>
        <v>#DIV/0!</v>
      </c>
      <c r="Y554" s="301">
        <f t="shared" si="416"/>
        <v>0</v>
      </c>
      <c r="Z554" s="274" t="e">
        <f>16.42/Y554</f>
        <v>#DIV/0!</v>
      </c>
      <c r="AA554" s="302" t="e">
        <f t="shared" si="435"/>
        <v>#DIV/0!</v>
      </c>
    </row>
    <row r="555" spans="1:27" ht="28.35" customHeight="1" thickBot="1">
      <c r="A555" s="331">
        <v>40</v>
      </c>
      <c r="B555" s="299"/>
      <c r="C555" s="299" t="s">
        <v>1051</v>
      </c>
      <c r="D555" s="300" t="s">
        <v>364</v>
      </c>
      <c r="E555" s="334"/>
      <c r="F555" s="334">
        <v>0</v>
      </c>
      <c r="G555" s="334">
        <v>0</v>
      </c>
      <c r="H555" s="335">
        <f t="shared" ref="H555" si="436">SUM(E555:G555)</f>
        <v>0</v>
      </c>
      <c r="I555" s="301" t="e">
        <f t="shared" si="431"/>
        <v>#DIV/0!</v>
      </c>
      <c r="J555" s="334">
        <v>0</v>
      </c>
      <c r="K555" s="334">
        <v>0</v>
      </c>
      <c r="L555" s="334">
        <v>0</v>
      </c>
      <c r="M555" s="335">
        <f t="shared" si="419"/>
        <v>0</v>
      </c>
      <c r="N555" s="301" t="e">
        <f t="shared" si="434"/>
        <v>#DIV/0!</v>
      </c>
      <c r="O555" s="334">
        <v>0</v>
      </c>
      <c r="P555" s="334">
        <v>0</v>
      </c>
      <c r="Q555" s="334">
        <v>0</v>
      </c>
      <c r="R555" s="335">
        <f t="shared" si="420"/>
        <v>0</v>
      </c>
      <c r="S555" s="301" t="e">
        <f t="shared" si="432"/>
        <v>#DIV/0!</v>
      </c>
      <c r="T555" s="334">
        <v>0</v>
      </c>
      <c r="U555" s="334">
        <v>0</v>
      </c>
      <c r="V555" s="334">
        <v>0</v>
      </c>
      <c r="W555" s="335">
        <f t="shared" si="421"/>
        <v>0</v>
      </c>
      <c r="X555" s="301" t="e">
        <f t="shared" si="433"/>
        <v>#DIV/0!</v>
      </c>
      <c r="Y555" s="301">
        <f t="shared" si="416"/>
        <v>0</v>
      </c>
      <c r="Z555" s="274" t="e">
        <f>60/Y555</f>
        <v>#DIV/0!</v>
      </c>
      <c r="AA555" s="302" t="e">
        <f t="shared" si="435"/>
        <v>#DIV/0!</v>
      </c>
    </row>
    <row r="556" spans="1:27" ht="28.35" customHeight="1">
      <c r="A556" s="325">
        <v>41</v>
      </c>
      <c r="B556" s="299"/>
      <c r="C556" s="299" t="s">
        <v>1052</v>
      </c>
      <c r="D556" s="342" t="s">
        <v>364</v>
      </c>
      <c r="E556" s="342"/>
      <c r="F556" s="342">
        <f>0+0</f>
        <v>0</v>
      </c>
      <c r="G556" s="342"/>
      <c r="H556" s="343">
        <f>SUM(E556:G556)</f>
        <v>0</v>
      </c>
      <c r="I556" s="296">
        <f>H556*$Z556</f>
        <v>0</v>
      </c>
      <c r="J556" s="342">
        <f>0+0</f>
        <v>0</v>
      </c>
      <c r="K556" s="342">
        <f>0+0</f>
        <v>0</v>
      </c>
      <c r="L556" s="342"/>
      <c r="M556" s="343">
        <f>SUM(J556:L556)</f>
        <v>0</v>
      </c>
      <c r="N556" s="296">
        <f>M556*$Z556</f>
        <v>0</v>
      </c>
      <c r="O556" s="342">
        <f>0+0</f>
        <v>0</v>
      </c>
      <c r="P556" s="342">
        <f>0+0</f>
        <v>0</v>
      </c>
      <c r="Q556" s="342"/>
      <c r="R556" s="343">
        <f>SUM(O556:Q556)</f>
        <v>0</v>
      </c>
      <c r="S556" s="296">
        <f>R556*$Z556</f>
        <v>0</v>
      </c>
      <c r="T556" s="342">
        <f>0+0</f>
        <v>0</v>
      </c>
      <c r="U556" s="342">
        <f>0+0</f>
        <v>0</v>
      </c>
      <c r="V556" s="342"/>
      <c r="W556" s="343">
        <f>SUM(T556:V556)</f>
        <v>0</v>
      </c>
      <c r="X556" s="296">
        <f>W556*$Z556</f>
        <v>0</v>
      </c>
      <c r="Y556" s="296">
        <f>H556+M556+R556+W556</f>
        <v>0</v>
      </c>
      <c r="Z556" s="268">
        <f>11583/27</f>
        <v>429</v>
      </c>
      <c r="AA556" s="297">
        <f>Y556*Z556</f>
        <v>0</v>
      </c>
    </row>
    <row r="557" spans="1:27" ht="28.35" customHeight="1" thickBot="1">
      <c r="A557" s="331">
        <v>42</v>
      </c>
      <c r="B557" s="299"/>
      <c r="C557" s="299" t="s">
        <v>1052</v>
      </c>
      <c r="D557" s="300" t="s">
        <v>364</v>
      </c>
      <c r="E557" s="334">
        <v>0</v>
      </c>
      <c r="F557" s="334">
        <v>0</v>
      </c>
      <c r="G557" s="334"/>
      <c r="H557" s="335">
        <f t="shared" ref="H557" si="437">SUM(E557:G557)</f>
        <v>0</v>
      </c>
      <c r="I557" s="301" t="e">
        <f>H557*$Z557</f>
        <v>#DIV/0!</v>
      </c>
      <c r="J557" s="334">
        <v>0</v>
      </c>
      <c r="K557" s="334">
        <v>0</v>
      </c>
      <c r="L557" s="334">
        <v>0</v>
      </c>
      <c r="M557" s="335">
        <f t="shared" ref="M557:M559" si="438">SUM(J557:L557)</f>
        <v>0</v>
      </c>
      <c r="N557" s="301" t="e">
        <f>M557*$Z557</f>
        <v>#DIV/0!</v>
      </c>
      <c r="O557" s="334">
        <v>0</v>
      </c>
      <c r="P557" s="334"/>
      <c r="Q557" s="334">
        <v>0</v>
      </c>
      <c r="R557" s="335">
        <f t="shared" ref="R557:R559" si="439">SUM(O557:Q557)</f>
        <v>0</v>
      </c>
      <c r="S557" s="301" t="e">
        <f>R557*$Z557</f>
        <v>#DIV/0!</v>
      </c>
      <c r="T557" s="334">
        <v>0</v>
      </c>
      <c r="U557" s="334">
        <v>0</v>
      </c>
      <c r="V557" s="334">
        <v>0</v>
      </c>
      <c r="W557" s="335">
        <f t="shared" ref="W557:W559" si="440">SUM(T557:V557)</f>
        <v>0</v>
      </c>
      <c r="X557" s="301" t="e">
        <f>W557*$Z557</f>
        <v>#DIV/0!</v>
      </c>
      <c r="Y557" s="301">
        <f>H557+M557+R557+W557</f>
        <v>0</v>
      </c>
      <c r="Z557" s="274" t="e">
        <f>840/Y557</f>
        <v>#DIV/0!</v>
      </c>
      <c r="AA557" s="302" t="e">
        <f>Y557*Z557</f>
        <v>#DIV/0!</v>
      </c>
    </row>
    <row r="558" spans="1:27" ht="28.35" customHeight="1">
      <c r="A558" s="325">
        <v>43</v>
      </c>
      <c r="B558" s="299"/>
      <c r="C558" s="299" t="s">
        <v>1052</v>
      </c>
      <c r="D558" s="300" t="s">
        <v>364</v>
      </c>
      <c r="E558" s="334"/>
      <c r="F558" s="334">
        <v>0</v>
      </c>
      <c r="G558" s="334">
        <v>0</v>
      </c>
      <c r="H558" s="335">
        <f t="shared" ref="H558" si="441">SUM(E558:G558)</f>
        <v>0</v>
      </c>
      <c r="I558" s="301" t="e">
        <f>H558*$Z558</f>
        <v>#DIV/0!</v>
      </c>
      <c r="J558" s="334">
        <v>0</v>
      </c>
      <c r="K558" s="334">
        <v>0</v>
      </c>
      <c r="L558" s="334">
        <v>0</v>
      </c>
      <c r="M558" s="335">
        <f t="shared" si="438"/>
        <v>0</v>
      </c>
      <c r="N558" s="301" t="e">
        <f>M558*$Z558</f>
        <v>#DIV/0!</v>
      </c>
      <c r="O558" s="334"/>
      <c r="P558" s="334">
        <v>0</v>
      </c>
      <c r="Q558" s="334">
        <v>0</v>
      </c>
      <c r="R558" s="335">
        <f t="shared" si="439"/>
        <v>0</v>
      </c>
      <c r="S558" s="301" t="e">
        <f>R558*$Z558</f>
        <v>#DIV/0!</v>
      </c>
      <c r="T558" s="334">
        <v>0</v>
      </c>
      <c r="U558" s="334">
        <v>0</v>
      </c>
      <c r="V558" s="334">
        <v>0</v>
      </c>
      <c r="W558" s="335">
        <f t="shared" si="440"/>
        <v>0</v>
      </c>
      <c r="X558" s="301" t="e">
        <f>W558*$Z558</f>
        <v>#DIV/0!</v>
      </c>
      <c r="Y558" s="301">
        <f>H558+M558+R558+W558</f>
        <v>0</v>
      </c>
      <c r="Z558" s="274" t="e">
        <f>9120/Y558</f>
        <v>#DIV/0!</v>
      </c>
      <c r="AA558" s="302" t="e">
        <f>Y558*Z558</f>
        <v>#DIV/0!</v>
      </c>
    </row>
    <row r="559" spans="1:27" ht="28.35" customHeight="1" thickBot="1">
      <c r="A559" s="331">
        <v>44</v>
      </c>
      <c r="B559" s="299"/>
      <c r="C559" s="299" t="s">
        <v>1053</v>
      </c>
      <c r="D559" s="300" t="s">
        <v>364</v>
      </c>
      <c r="E559" s="334"/>
      <c r="F559" s="334">
        <v>0</v>
      </c>
      <c r="G559" s="334">
        <v>0</v>
      </c>
      <c r="H559" s="335">
        <f t="shared" ref="H559" si="442">SUM(E559:G559)</f>
        <v>0</v>
      </c>
      <c r="I559" s="301">
        <f t="shared" ref="I559:I560" si="443">H559*$Z559</f>
        <v>0</v>
      </c>
      <c r="J559" s="334">
        <v>0</v>
      </c>
      <c r="K559" s="334">
        <v>0</v>
      </c>
      <c r="L559" s="334">
        <v>0</v>
      </c>
      <c r="M559" s="335">
        <f t="shared" si="438"/>
        <v>0</v>
      </c>
      <c r="N559" s="301">
        <f t="shared" ref="N559:N560" si="444">M559*$Z559</f>
        <v>0</v>
      </c>
      <c r="O559" s="334">
        <v>0</v>
      </c>
      <c r="P559" s="334">
        <v>0</v>
      </c>
      <c r="Q559" s="334">
        <v>0</v>
      </c>
      <c r="R559" s="335">
        <f t="shared" si="439"/>
        <v>0</v>
      </c>
      <c r="S559" s="301">
        <f t="shared" ref="S559:S560" si="445">R559*$Z559</f>
        <v>0</v>
      </c>
      <c r="T559" s="334">
        <v>0</v>
      </c>
      <c r="U559" s="334">
        <v>0</v>
      </c>
      <c r="V559" s="334">
        <v>0</v>
      </c>
      <c r="W559" s="335">
        <f t="shared" si="440"/>
        <v>0</v>
      </c>
      <c r="X559" s="301">
        <f t="shared" ref="X559:X560" si="446">W559*$Z559</f>
        <v>0</v>
      </c>
      <c r="Y559" s="301">
        <f t="shared" ref="Y559:Y560" si="447">H559+M559+R559+W559</f>
        <v>0</v>
      </c>
      <c r="Z559" s="274">
        <f>174/2</f>
        <v>87</v>
      </c>
      <c r="AA559" s="302">
        <f t="shared" ref="AA559:AA560" si="448">Y559*Z559</f>
        <v>0</v>
      </c>
    </row>
    <row r="560" spans="1:27" ht="28.35" customHeight="1">
      <c r="A560" s="325">
        <v>45</v>
      </c>
      <c r="B560" s="299"/>
      <c r="C560" s="299" t="s">
        <v>1054</v>
      </c>
      <c r="D560" s="300" t="s">
        <v>364</v>
      </c>
      <c r="E560" s="334">
        <v>0</v>
      </c>
      <c r="F560" s="334">
        <v>0</v>
      </c>
      <c r="G560" s="334">
        <v>0</v>
      </c>
      <c r="H560" s="335">
        <f t="shared" ref="H560:H562" si="449">SUM(E560:G560)</f>
        <v>0</v>
      </c>
      <c r="I560" s="301">
        <f t="shared" si="443"/>
        <v>0</v>
      </c>
      <c r="J560" s="334">
        <v>0</v>
      </c>
      <c r="K560" s="334">
        <v>0</v>
      </c>
      <c r="L560" s="334">
        <v>0</v>
      </c>
      <c r="M560" s="335">
        <f t="shared" ref="M560" si="450">SUM(J560:L560)</f>
        <v>0</v>
      </c>
      <c r="N560" s="301">
        <f t="shared" si="444"/>
        <v>0</v>
      </c>
      <c r="O560" s="334">
        <v>0</v>
      </c>
      <c r="P560" s="334">
        <v>0</v>
      </c>
      <c r="Q560" s="334">
        <v>0</v>
      </c>
      <c r="R560" s="335">
        <f t="shared" ref="R560" si="451">SUM(O560:Q560)</f>
        <v>0</v>
      </c>
      <c r="S560" s="301">
        <f t="shared" si="445"/>
        <v>0</v>
      </c>
      <c r="T560" s="334">
        <v>0</v>
      </c>
      <c r="U560" s="334">
        <v>0</v>
      </c>
      <c r="V560" s="334">
        <v>0</v>
      </c>
      <c r="W560" s="335">
        <f t="shared" ref="W560" si="452">SUM(T560:V560)</f>
        <v>0</v>
      </c>
      <c r="X560" s="301">
        <f t="shared" si="446"/>
        <v>0</v>
      </c>
      <c r="Y560" s="301">
        <f t="shared" si="447"/>
        <v>0</v>
      </c>
      <c r="Z560" s="274">
        <f>6000/3</f>
        <v>2000</v>
      </c>
      <c r="AA560" s="302">
        <f t="shared" si="448"/>
        <v>0</v>
      </c>
    </row>
    <row r="561" spans="1:27" ht="28.35" customHeight="1" thickBot="1">
      <c r="A561" s="331">
        <v>46</v>
      </c>
      <c r="B561" s="299"/>
      <c r="C561" s="299" t="s">
        <v>1055</v>
      </c>
      <c r="D561" s="300" t="s">
        <v>364</v>
      </c>
      <c r="E561" s="334">
        <v>0</v>
      </c>
      <c r="F561" s="334">
        <v>0</v>
      </c>
      <c r="G561" s="334">
        <v>0</v>
      </c>
      <c r="H561" s="335">
        <f t="shared" si="449"/>
        <v>0</v>
      </c>
      <c r="I561" s="301">
        <f>H561*$Z561</f>
        <v>0</v>
      </c>
      <c r="J561" s="334">
        <v>0</v>
      </c>
      <c r="K561" s="334">
        <v>0</v>
      </c>
      <c r="L561" s="334">
        <v>0</v>
      </c>
      <c r="M561" s="335">
        <f>SUM(J561:L561)</f>
        <v>0</v>
      </c>
      <c r="N561" s="301">
        <f>M561*$Z561</f>
        <v>0</v>
      </c>
      <c r="O561" s="334">
        <v>0</v>
      </c>
      <c r="P561" s="334">
        <v>0</v>
      </c>
      <c r="Q561" s="334">
        <v>0</v>
      </c>
      <c r="R561" s="335">
        <f>SUM(O561:Q561)</f>
        <v>0</v>
      </c>
      <c r="S561" s="301">
        <f>R561*$Z561</f>
        <v>0</v>
      </c>
      <c r="T561" s="334">
        <v>0</v>
      </c>
      <c r="U561" s="334">
        <v>0</v>
      </c>
      <c r="V561" s="334">
        <v>0</v>
      </c>
      <c r="W561" s="335">
        <f>SUM(T561:V561)</f>
        <v>0</v>
      </c>
      <c r="X561" s="301">
        <f>W561*$Z561</f>
        <v>0</v>
      </c>
      <c r="Y561" s="301">
        <f>H561+M561+R561+W561</f>
        <v>0</v>
      </c>
      <c r="Z561" s="274">
        <f>2200/1</f>
        <v>2200</v>
      </c>
      <c r="AA561" s="302">
        <f>Y561*Z561</f>
        <v>0</v>
      </c>
    </row>
    <row r="562" spans="1:27" ht="28.35" customHeight="1">
      <c r="A562" s="325">
        <v>47</v>
      </c>
      <c r="B562" s="299"/>
      <c r="C562" s="299" t="s">
        <v>1056</v>
      </c>
      <c r="D562" s="300" t="s">
        <v>420</v>
      </c>
      <c r="E562" s="334">
        <v>0</v>
      </c>
      <c r="F562" s="334">
        <v>0</v>
      </c>
      <c r="G562" s="334"/>
      <c r="H562" s="335">
        <f t="shared" si="449"/>
        <v>0</v>
      </c>
      <c r="I562" s="301" t="e">
        <f t="shared" ref="I562" si="453">H562*$Z562</f>
        <v>#DIV/0!</v>
      </c>
      <c r="J562" s="334">
        <v>0</v>
      </c>
      <c r="K562" s="334">
        <v>0</v>
      </c>
      <c r="L562" s="334">
        <v>0</v>
      </c>
      <c r="M562" s="335">
        <f t="shared" ref="M562" si="454">SUM(J562:L562)</f>
        <v>0</v>
      </c>
      <c r="N562" s="301" t="e">
        <f t="shared" ref="N562" si="455">M562*$Z562</f>
        <v>#DIV/0!</v>
      </c>
      <c r="O562" s="334">
        <v>0</v>
      </c>
      <c r="P562" s="334">
        <v>0</v>
      </c>
      <c r="Q562" s="334">
        <v>0</v>
      </c>
      <c r="R562" s="335">
        <f t="shared" ref="R562" si="456">SUM(O562:Q562)</f>
        <v>0</v>
      </c>
      <c r="S562" s="301" t="e">
        <f t="shared" ref="S562" si="457">R562*$Z562</f>
        <v>#DIV/0!</v>
      </c>
      <c r="T562" s="334">
        <v>0</v>
      </c>
      <c r="U562" s="334">
        <v>0</v>
      </c>
      <c r="V562" s="334">
        <v>0</v>
      </c>
      <c r="W562" s="335">
        <f t="shared" ref="W562" si="458">SUM(T562:V562)</f>
        <v>0</v>
      </c>
      <c r="X562" s="301" t="e">
        <f t="shared" ref="X562" si="459">W562*$Z562</f>
        <v>#DIV/0!</v>
      </c>
      <c r="Y562" s="301">
        <f t="shared" ref="Y562" si="460">H562+M562+R562+W562</f>
        <v>0</v>
      </c>
      <c r="Z562" s="274" t="e">
        <f>6500/Y562</f>
        <v>#DIV/0!</v>
      </c>
      <c r="AA562" s="302" t="e">
        <f t="shared" ref="AA562" si="461">Y562*Z562</f>
        <v>#DIV/0!</v>
      </c>
    </row>
    <row r="563" spans="1:27" ht="28.35" customHeight="1" thickBot="1">
      <c r="A563" s="331">
        <v>48</v>
      </c>
      <c r="B563" s="299"/>
      <c r="C563" s="299"/>
      <c r="D563" s="300"/>
      <c r="E563" s="334"/>
      <c r="F563" s="334"/>
      <c r="G563" s="334"/>
      <c r="H563" s="335"/>
      <c r="I563" s="301"/>
      <c r="J563" s="334"/>
      <c r="K563" s="334"/>
      <c r="L563" s="334"/>
      <c r="M563" s="335"/>
      <c r="N563" s="301"/>
      <c r="O563" s="334"/>
      <c r="P563" s="334"/>
      <c r="Q563" s="334"/>
      <c r="R563" s="335"/>
      <c r="S563" s="301"/>
      <c r="T563" s="334"/>
      <c r="U563" s="334"/>
      <c r="V563" s="334"/>
      <c r="W563" s="335"/>
      <c r="X563" s="301"/>
      <c r="Y563" s="301"/>
      <c r="Z563" s="274"/>
      <c r="AA563" s="302"/>
    </row>
    <row r="564" spans="1:27" ht="28.35" customHeight="1">
      <c r="A564" s="325">
        <v>49</v>
      </c>
      <c r="B564" s="299"/>
      <c r="C564" s="299"/>
      <c r="D564" s="300"/>
      <c r="E564" s="334"/>
      <c r="F564" s="334"/>
      <c r="G564" s="334"/>
      <c r="H564" s="335"/>
      <c r="I564" s="301"/>
      <c r="J564" s="334"/>
      <c r="K564" s="334"/>
      <c r="L564" s="334"/>
      <c r="M564" s="335"/>
      <c r="N564" s="301"/>
      <c r="O564" s="334"/>
      <c r="P564" s="334"/>
      <c r="Q564" s="334"/>
      <c r="R564" s="335"/>
      <c r="S564" s="301"/>
      <c r="T564" s="334"/>
      <c r="U564" s="334"/>
      <c r="V564" s="334"/>
      <c r="W564" s="335"/>
      <c r="X564" s="301"/>
      <c r="Y564" s="301"/>
      <c r="Z564" s="274"/>
      <c r="AA564" s="302"/>
    </row>
    <row r="565" spans="1:27" ht="28.35" customHeight="1">
      <c r="A565" s="344"/>
      <c r="B565" s="299"/>
      <c r="C565" s="299"/>
      <c r="D565" s="300"/>
      <c r="E565" s="334"/>
      <c r="F565" s="334"/>
      <c r="G565" s="334"/>
      <c r="H565" s="335"/>
      <c r="I565" s="301"/>
      <c r="J565" s="334"/>
      <c r="K565" s="334"/>
      <c r="L565" s="334"/>
      <c r="M565" s="335"/>
      <c r="N565" s="301"/>
      <c r="O565" s="334"/>
      <c r="P565" s="334"/>
      <c r="Q565" s="334"/>
      <c r="R565" s="335"/>
      <c r="S565" s="301"/>
      <c r="T565" s="334"/>
      <c r="U565" s="334"/>
      <c r="V565" s="334"/>
      <c r="W565" s="335"/>
      <c r="X565" s="301"/>
      <c r="Y565" s="301"/>
      <c r="Z565" s="274"/>
      <c r="AA565" s="302"/>
    </row>
    <row r="566" spans="1:27" ht="30" customHeight="1" thickBot="1">
      <c r="A566" s="331"/>
      <c r="B566" s="299"/>
      <c r="C566" s="299"/>
      <c r="D566" s="300"/>
      <c r="E566" s="334"/>
      <c r="F566" s="334"/>
      <c r="G566" s="334"/>
      <c r="H566" s="335"/>
      <c r="I566" s="301"/>
      <c r="J566" s="334"/>
      <c r="K566" s="334"/>
      <c r="L566" s="334"/>
      <c r="M566" s="335"/>
      <c r="N566" s="301"/>
      <c r="O566" s="334"/>
      <c r="P566" s="334"/>
      <c r="Q566" s="334"/>
      <c r="R566" s="335"/>
      <c r="S566" s="301"/>
      <c r="T566" s="334"/>
      <c r="U566" s="334"/>
      <c r="V566" s="334"/>
      <c r="W566" s="335"/>
      <c r="X566" s="301"/>
      <c r="Y566" s="301"/>
      <c r="Z566" s="274"/>
      <c r="AA566" s="302"/>
    </row>
    <row r="567" spans="1:27" ht="28.35" customHeight="1" thickBot="1">
      <c r="A567" s="256" t="s">
        <v>1057</v>
      </c>
      <c r="B567" s="336"/>
      <c r="C567" s="336"/>
      <c r="D567" s="337"/>
      <c r="E567" s="337"/>
      <c r="F567" s="337"/>
      <c r="G567" s="337"/>
      <c r="H567" s="337"/>
      <c r="I567" s="338"/>
      <c r="J567" s="337"/>
      <c r="K567" s="337"/>
      <c r="L567" s="337"/>
      <c r="M567" s="337"/>
      <c r="N567" s="338"/>
      <c r="O567" s="337"/>
      <c r="P567" s="337"/>
      <c r="Q567" s="337"/>
      <c r="R567" s="337"/>
      <c r="S567" s="338"/>
      <c r="T567" s="337"/>
      <c r="U567" s="337"/>
      <c r="V567" s="337"/>
      <c r="W567" s="337"/>
      <c r="X567" s="338"/>
      <c r="Y567" s="338"/>
      <c r="Z567" s="339"/>
      <c r="AA567" s="340"/>
    </row>
    <row r="568" spans="1:27" ht="28.35" customHeight="1" thickBot="1">
      <c r="A568" s="325">
        <v>1</v>
      </c>
      <c r="B568" s="294"/>
      <c r="C568" s="294" t="s">
        <v>1058</v>
      </c>
      <c r="D568" s="342" t="s">
        <v>364</v>
      </c>
      <c r="E568" s="342">
        <v>0</v>
      </c>
      <c r="F568" s="342">
        <v>0</v>
      </c>
      <c r="G568" s="342">
        <v>0</v>
      </c>
      <c r="H568" s="343">
        <f t="shared" ref="H568:H580" si="462">SUM(E568:G568)</f>
        <v>0</v>
      </c>
      <c r="I568" s="296">
        <f t="shared" ref="I568:I580" si="463">H568*$Z568</f>
        <v>0</v>
      </c>
      <c r="J568" s="342">
        <v>0</v>
      </c>
      <c r="K568" s="342">
        <v>0</v>
      </c>
      <c r="L568" s="342">
        <v>0</v>
      </c>
      <c r="M568" s="343">
        <f t="shared" ref="M568:M580" si="464">SUM(J568:L568)</f>
        <v>0</v>
      </c>
      <c r="N568" s="296">
        <f t="shared" ref="N568:N580" si="465">M568*$Z568</f>
        <v>0</v>
      </c>
      <c r="O568" s="342">
        <v>0</v>
      </c>
      <c r="P568" s="342">
        <v>0</v>
      </c>
      <c r="Q568" s="342">
        <v>0</v>
      </c>
      <c r="R568" s="343">
        <f t="shared" ref="R568:R580" si="466">SUM(O568:Q568)</f>
        <v>0</v>
      </c>
      <c r="S568" s="296">
        <f t="shared" ref="S568:S580" si="467">R568*$Z568</f>
        <v>0</v>
      </c>
      <c r="T568" s="342">
        <v>0</v>
      </c>
      <c r="U568" s="342">
        <v>0</v>
      </c>
      <c r="V568" s="342">
        <v>0</v>
      </c>
      <c r="W568" s="343">
        <f t="shared" ref="W568:W576" si="468">SUM(T568:V568)</f>
        <v>0</v>
      </c>
      <c r="X568" s="296">
        <f t="shared" ref="X568:X580" si="469">W568*$Z568</f>
        <v>0</v>
      </c>
      <c r="Y568" s="296">
        <f t="shared" ref="Y568:Y580" si="470">H568+M568+R568+W568</f>
        <v>0</v>
      </c>
      <c r="Z568" s="268">
        <f>500/1</f>
        <v>500</v>
      </c>
      <c r="AA568" s="297">
        <f t="shared" ref="AA568:AA580" si="471">Y568*Z568</f>
        <v>0</v>
      </c>
    </row>
    <row r="569" spans="1:27" ht="28.35" customHeight="1" thickBot="1">
      <c r="A569" s="331">
        <v>2</v>
      </c>
      <c r="B569" s="299"/>
      <c r="C569" s="294" t="s">
        <v>1058</v>
      </c>
      <c r="D569" s="342" t="s">
        <v>364</v>
      </c>
      <c r="E569" s="342">
        <v>0</v>
      </c>
      <c r="F569" s="342">
        <v>0</v>
      </c>
      <c r="G569" s="342">
        <v>0</v>
      </c>
      <c r="H569" s="343">
        <f t="shared" si="462"/>
        <v>0</v>
      </c>
      <c r="I569" s="296">
        <f t="shared" si="463"/>
        <v>0</v>
      </c>
      <c r="J569" s="342">
        <v>0</v>
      </c>
      <c r="K569" s="342">
        <v>0</v>
      </c>
      <c r="L569" s="342">
        <v>0</v>
      </c>
      <c r="M569" s="343">
        <f t="shared" si="464"/>
        <v>0</v>
      </c>
      <c r="N569" s="296">
        <f t="shared" si="465"/>
        <v>0</v>
      </c>
      <c r="O569" s="342">
        <v>0</v>
      </c>
      <c r="P569" s="342">
        <v>0</v>
      </c>
      <c r="Q569" s="342">
        <v>0</v>
      </c>
      <c r="R569" s="343">
        <f t="shared" si="466"/>
        <v>0</v>
      </c>
      <c r="S569" s="296">
        <f t="shared" si="467"/>
        <v>0</v>
      </c>
      <c r="T569" s="342">
        <v>0</v>
      </c>
      <c r="U569" s="342">
        <v>0</v>
      </c>
      <c r="V569" s="342">
        <v>0</v>
      </c>
      <c r="W569" s="343">
        <f t="shared" si="468"/>
        <v>0</v>
      </c>
      <c r="X569" s="296">
        <f t="shared" si="469"/>
        <v>0</v>
      </c>
      <c r="Y569" s="296">
        <f t="shared" si="470"/>
        <v>0</v>
      </c>
      <c r="Z569" s="268">
        <f>500/1</f>
        <v>500</v>
      </c>
      <c r="AA569" s="297">
        <f t="shared" si="471"/>
        <v>0</v>
      </c>
    </row>
    <row r="570" spans="1:27" ht="28.35" customHeight="1">
      <c r="A570" s="325">
        <v>3</v>
      </c>
      <c r="B570" s="299"/>
      <c r="C570" s="299" t="s">
        <v>1059</v>
      </c>
      <c r="D570" s="300" t="s">
        <v>364</v>
      </c>
      <c r="E570" s="334">
        <v>0</v>
      </c>
      <c r="F570" s="334">
        <v>0</v>
      </c>
      <c r="G570" s="334">
        <v>0</v>
      </c>
      <c r="H570" s="335">
        <f t="shared" si="462"/>
        <v>0</v>
      </c>
      <c r="I570" s="301">
        <f t="shared" si="463"/>
        <v>0</v>
      </c>
      <c r="J570" s="334">
        <v>0</v>
      </c>
      <c r="K570" s="334">
        <v>100</v>
      </c>
      <c r="L570" s="334">
        <v>0</v>
      </c>
      <c r="M570" s="335">
        <f t="shared" si="464"/>
        <v>100</v>
      </c>
      <c r="N570" s="301">
        <f t="shared" si="465"/>
        <v>400</v>
      </c>
      <c r="O570" s="334">
        <v>0</v>
      </c>
      <c r="P570" s="334">
        <v>0</v>
      </c>
      <c r="Q570" s="334">
        <v>0</v>
      </c>
      <c r="R570" s="335">
        <f t="shared" si="466"/>
        <v>0</v>
      </c>
      <c r="S570" s="301">
        <f t="shared" si="467"/>
        <v>0</v>
      </c>
      <c r="T570" s="334">
        <v>0</v>
      </c>
      <c r="U570" s="334">
        <v>0</v>
      </c>
      <c r="V570" s="334">
        <v>0</v>
      </c>
      <c r="W570" s="335">
        <f t="shared" si="468"/>
        <v>0</v>
      </c>
      <c r="X570" s="301">
        <f t="shared" si="469"/>
        <v>0</v>
      </c>
      <c r="Y570" s="301">
        <f t="shared" si="470"/>
        <v>100</v>
      </c>
      <c r="Z570" s="274">
        <f>2000/500</f>
        <v>4</v>
      </c>
      <c r="AA570" s="302">
        <f t="shared" si="471"/>
        <v>400</v>
      </c>
    </row>
    <row r="571" spans="1:27" ht="28.35" customHeight="1" thickBot="1">
      <c r="A571" s="331">
        <v>4</v>
      </c>
      <c r="B571" s="299"/>
      <c r="C571" s="299" t="s">
        <v>1060</v>
      </c>
      <c r="D571" s="300" t="s">
        <v>339</v>
      </c>
      <c r="E571" s="334">
        <v>0</v>
      </c>
      <c r="F571" s="334">
        <v>0</v>
      </c>
      <c r="G571" s="334">
        <v>0</v>
      </c>
      <c r="H571" s="335">
        <f t="shared" si="462"/>
        <v>0</v>
      </c>
      <c r="I571" s="301">
        <f t="shared" si="463"/>
        <v>0</v>
      </c>
      <c r="J571" s="334">
        <v>0</v>
      </c>
      <c r="K571" s="334">
        <v>0</v>
      </c>
      <c r="L571" s="334">
        <v>3</v>
      </c>
      <c r="M571" s="335">
        <f t="shared" si="464"/>
        <v>3</v>
      </c>
      <c r="N571" s="301">
        <f t="shared" si="465"/>
        <v>450</v>
      </c>
      <c r="O571" s="334">
        <v>3</v>
      </c>
      <c r="P571" s="334">
        <v>0</v>
      </c>
      <c r="Q571" s="334">
        <v>0</v>
      </c>
      <c r="R571" s="335">
        <f t="shared" si="466"/>
        <v>3</v>
      </c>
      <c r="S571" s="301">
        <f t="shared" si="467"/>
        <v>450</v>
      </c>
      <c r="T571" s="334">
        <v>5</v>
      </c>
      <c r="U571" s="334">
        <v>3</v>
      </c>
      <c r="V571" s="334">
        <v>0</v>
      </c>
      <c r="W571" s="335">
        <f t="shared" si="468"/>
        <v>8</v>
      </c>
      <c r="X571" s="301">
        <f t="shared" si="469"/>
        <v>1200</v>
      </c>
      <c r="Y571" s="301">
        <f t="shared" si="470"/>
        <v>14</v>
      </c>
      <c r="Z571" s="274">
        <f>1500/10</f>
        <v>150</v>
      </c>
      <c r="AA571" s="302">
        <f t="shared" si="471"/>
        <v>2100</v>
      </c>
    </row>
    <row r="572" spans="1:27" ht="28.35" customHeight="1">
      <c r="A572" s="325">
        <v>5</v>
      </c>
      <c r="B572" s="299"/>
      <c r="C572" s="299" t="s">
        <v>1060</v>
      </c>
      <c r="D572" s="300" t="s">
        <v>364</v>
      </c>
      <c r="E572" s="334">
        <v>0</v>
      </c>
      <c r="F572" s="334">
        <v>0</v>
      </c>
      <c r="G572" s="334">
        <v>0</v>
      </c>
      <c r="H572" s="335">
        <v>20</v>
      </c>
      <c r="I572" s="301">
        <f t="shared" si="463"/>
        <v>360</v>
      </c>
      <c r="J572" s="334">
        <v>40</v>
      </c>
      <c r="K572" s="334">
        <v>0</v>
      </c>
      <c r="L572" s="334">
        <v>0</v>
      </c>
      <c r="M572" s="335">
        <f t="shared" si="464"/>
        <v>40</v>
      </c>
      <c r="N572" s="301">
        <f t="shared" si="465"/>
        <v>720</v>
      </c>
      <c r="O572" s="334">
        <v>30</v>
      </c>
      <c r="P572" s="334">
        <v>0</v>
      </c>
      <c r="Q572" s="334">
        <v>0</v>
      </c>
      <c r="R572" s="335">
        <f t="shared" si="466"/>
        <v>30</v>
      </c>
      <c r="S572" s="301">
        <f t="shared" si="467"/>
        <v>540</v>
      </c>
      <c r="T572" s="334">
        <v>30</v>
      </c>
      <c r="U572" s="334">
        <v>0</v>
      </c>
      <c r="V572" s="334">
        <v>0</v>
      </c>
      <c r="W572" s="335">
        <f t="shared" si="468"/>
        <v>30</v>
      </c>
      <c r="X572" s="301">
        <f t="shared" si="469"/>
        <v>540</v>
      </c>
      <c r="Y572" s="301">
        <f t="shared" si="470"/>
        <v>120</v>
      </c>
      <c r="Z572" s="274">
        <f>2160/120</f>
        <v>18</v>
      </c>
      <c r="AA572" s="302">
        <f>Y572*Z572</f>
        <v>2160</v>
      </c>
    </row>
    <row r="573" spans="1:27" ht="28.35" customHeight="1" thickBot="1">
      <c r="A573" s="331">
        <v>6</v>
      </c>
      <c r="B573" s="299"/>
      <c r="C573" s="299" t="s">
        <v>1061</v>
      </c>
      <c r="D573" s="300" t="s">
        <v>339</v>
      </c>
      <c r="E573" s="334">
        <v>0</v>
      </c>
      <c r="F573" s="334">
        <v>0</v>
      </c>
      <c r="G573" s="334">
        <v>0</v>
      </c>
      <c r="H573" s="335">
        <f t="shared" si="462"/>
        <v>0</v>
      </c>
      <c r="I573" s="301">
        <f t="shared" si="463"/>
        <v>0</v>
      </c>
      <c r="J573" s="334">
        <v>0</v>
      </c>
      <c r="K573" s="334">
        <v>3</v>
      </c>
      <c r="L573" s="334">
        <v>20</v>
      </c>
      <c r="M573" s="335">
        <f t="shared" si="464"/>
        <v>23</v>
      </c>
      <c r="N573" s="301">
        <f t="shared" si="465"/>
        <v>2645</v>
      </c>
      <c r="O573" s="334">
        <f>5+2</f>
        <v>7</v>
      </c>
      <c r="P573" s="334">
        <v>0</v>
      </c>
      <c r="Q573" s="334">
        <v>0</v>
      </c>
      <c r="R573" s="335">
        <f t="shared" si="466"/>
        <v>7</v>
      </c>
      <c r="S573" s="301">
        <f t="shared" si="467"/>
        <v>805</v>
      </c>
      <c r="T573" s="334">
        <f>10+8</f>
        <v>18</v>
      </c>
      <c r="U573" s="334">
        <v>0</v>
      </c>
      <c r="V573" s="334">
        <v>0</v>
      </c>
      <c r="W573" s="335">
        <f t="shared" si="468"/>
        <v>18</v>
      </c>
      <c r="X573" s="301">
        <f t="shared" si="469"/>
        <v>2070</v>
      </c>
      <c r="Y573" s="301">
        <f t="shared" si="470"/>
        <v>48</v>
      </c>
      <c r="Z573" s="274">
        <f>6095/53</f>
        <v>115</v>
      </c>
      <c r="AA573" s="302">
        <f t="shared" si="471"/>
        <v>5520</v>
      </c>
    </row>
    <row r="574" spans="1:27" ht="28.35" customHeight="1">
      <c r="A574" s="325">
        <v>7</v>
      </c>
      <c r="B574" s="299"/>
      <c r="C574" s="299" t="s">
        <v>1061</v>
      </c>
      <c r="D574" s="300" t="s">
        <v>364</v>
      </c>
      <c r="E574" s="334">
        <v>0</v>
      </c>
      <c r="F574" s="334">
        <v>0</v>
      </c>
      <c r="G574" s="334">
        <v>0</v>
      </c>
      <c r="H574" s="335">
        <v>20</v>
      </c>
      <c r="I574" s="301">
        <f t="shared" si="463"/>
        <v>320</v>
      </c>
      <c r="J574" s="334">
        <v>40</v>
      </c>
      <c r="K574" s="334">
        <v>0</v>
      </c>
      <c r="L574" s="334">
        <v>0</v>
      </c>
      <c r="M574" s="335">
        <f t="shared" si="464"/>
        <v>40</v>
      </c>
      <c r="N574" s="301">
        <f t="shared" si="465"/>
        <v>640</v>
      </c>
      <c r="O574" s="334">
        <v>30</v>
      </c>
      <c r="P574" s="334">
        <v>0</v>
      </c>
      <c r="Q574" s="334">
        <v>0</v>
      </c>
      <c r="R574" s="335">
        <f t="shared" si="466"/>
        <v>30</v>
      </c>
      <c r="S574" s="301">
        <f t="shared" si="467"/>
        <v>480</v>
      </c>
      <c r="T574" s="334">
        <v>30</v>
      </c>
      <c r="U574" s="334">
        <v>0</v>
      </c>
      <c r="V574" s="334">
        <v>0</v>
      </c>
      <c r="W574" s="335">
        <f t="shared" si="468"/>
        <v>30</v>
      </c>
      <c r="X574" s="301">
        <f t="shared" si="469"/>
        <v>480</v>
      </c>
      <c r="Y574" s="301">
        <f t="shared" si="470"/>
        <v>120</v>
      </c>
      <c r="Z574" s="274">
        <f>1920/Y574</f>
        <v>16</v>
      </c>
      <c r="AA574" s="302">
        <f t="shared" si="471"/>
        <v>1920</v>
      </c>
    </row>
    <row r="575" spans="1:27" ht="28.35" customHeight="1" thickBot="1">
      <c r="A575" s="331">
        <v>8</v>
      </c>
      <c r="B575" s="299"/>
      <c r="C575" s="299" t="s">
        <v>1062</v>
      </c>
      <c r="D575" s="300" t="s">
        <v>364</v>
      </c>
      <c r="E575" s="334">
        <v>0</v>
      </c>
      <c r="F575" s="334">
        <v>0</v>
      </c>
      <c r="G575" s="334">
        <v>0</v>
      </c>
      <c r="H575" s="335">
        <f t="shared" si="462"/>
        <v>0</v>
      </c>
      <c r="I575" s="301">
        <f t="shared" si="463"/>
        <v>0</v>
      </c>
      <c r="J575" s="334">
        <v>0</v>
      </c>
      <c r="K575" s="334">
        <v>100</v>
      </c>
      <c r="L575" s="334">
        <v>0</v>
      </c>
      <c r="M575" s="335">
        <f t="shared" si="464"/>
        <v>100</v>
      </c>
      <c r="N575" s="301">
        <f t="shared" si="465"/>
        <v>400</v>
      </c>
      <c r="O575" s="334">
        <v>200</v>
      </c>
      <c r="P575" s="334">
        <v>0</v>
      </c>
      <c r="Q575" s="334">
        <v>0</v>
      </c>
      <c r="R575" s="335">
        <f t="shared" si="466"/>
        <v>200</v>
      </c>
      <c r="S575" s="301">
        <f t="shared" si="467"/>
        <v>800</v>
      </c>
      <c r="T575" s="334">
        <v>0</v>
      </c>
      <c r="U575" s="334">
        <v>0</v>
      </c>
      <c r="V575" s="334">
        <v>0</v>
      </c>
      <c r="W575" s="335">
        <f t="shared" si="468"/>
        <v>0</v>
      </c>
      <c r="X575" s="301">
        <f t="shared" si="469"/>
        <v>0</v>
      </c>
      <c r="Y575" s="301">
        <f t="shared" si="470"/>
        <v>300</v>
      </c>
      <c r="Z575" s="274">
        <f>2400/600</f>
        <v>4</v>
      </c>
      <c r="AA575" s="302">
        <f t="shared" si="471"/>
        <v>1200</v>
      </c>
    </row>
    <row r="576" spans="1:27" ht="28.35" customHeight="1" thickBot="1">
      <c r="A576" s="325">
        <v>9</v>
      </c>
      <c r="B576" s="299"/>
      <c r="C576" s="299" t="s">
        <v>1063</v>
      </c>
      <c r="D576" s="300" t="s">
        <v>334</v>
      </c>
      <c r="E576" s="334">
        <v>0</v>
      </c>
      <c r="F576" s="334">
        <v>0</v>
      </c>
      <c r="G576" s="334">
        <v>0</v>
      </c>
      <c r="H576" s="335">
        <f t="shared" si="462"/>
        <v>0</v>
      </c>
      <c r="I576" s="301">
        <f t="shared" si="463"/>
        <v>0</v>
      </c>
      <c r="J576" s="334">
        <v>0</v>
      </c>
      <c r="K576" s="334">
        <v>0</v>
      </c>
      <c r="L576" s="334">
        <v>0</v>
      </c>
      <c r="M576" s="335">
        <f t="shared" si="464"/>
        <v>0</v>
      </c>
      <c r="N576" s="301">
        <f t="shared" si="465"/>
        <v>0</v>
      </c>
      <c r="O576" s="334">
        <v>0</v>
      </c>
      <c r="P576" s="334">
        <v>0</v>
      </c>
      <c r="Q576" s="334">
        <v>0</v>
      </c>
      <c r="R576" s="335">
        <f t="shared" si="466"/>
        <v>0</v>
      </c>
      <c r="S576" s="301">
        <f t="shared" si="467"/>
        <v>0</v>
      </c>
      <c r="T576" s="334">
        <v>0</v>
      </c>
      <c r="U576" s="334">
        <v>0</v>
      </c>
      <c r="V576" s="334">
        <v>0</v>
      </c>
      <c r="W576" s="335">
        <f t="shared" si="468"/>
        <v>0</v>
      </c>
      <c r="X576" s="301">
        <f t="shared" si="469"/>
        <v>0</v>
      </c>
      <c r="Y576" s="301">
        <f t="shared" si="470"/>
        <v>0</v>
      </c>
      <c r="Z576" s="274">
        <f>12000/12</f>
        <v>1000</v>
      </c>
      <c r="AA576" s="302">
        <f t="shared" si="471"/>
        <v>0</v>
      </c>
    </row>
    <row r="577" spans="1:27" ht="28.35" customHeight="1" thickBot="1">
      <c r="A577" s="331">
        <v>10</v>
      </c>
      <c r="B577" s="299"/>
      <c r="C577" s="294" t="s">
        <v>1064</v>
      </c>
      <c r="D577" s="342" t="s">
        <v>364</v>
      </c>
      <c r="E577" s="342">
        <v>0</v>
      </c>
      <c r="F577" s="342">
        <v>0</v>
      </c>
      <c r="G577" s="342">
        <v>0</v>
      </c>
      <c r="H577" s="343">
        <f t="shared" si="462"/>
        <v>0</v>
      </c>
      <c r="I577" s="296">
        <f t="shared" si="463"/>
        <v>0</v>
      </c>
      <c r="J577" s="342">
        <v>0</v>
      </c>
      <c r="K577" s="342">
        <v>0</v>
      </c>
      <c r="L577" s="342">
        <v>0</v>
      </c>
      <c r="M577" s="343">
        <f t="shared" si="464"/>
        <v>0</v>
      </c>
      <c r="N577" s="296">
        <f t="shared" si="465"/>
        <v>0</v>
      </c>
      <c r="O577" s="342">
        <v>0</v>
      </c>
      <c r="P577" s="342">
        <v>0</v>
      </c>
      <c r="Q577" s="342">
        <v>0</v>
      </c>
      <c r="R577" s="343">
        <f t="shared" si="466"/>
        <v>0</v>
      </c>
      <c r="S577" s="296">
        <f t="shared" si="467"/>
        <v>0</v>
      </c>
      <c r="T577" s="342">
        <v>0</v>
      </c>
      <c r="U577" s="342">
        <v>0</v>
      </c>
      <c r="V577" s="342">
        <v>0</v>
      </c>
      <c r="W577" s="343">
        <v>0</v>
      </c>
      <c r="X577" s="296">
        <f t="shared" si="469"/>
        <v>0</v>
      </c>
      <c r="Y577" s="296">
        <f t="shared" si="470"/>
        <v>0</v>
      </c>
      <c r="Z577" s="268">
        <f>700/1</f>
        <v>700</v>
      </c>
      <c r="AA577" s="297">
        <f t="shared" si="471"/>
        <v>0</v>
      </c>
    </row>
    <row r="578" spans="1:27" ht="28.35" customHeight="1">
      <c r="A578" s="325">
        <v>11</v>
      </c>
      <c r="B578" s="299"/>
      <c r="C578" s="299" t="s">
        <v>1065</v>
      </c>
      <c r="D578" s="300" t="s">
        <v>334</v>
      </c>
      <c r="E578" s="334">
        <v>0</v>
      </c>
      <c r="F578" s="334">
        <f>0+0</f>
        <v>0</v>
      </c>
      <c r="G578" s="334">
        <f>0+0</f>
        <v>0</v>
      </c>
      <c r="H578" s="335">
        <f t="shared" si="462"/>
        <v>0</v>
      </c>
      <c r="I578" s="301">
        <f t="shared" si="463"/>
        <v>0</v>
      </c>
      <c r="J578" s="334">
        <f>0+4</f>
        <v>4</v>
      </c>
      <c r="K578" s="334">
        <f>0+0</f>
        <v>0</v>
      </c>
      <c r="L578" s="334">
        <f>0+0</f>
        <v>0</v>
      </c>
      <c r="M578" s="335">
        <f t="shared" si="464"/>
        <v>4</v>
      </c>
      <c r="N578" s="301">
        <f t="shared" si="465"/>
        <v>6000</v>
      </c>
      <c r="O578" s="334">
        <f>0+0</f>
        <v>0</v>
      </c>
      <c r="P578" s="334">
        <f>0+0</f>
        <v>0</v>
      </c>
      <c r="Q578" s="334">
        <f>0+0</f>
        <v>0</v>
      </c>
      <c r="R578" s="335">
        <f t="shared" si="466"/>
        <v>0</v>
      </c>
      <c r="S578" s="301">
        <f t="shared" si="467"/>
        <v>0</v>
      </c>
      <c r="T578" s="334">
        <f>0+0</f>
        <v>0</v>
      </c>
      <c r="U578" s="334">
        <f>0+0</f>
        <v>0</v>
      </c>
      <c r="V578" s="334">
        <f>0+0</f>
        <v>0</v>
      </c>
      <c r="W578" s="335">
        <f t="shared" ref="W578:W580" si="472">SUM(T578:V578)</f>
        <v>0</v>
      </c>
      <c r="X578" s="301">
        <f t="shared" si="469"/>
        <v>0</v>
      </c>
      <c r="Y578" s="301">
        <f t="shared" si="470"/>
        <v>4</v>
      </c>
      <c r="Z578" s="274">
        <f>13500/9</f>
        <v>1500</v>
      </c>
      <c r="AA578" s="302">
        <f t="shared" si="471"/>
        <v>6000</v>
      </c>
    </row>
    <row r="579" spans="1:27" ht="28.35" customHeight="1" thickBot="1">
      <c r="A579" s="331">
        <v>12</v>
      </c>
      <c r="B579" s="299"/>
      <c r="C579" s="299" t="s">
        <v>1066</v>
      </c>
      <c r="D579" s="300" t="s">
        <v>364</v>
      </c>
      <c r="E579" s="334">
        <v>0</v>
      </c>
      <c r="F579" s="334">
        <v>0</v>
      </c>
      <c r="G579" s="334">
        <v>0</v>
      </c>
      <c r="H579" s="335">
        <f t="shared" si="462"/>
        <v>0</v>
      </c>
      <c r="I579" s="301">
        <f t="shared" si="463"/>
        <v>0</v>
      </c>
      <c r="J579" s="334">
        <v>0</v>
      </c>
      <c r="K579" s="334">
        <v>0</v>
      </c>
      <c r="L579" s="334">
        <v>0</v>
      </c>
      <c r="M579" s="335">
        <f t="shared" si="464"/>
        <v>0</v>
      </c>
      <c r="N579" s="301">
        <f t="shared" si="465"/>
        <v>0</v>
      </c>
      <c r="O579" s="334">
        <v>0</v>
      </c>
      <c r="P579" s="334">
        <v>0</v>
      </c>
      <c r="Q579" s="334">
        <v>0</v>
      </c>
      <c r="R579" s="335">
        <f t="shared" si="466"/>
        <v>0</v>
      </c>
      <c r="S579" s="301">
        <f t="shared" si="467"/>
        <v>0</v>
      </c>
      <c r="T579" s="334">
        <v>0</v>
      </c>
      <c r="U579" s="334">
        <v>0</v>
      </c>
      <c r="V579" s="334">
        <v>0</v>
      </c>
      <c r="W579" s="335">
        <f t="shared" si="472"/>
        <v>0</v>
      </c>
      <c r="X579" s="301">
        <f t="shared" si="469"/>
        <v>0</v>
      </c>
      <c r="Y579" s="301">
        <f t="shared" si="470"/>
        <v>0</v>
      </c>
      <c r="Z579" s="274">
        <f>3000/2</f>
        <v>1500</v>
      </c>
      <c r="AA579" s="302">
        <f t="shared" si="471"/>
        <v>0</v>
      </c>
    </row>
    <row r="580" spans="1:27" ht="28.35" customHeight="1">
      <c r="A580" s="325">
        <v>13</v>
      </c>
      <c r="B580" s="299"/>
      <c r="C580" s="299" t="s">
        <v>1067</v>
      </c>
      <c r="D580" s="300" t="s">
        <v>364</v>
      </c>
      <c r="E580" s="334">
        <v>0</v>
      </c>
      <c r="F580" s="334">
        <v>0</v>
      </c>
      <c r="G580" s="334">
        <v>0</v>
      </c>
      <c r="H580" s="335">
        <f t="shared" si="462"/>
        <v>0</v>
      </c>
      <c r="I580" s="301">
        <f t="shared" si="463"/>
        <v>0</v>
      </c>
      <c r="J580" s="334">
        <v>0</v>
      </c>
      <c r="K580" s="334">
        <v>5</v>
      </c>
      <c r="L580" s="334">
        <v>0</v>
      </c>
      <c r="M580" s="335">
        <f t="shared" si="464"/>
        <v>5</v>
      </c>
      <c r="N580" s="301">
        <f t="shared" si="465"/>
        <v>7500</v>
      </c>
      <c r="O580" s="334">
        <v>0</v>
      </c>
      <c r="P580" s="334">
        <v>0</v>
      </c>
      <c r="Q580" s="334">
        <v>0</v>
      </c>
      <c r="R580" s="335">
        <f t="shared" si="466"/>
        <v>0</v>
      </c>
      <c r="S580" s="301">
        <f t="shared" si="467"/>
        <v>0</v>
      </c>
      <c r="T580" s="334">
        <v>0</v>
      </c>
      <c r="U580" s="334">
        <v>2</v>
      </c>
      <c r="V580" s="334">
        <v>0</v>
      </c>
      <c r="W580" s="335">
        <f t="shared" si="472"/>
        <v>2</v>
      </c>
      <c r="X580" s="301">
        <f t="shared" si="469"/>
        <v>3000</v>
      </c>
      <c r="Y580" s="301">
        <f t="shared" si="470"/>
        <v>7</v>
      </c>
      <c r="Z580" s="274">
        <f>10500/7</f>
        <v>1500</v>
      </c>
      <c r="AA580" s="302">
        <f t="shared" si="471"/>
        <v>10500</v>
      </c>
    </row>
    <row r="581" spans="1:27" ht="28.35" customHeight="1">
      <c r="A581" s="344"/>
      <c r="B581" s="299"/>
      <c r="C581" s="299"/>
      <c r="D581" s="300"/>
      <c r="E581" s="334"/>
      <c r="F581" s="334"/>
      <c r="G581" s="334"/>
      <c r="H581" s="335"/>
      <c r="I581" s="301"/>
      <c r="J581" s="334"/>
      <c r="K581" s="334"/>
      <c r="L581" s="334"/>
      <c r="M581" s="335"/>
      <c r="N581" s="301"/>
      <c r="O581" s="334"/>
      <c r="P581" s="334"/>
      <c r="Q581" s="334"/>
      <c r="R581" s="335"/>
      <c r="S581" s="301"/>
      <c r="T581" s="334"/>
      <c r="U581" s="334"/>
      <c r="V581" s="334"/>
      <c r="W581" s="335"/>
      <c r="X581" s="301"/>
      <c r="Y581" s="301"/>
      <c r="Z581" s="274"/>
      <c r="AA581" s="302"/>
    </row>
    <row r="582" spans="1:27" ht="30" customHeight="1" thickBot="1">
      <c r="A582" s="331"/>
      <c r="B582" s="299"/>
      <c r="C582" s="299"/>
      <c r="D582" s="300"/>
      <c r="E582" s="334"/>
      <c r="F582" s="334"/>
      <c r="G582" s="334"/>
      <c r="H582" s="335"/>
      <c r="I582" s="301"/>
      <c r="J582" s="334"/>
      <c r="K582" s="334"/>
      <c r="L582" s="334"/>
      <c r="M582" s="335"/>
      <c r="N582" s="301"/>
      <c r="O582" s="334"/>
      <c r="P582" s="334"/>
      <c r="Q582" s="334"/>
      <c r="R582" s="335"/>
      <c r="S582" s="301"/>
      <c r="T582" s="334"/>
      <c r="U582" s="334"/>
      <c r="V582" s="334"/>
      <c r="W582" s="335"/>
      <c r="X582" s="301"/>
      <c r="Y582" s="301"/>
      <c r="Z582" s="274"/>
      <c r="AA582" s="302"/>
    </row>
    <row r="583" spans="1:27" ht="28.35" customHeight="1" thickBot="1">
      <c r="A583" s="256" t="s">
        <v>1068</v>
      </c>
      <c r="B583" s="336"/>
      <c r="C583" s="336"/>
      <c r="D583" s="337"/>
      <c r="E583" s="337"/>
      <c r="F583" s="337"/>
      <c r="G583" s="337"/>
      <c r="H583" s="337"/>
      <c r="I583" s="338"/>
      <c r="J583" s="337"/>
      <c r="K583" s="337"/>
      <c r="L583" s="337"/>
      <c r="M583" s="337"/>
      <c r="N583" s="338"/>
      <c r="O583" s="337"/>
      <c r="P583" s="337"/>
      <c r="Q583" s="337"/>
      <c r="R583" s="337"/>
      <c r="S583" s="338"/>
      <c r="T583" s="337"/>
      <c r="U583" s="337"/>
      <c r="V583" s="337"/>
      <c r="W583" s="337"/>
      <c r="X583" s="338"/>
      <c r="Y583" s="338"/>
      <c r="Z583" s="339"/>
      <c r="AA583" s="340"/>
    </row>
    <row r="584" spans="1:27" ht="28.35" customHeight="1">
      <c r="A584" s="325">
        <v>1</v>
      </c>
      <c r="B584" s="294"/>
      <c r="C584" s="299"/>
      <c r="D584" s="300"/>
      <c r="E584" s="334"/>
      <c r="F584" s="334"/>
      <c r="G584" s="334"/>
      <c r="H584" s="335"/>
      <c r="I584" s="301"/>
      <c r="J584" s="334"/>
      <c r="K584" s="334"/>
      <c r="L584" s="334"/>
      <c r="M584" s="335"/>
      <c r="N584" s="301"/>
      <c r="O584" s="334"/>
      <c r="P584" s="334"/>
      <c r="Q584" s="334"/>
      <c r="R584" s="335"/>
      <c r="S584" s="301"/>
      <c r="T584" s="334"/>
      <c r="U584" s="334"/>
      <c r="V584" s="334"/>
      <c r="W584" s="335"/>
      <c r="X584" s="301"/>
      <c r="Y584" s="301"/>
      <c r="Z584" s="274"/>
      <c r="AA584" s="302"/>
    </row>
    <row r="585" spans="1:27" ht="28.35" customHeight="1">
      <c r="A585" s="331">
        <v>2</v>
      </c>
      <c r="B585" s="299"/>
      <c r="C585" s="299"/>
      <c r="D585" s="300"/>
      <c r="E585" s="334"/>
      <c r="F585" s="334"/>
      <c r="G585" s="334"/>
      <c r="H585" s="335"/>
      <c r="I585" s="301"/>
      <c r="J585" s="334"/>
      <c r="K585" s="334"/>
      <c r="L585" s="334"/>
      <c r="M585" s="335"/>
      <c r="N585" s="301"/>
      <c r="O585" s="334"/>
      <c r="P585" s="334"/>
      <c r="Q585" s="334"/>
      <c r="R585" s="335"/>
      <c r="S585" s="301"/>
      <c r="T585" s="334"/>
      <c r="U585" s="334"/>
      <c r="V585" s="334"/>
      <c r="W585" s="335"/>
      <c r="X585" s="301"/>
      <c r="Y585" s="301"/>
      <c r="Z585" s="274"/>
      <c r="AA585" s="302"/>
    </row>
    <row r="586" spans="1:27" ht="28.35" customHeight="1">
      <c r="A586" s="332">
        <v>3</v>
      </c>
      <c r="B586" s="299"/>
      <c r="C586" s="299"/>
      <c r="D586" s="300"/>
      <c r="E586" s="334"/>
      <c r="F586" s="334"/>
      <c r="G586" s="334"/>
      <c r="H586" s="335"/>
      <c r="I586" s="301"/>
      <c r="J586" s="334"/>
      <c r="K586" s="334"/>
      <c r="L586" s="334"/>
      <c r="M586" s="335"/>
      <c r="N586" s="301"/>
      <c r="O586" s="334"/>
      <c r="P586" s="334"/>
      <c r="Q586" s="334"/>
      <c r="R586" s="335"/>
      <c r="S586" s="301"/>
      <c r="T586" s="334"/>
      <c r="U586" s="334"/>
      <c r="V586" s="334"/>
      <c r="W586" s="335"/>
      <c r="X586" s="301"/>
      <c r="Y586" s="301"/>
      <c r="Z586" s="274"/>
      <c r="AA586" s="302"/>
    </row>
    <row r="587" spans="1:27" ht="28.35" customHeight="1">
      <c r="A587" s="332"/>
      <c r="B587" s="299"/>
      <c r="C587" s="299"/>
      <c r="D587" s="300"/>
      <c r="E587" s="334"/>
      <c r="F587" s="334"/>
      <c r="G587" s="334"/>
      <c r="H587" s="335"/>
      <c r="I587" s="301"/>
      <c r="J587" s="334"/>
      <c r="K587" s="334"/>
      <c r="L587" s="334"/>
      <c r="M587" s="335"/>
      <c r="N587" s="301"/>
      <c r="O587" s="334"/>
      <c r="P587" s="334"/>
      <c r="Q587" s="334"/>
      <c r="R587" s="335"/>
      <c r="S587" s="301"/>
      <c r="T587" s="334"/>
      <c r="U587" s="334"/>
      <c r="V587" s="334"/>
      <c r="W587" s="335"/>
      <c r="X587" s="301"/>
      <c r="Y587" s="301"/>
      <c r="Z587" s="274"/>
      <c r="AA587" s="302"/>
    </row>
    <row r="588" spans="1:27" ht="30" customHeight="1" thickBot="1">
      <c r="A588" s="331"/>
      <c r="B588" s="299"/>
      <c r="C588" s="299"/>
      <c r="D588" s="300"/>
      <c r="E588" s="334"/>
      <c r="F588" s="334"/>
      <c r="G588" s="334"/>
      <c r="H588" s="335"/>
      <c r="I588" s="301"/>
      <c r="J588" s="334"/>
      <c r="K588" s="334"/>
      <c r="L588" s="334"/>
      <c r="M588" s="335"/>
      <c r="N588" s="301"/>
      <c r="O588" s="334"/>
      <c r="P588" s="334"/>
      <c r="Q588" s="334"/>
      <c r="R588" s="335"/>
      <c r="S588" s="301"/>
      <c r="T588" s="334"/>
      <c r="U588" s="334"/>
      <c r="V588" s="334"/>
      <c r="W588" s="335"/>
      <c r="X588" s="301"/>
      <c r="Y588" s="301"/>
      <c r="Z588" s="274"/>
      <c r="AA588" s="302"/>
    </row>
    <row r="589" spans="1:27" ht="28.35" customHeight="1" thickBot="1">
      <c r="A589" s="256" t="s">
        <v>1069</v>
      </c>
      <c r="B589" s="336"/>
      <c r="C589" s="336"/>
      <c r="D589" s="337"/>
      <c r="E589" s="337"/>
      <c r="F589" s="337"/>
      <c r="G589" s="337"/>
      <c r="H589" s="337"/>
      <c r="I589" s="338"/>
      <c r="J589" s="337"/>
      <c r="K589" s="337"/>
      <c r="L589" s="337"/>
      <c r="M589" s="337"/>
      <c r="N589" s="338"/>
      <c r="O589" s="337"/>
      <c r="P589" s="337"/>
      <c r="Q589" s="337"/>
      <c r="R589" s="337"/>
      <c r="S589" s="338"/>
      <c r="T589" s="337"/>
      <c r="U589" s="337"/>
      <c r="V589" s="337"/>
      <c r="W589" s="337"/>
      <c r="X589" s="338"/>
      <c r="Y589" s="338"/>
      <c r="Z589" s="339"/>
      <c r="AA589" s="340"/>
    </row>
    <row r="590" spans="1:27" ht="28.35" customHeight="1">
      <c r="A590" s="325">
        <v>1</v>
      </c>
      <c r="B590" s="294"/>
      <c r="C590" s="294"/>
      <c r="D590" s="342"/>
      <c r="E590" s="342"/>
      <c r="F590" s="342"/>
      <c r="G590" s="342"/>
      <c r="H590" s="343"/>
      <c r="I590" s="296"/>
      <c r="J590" s="342"/>
      <c r="K590" s="342"/>
      <c r="L590" s="342"/>
      <c r="M590" s="343"/>
      <c r="N590" s="296"/>
      <c r="O590" s="342"/>
      <c r="P590" s="342"/>
      <c r="Q590" s="342"/>
      <c r="R590" s="343"/>
      <c r="S590" s="296"/>
      <c r="T590" s="342"/>
      <c r="U590" s="342"/>
      <c r="V590" s="342"/>
      <c r="W590" s="343"/>
      <c r="X590" s="296"/>
      <c r="Y590" s="296"/>
      <c r="Z590" s="268"/>
      <c r="AA590" s="297"/>
    </row>
    <row r="591" spans="1:27" ht="28.35" customHeight="1">
      <c r="A591" s="331">
        <v>2</v>
      </c>
      <c r="B591" s="299"/>
      <c r="C591" s="299"/>
      <c r="D591" s="300"/>
      <c r="E591" s="334"/>
      <c r="F591" s="334"/>
      <c r="G591" s="334"/>
      <c r="H591" s="335"/>
      <c r="I591" s="301"/>
      <c r="J591" s="334"/>
      <c r="K591" s="334"/>
      <c r="L591" s="334"/>
      <c r="M591" s="335"/>
      <c r="N591" s="301"/>
      <c r="O591" s="334"/>
      <c r="P591" s="334"/>
      <c r="Q591" s="334"/>
      <c r="R591" s="335"/>
      <c r="S591" s="301"/>
      <c r="T591" s="334"/>
      <c r="U591" s="334"/>
      <c r="V591" s="334"/>
      <c r="W591" s="335"/>
      <c r="X591" s="301"/>
      <c r="Y591" s="301"/>
      <c r="Z591" s="274"/>
      <c r="AA591" s="302"/>
    </row>
    <row r="592" spans="1:27" ht="28.35" customHeight="1">
      <c r="A592" s="332">
        <v>3</v>
      </c>
      <c r="B592" s="299"/>
      <c r="C592" s="299"/>
      <c r="D592" s="300"/>
      <c r="E592" s="334"/>
      <c r="F592" s="334"/>
      <c r="G592" s="334"/>
      <c r="H592" s="335"/>
      <c r="I592" s="301"/>
      <c r="J592" s="334"/>
      <c r="K592" s="334"/>
      <c r="L592" s="334"/>
      <c r="M592" s="335"/>
      <c r="N592" s="301"/>
      <c r="O592" s="334"/>
      <c r="P592" s="334"/>
      <c r="Q592" s="334"/>
      <c r="R592" s="335"/>
      <c r="S592" s="301"/>
      <c r="T592" s="334"/>
      <c r="U592" s="334"/>
      <c r="V592" s="334"/>
      <c r="W592" s="335"/>
      <c r="X592" s="301"/>
      <c r="Y592" s="301"/>
      <c r="Z592" s="274"/>
      <c r="AA592" s="302"/>
    </row>
    <row r="593" spans="1:27" ht="28.35" customHeight="1">
      <c r="A593" s="332"/>
      <c r="B593" s="299"/>
      <c r="C593" s="299"/>
      <c r="D593" s="300"/>
      <c r="E593" s="334"/>
      <c r="F593" s="334"/>
      <c r="G593" s="334"/>
      <c r="H593" s="335"/>
      <c r="I593" s="301"/>
      <c r="J593" s="334"/>
      <c r="K593" s="334"/>
      <c r="L593" s="334"/>
      <c r="M593" s="335"/>
      <c r="N593" s="301"/>
      <c r="O593" s="334"/>
      <c r="P593" s="334"/>
      <c r="Q593" s="334"/>
      <c r="R593" s="335"/>
      <c r="S593" s="301"/>
      <c r="T593" s="334"/>
      <c r="U593" s="334"/>
      <c r="V593" s="334"/>
      <c r="W593" s="335"/>
      <c r="X593" s="301"/>
      <c r="Y593" s="301"/>
      <c r="Z593" s="274"/>
      <c r="AA593" s="302"/>
    </row>
    <row r="594" spans="1:27" ht="30" customHeight="1" thickBot="1">
      <c r="A594" s="331"/>
      <c r="B594" s="299"/>
      <c r="C594" s="299"/>
      <c r="D594" s="300"/>
      <c r="E594" s="334"/>
      <c r="F594" s="334"/>
      <c r="G594" s="334"/>
      <c r="H594" s="335"/>
      <c r="I594" s="301"/>
      <c r="J594" s="334"/>
      <c r="K594" s="334"/>
      <c r="L594" s="334"/>
      <c r="M594" s="335"/>
      <c r="N594" s="301"/>
      <c r="O594" s="334"/>
      <c r="P594" s="334"/>
      <c r="Q594" s="334"/>
      <c r="R594" s="335"/>
      <c r="S594" s="301"/>
      <c r="T594" s="334"/>
      <c r="U594" s="334"/>
      <c r="V594" s="334"/>
      <c r="W594" s="335"/>
      <c r="X594" s="301"/>
      <c r="Y594" s="301"/>
      <c r="Z594" s="274"/>
      <c r="AA594" s="302"/>
    </row>
    <row r="595" spans="1:27" ht="28.35" customHeight="1" thickBot="1">
      <c r="A595" s="256" t="s">
        <v>435</v>
      </c>
      <c r="B595" s="345"/>
      <c r="C595" s="336"/>
      <c r="D595" s="337"/>
      <c r="E595" s="337"/>
      <c r="F595" s="337"/>
      <c r="G595" s="337"/>
      <c r="H595" s="337"/>
      <c r="I595" s="338"/>
      <c r="J595" s="337"/>
      <c r="K595" s="337"/>
      <c r="L595" s="337"/>
      <c r="M595" s="337"/>
      <c r="N595" s="338"/>
      <c r="O595" s="337"/>
      <c r="P595" s="337"/>
      <c r="Q595" s="337"/>
      <c r="R595" s="337"/>
      <c r="S595" s="338"/>
      <c r="T595" s="337"/>
      <c r="U595" s="337"/>
      <c r="V595" s="337"/>
      <c r="W595" s="337"/>
      <c r="X595" s="338"/>
      <c r="Y595" s="338"/>
      <c r="Z595" s="339"/>
      <c r="AA595" s="340"/>
    </row>
    <row r="596" spans="1:27" ht="28.35" customHeight="1">
      <c r="A596" s="325">
        <v>1</v>
      </c>
      <c r="B596" s="294"/>
      <c r="C596" s="326" t="s">
        <v>1070</v>
      </c>
      <c r="D596" s="333" t="s">
        <v>364</v>
      </c>
      <c r="E596" s="327">
        <v>0</v>
      </c>
      <c r="F596" s="327">
        <v>0</v>
      </c>
      <c r="G596" s="327">
        <v>0</v>
      </c>
      <c r="H596" s="341">
        <f t="shared" ref="H596:H597" si="473">SUM(E596:G596)</f>
        <v>0</v>
      </c>
      <c r="I596" s="328">
        <f t="shared" ref="I596:I599" si="474">H596*$Z596</f>
        <v>0</v>
      </c>
      <c r="J596" s="327">
        <v>0</v>
      </c>
      <c r="K596" s="327">
        <v>1</v>
      </c>
      <c r="L596" s="327">
        <v>0</v>
      </c>
      <c r="M596" s="341">
        <f t="shared" ref="M596:M599" si="475">SUM(J596:L596)</f>
        <v>1</v>
      </c>
      <c r="N596" s="328">
        <f t="shared" ref="N596:N599" si="476">M596*$Z596</f>
        <v>192.84</v>
      </c>
      <c r="O596" s="327">
        <v>0</v>
      </c>
      <c r="P596" s="327">
        <v>1</v>
      </c>
      <c r="Q596" s="327">
        <v>0</v>
      </c>
      <c r="R596" s="341">
        <f t="shared" ref="R596:R599" si="477">SUM(O596:Q596)</f>
        <v>1</v>
      </c>
      <c r="S596" s="328">
        <f t="shared" ref="S596:S599" si="478">R596*$Z596</f>
        <v>192.84</v>
      </c>
      <c r="T596" s="327">
        <v>0</v>
      </c>
      <c r="U596" s="327">
        <v>1</v>
      </c>
      <c r="V596" s="327">
        <v>0</v>
      </c>
      <c r="W596" s="341">
        <f t="shared" ref="W596:W599" si="479">SUM(T596:V596)</f>
        <v>1</v>
      </c>
      <c r="X596" s="328">
        <f t="shared" ref="X596:X599" si="480">W596*$Z596</f>
        <v>192.84</v>
      </c>
      <c r="Y596" s="328">
        <f t="shared" ref="Y596:Y599" si="481">H596+M596+R596+W596</f>
        <v>3</v>
      </c>
      <c r="Z596" s="329">
        <f>578.52/Y596</f>
        <v>192.84</v>
      </c>
      <c r="AA596" s="330">
        <f t="shared" ref="AA596:AA599" si="482">Y596*Z596</f>
        <v>578.52</v>
      </c>
    </row>
    <row r="597" spans="1:27" ht="28.35" customHeight="1">
      <c r="A597" s="331">
        <v>2</v>
      </c>
      <c r="B597" s="299"/>
      <c r="C597" s="326" t="s">
        <v>1071</v>
      </c>
      <c r="D597" s="333" t="s">
        <v>364</v>
      </c>
      <c r="E597" s="327">
        <v>0</v>
      </c>
      <c r="F597" s="327">
        <v>0</v>
      </c>
      <c r="G597" s="327">
        <v>0</v>
      </c>
      <c r="H597" s="341">
        <f t="shared" si="473"/>
        <v>0</v>
      </c>
      <c r="I597" s="328">
        <f t="shared" si="474"/>
        <v>0</v>
      </c>
      <c r="J597" s="327">
        <v>0</v>
      </c>
      <c r="K597" s="327">
        <v>0</v>
      </c>
      <c r="L597" s="327">
        <v>0</v>
      </c>
      <c r="M597" s="341">
        <f t="shared" si="475"/>
        <v>0</v>
      </c>
      <c r="N597" s="328">
        <f t="shared" si="476"/>
        <v>0</v>
      </c>
      <c r="O597" s="327">
        <v>5</v>
      </c>
      <c r="P597" s="327">
        <v>0</v>
      </c>
      <c r="Q597" s="327">
        <v>0</v>
      </c>
      <c r="R597" s="341">
        <f t="shared" si="477"/>
        <v>5</v>
      </c>
      <c r="S597" s="328">
        <f t="shared" si="478"/>
        <v>200</v>
      </c>
      <c r="T597" s="327">
        <v>0</v>
      </c>
      <c r="U597" s="327">
        <v>0</v>
      </c>
      <c r="V597" s="327">
        <v>0</v>
      </c>
      <c r="W597" s="341">
        <f t="shared" si="479"/>
        <v>0</v>
      </c>
      <c r="X597" s="328">
        <f t="shared" si="480"/>
        <v>0</v>
      </c>
      <c r="Y597" s="328">
        <f t="shared" si="481"/>
        <v>5</v>
      </c>
      <c r="Z597" s="329">
        <f>200/Y597</f>
        <v>40</v>
      </c>
      <c r="AA597" s="330">
        <f t="shared" si="482"/>
        <v>200</v>
      </c>
    </row>
    <row r="598" spans="1:27" ht="28.35" customHeight="1" thickBot="1">
      <c r="A598" s="332">
        <v>3</v>
      </c>
      <c r="B598" s="299"/>
      <c r="C598" s="326" t="s">
        <v>1072</v>
      </c>
      <c r="D598" s="327" t="s">
        <v>364</v>
      </c>
      <c r="E598" s="327">
        <v>0</v>
      </c>
      <c r="F598" s="327">
        <v>0</v>
      </c>
      <c r="G598" s="327">
        <v>0</v>
      </c>
      <c r="H598" s="341">
        <f t="shared" ref="H598:H599" si="483">SUM(E598:G598)</f>
        <v>0</v>
      </c>
      <c r="I598" s="328">
        <f t="shared" si="474"/>
        <v>0</v>
      </c>
      <c r="J598" s="327">
        <v>0</v>
      </c>
      <c r="K598" s="327">
        <v>1</v>
      </c>
      <c r="L598" s="327">
        <v>0</v>
      </c>
      <c r="M598" s="341">
        <f t="shared" si="475"/>
        <v>1</v>
      </c>
      <c r="N598" s="328">
        <f t="shared" si="476"/>
        <v>105</v>
      </c>
      <c r="O598" s="327">
        <v>0</v>
      </c>
      <c r="P598" s="327">
        <v>1</v>
      </c>
      <c r="Q598" s="327">
        <v>0</v>
      </c>
      <c r="R598" s="341">
        <f t="shared" si="477"/>
        <v>1</v>
      </c>
      <c r="S598" s="328">
        <f t="shared" si="478"/>
        <v>105</v>
      </c>
      <c r="T598" s="327">
        <v>0</v>
      </c>
      <c r="U598" s="327">
        <v>0</v>
      </c>
      <c r="V598" s="327">
        <v>0</v>
      </c>
      <c r="W598" s="341">
        <f t="shared" si="479"/>
        <v>0</v>
      </c>
      <c r="X598" s="328">
        <f t="shared" si="480"/>
        <v>0</v>
      </c>
      <c r="Y598" s="328">
        <f t="shared" si="481"/>
        <v>2</v>
      </c>
      <c r="Z598" s="329">
        <f>210/Y598</f>
        <v>105</v>
      </c>
      <c r="AA598" s="330">
        <f t="shared" si="482"/>
        <v>210</v>
      </c>
    </row>
    <row r="599" spans="1:27" ht="28.35" customHeight="1">
      <c r="A599" s="325">
        <v>4</v>
      </c>
      <c r="B599" s="299"/>
      <c r="C599" s="326" t="s">
        <v>1073</v>
      </c>
      <c r="D599" s="333" t="s">
        <v>1074</v>
      </c>
      <c r="E599" s="327">
        <v>0</v>
      </c>
      <c r="F599" s="327">
        <v>0</v>
      </c>
      <c r="G599" s="327">
        <v>0</v>
      </c>
      <c r="H599" s="341">
        <f t="shared" si="483"/>
        <v>0</v>
      </c>
      <c r="I599" s="328">
        <f t="shared" si="474"/>
        <v>0</v>
      </c>
      <c r="J599" s="327">
        <v>0</v>
      </c>
      <c r="K599" s="327">
        <v>2</v>
      </c>
      <c r="L599" s="327">
        <v>0</v>
      </c>
      <c r="M599" s="341">
        <f t="shared" si="475"/>
        <v>2</v>
      </c>
      <c r="N599" s="328">
        <f t="shared" si="476"/>
        <v>88</v>
      </c>
      <c r="O599" s="327">
        <v>0</v>
      </c>
      <c r="P599" s="327">
        <v>0</v>
      </c>
      <c r="Q599" s="327">
        <v>2</v>
      </c>
      <c r="R599" s="341">
        <f t="shared" si="477"/>
        <v>2</v>
      </c>
      <c r="S599" s="328">
        <f t="shared" si="478"/>
        <v>88</v>
      </c>
      <c r="T599" s="327">
        <v>0</v>
      </c>
      <c r="U599" s="327">
        <v>2</v>
      </c>
      <c r="V599" s="327">
        <v>0</v>
      </c>
      <c r="W599" s="341">
        <f t="shared" si="479"/>
        <v>2</v>
      </c>
      <c r="X599" s="328">
        <f t="shared" si="480"/>
        <v>88</v>
      </c>
      <c r="Y599" s="328">
        <f t="shared" si="481"/>
        <v>6</v>
      </c>
      <c r="Z599" s="329">
        <f>264/Y599</f>
        <v>44</v>
      </c>
      <c r="AA599" s="330">
        <f t="shared" si="482"/>
        <v>264</v>
      </c>
    </row>
    <row r="600" spans="1:27" ht="28.35" customHeight="1">
      <c r="A600" s="332"/>
      <c r="B600" s="299"/>
      <c r="C600" s="299"/>
      <c r="D600" s="300"/>
      <c r="E600" s="334"/>
      <c r="F600" s="334"/>
      <c r="G600" s="334"/>
      <c r="H600" s="335"/>
      <c r="I600" s="301"/>
      <c r="J600" s="334"/>
      <c r="K600" s="334"/>
      <c r="L600" s="334"/>
      <c r="M600" s="335"/>
      <c r="N600" s="301"/>
      <c r="O600" s="334"/>
      <c r="P600" s="334"/>
      <c r="Q600" s="334"/>
      <c r="R600" s="335"/>
      <c r="S600" s="301"/>
      <c r="T600" s="334"/>
      <c r="U600" s="334"/>
      <c r="V600" s="334"/>
      <c r="W600" s="335"/>
      <c r="X600" s="301"/>
      <c r="Y600" s="301"/>
      <c r="Z600" s="274"/>
      <c r="AA600" s="346"/>
    </row>
    <row r="601" spans="1:27" ht="30" customHeight="1" thickBot="1">
      <c r="A601" s="331"/>
      <c r="B601" s="299"/>
      <c r="C601" s="299"/>
      <c r="D601" s="300"/>
      <c r="E601" s="334"/>
      <c r="F601" s="334"/>
      <c r="G601" s="334"/>
      <c r="H601" s="335"/>
      <c r="I601" s="301"/>
      <c r="J601" s="334"/>
      <c r="K601" s="334"/>
      <c r="L601" s="334"/>
      <c r="M601" s="335"/>
      <c r="N601" s="301"/>
      <c r="O601" s="334"/>
      <c r="P601" s="334"/>
      <c r="Q601" s="334"/>
      <c r="R601" s="335"/>
      <c r="S601" s="301"/>
      <c r="T601" s="334"/>
      <c r="U601" s="334"/>
      <c r="V601" s="334"/>
      <c r="W601" s="335"/>
      <c r="X601" s="301"/>
      <c r="Y601" s="301"/>
      <c r="Z601" s="274"/>
      <c r="AA601" s="302"/>
    </row>
    <row r="602" spans="1:27" ht="28.35" customHeight="1" thickBot="1">
      <c r="A602" s="256" t="s">
        <v>336</v>
      </c>
      <c r="B602" s="336"/>
      <c r="C602" s="336"/>
      <c r="D602" s="337"/>
      <c r="E602" s="337"/>
      <c r="F602" s="337"/>
      <c r="G602" s="337"/>
      <c r="H602" s="337"/>
      <c r="I602" s="338"/>
      <c r="J602" s="337"/>
      <c r="K602" s="337"/>
      <c r="L602" s="337"/>
      <c r="M602" s="337"/>
      <c r="N602" s="338"/>
      <c r="O602" s="337"/>
      <c r="P602" s="337"/>
      <c r="Q602" s="337"/>
      <c r="R602" s="337"/>
      <c r="S602" s="338"/>
      <c r="T602" s="337"/>
      <c r="U602" s="337"/>
      <c r="V602" s="337"/>
      <c r="W602" s="337"/>
      <c r="X602" s="338"/>
      <c r="Y602" s="338"/>
      <c r="Z602" s="339"/>
      <c r="AA602" s="340"/>
    </row>
    <row r="603" spans="1:27" ht="28.35" customHeight="1">
      <c r="A603" s="325">
        <v>1</v>
      </c>
      <c r="B603" s="294"/>
      <c r="C603" s="326" t="s">
        <v>1075</v>
      </c>
      <c r="D603" s="333" t="s">
        <v>364</v>
      </c>
      <c r="E603" s="327">
        <v>0</v>
      </c>
      <c r="F603" s="327">
        <v>0</v>
      </c>
      <c r="G603" s="327">
        <v>0</v>
      </c>
      <c r="H603" s="341">
        <f t="shared" ref="H603:H606" si="484">SUM(E603:G603)</f>
        <v>0</v>
      </c>
      <c r="I603" s="328" t="e">
        <f t="shared" ref="I603:I606" si="485">H603*$Z603</f>
        <v>#DIV/0!</v>
      </c>
      <c r="J603" s="327">
        <v>0</v>
      </c>
      <c r="K603" s="327">
        <v>0</v>
      </c>
      <c r="L603" s="327">
        <v>0</v>
      </c>
      <c r="M603" s="341">
        <f t="shared" ref="M603:M606" si="486">SUM(J603:L603)</f>
        <v>0</v>
      </c>
      <c r="N603" s="328" t="e">
        <f t="shared" ref="N603:N606" si="487">M603*$Z603</f>
        <v>#DIV/0!</v>
      </c>
      <c r="O603" s="327">
        <v>0</v>
      </c>
      <c r="P603" s="327">
        <v>0</v>
      </c>
      <c r="Q603" s="327">
        <v>0</v>
      </c>
      <c r="R603" s="341">
        <f t="shared" ref="R603:R605" si="488">SUM(O603:Q603)</f>
        <v>0</v>
      </c>
      <c r="S603" s="328" t="e">
        <f t="shared" ref="S603:S606" si="489">R603*$Z603</f>
        <v>#DIV/0!</v>
      </c>
      <c r="T603" s="327">
        <v>0</v>
      </c>
      <c r="U603" s="327">
        <v>0</v>
      </c>
      <c r="V603" s="327">
        <v>0</v>
      </c>
      <c r="W603" s="341">
        <f t="shared" ref="W603:W606" si="490">SUM(T603:V603)</f>
        <v>0</v>
      </c>
      <c r="X603" s="328" t="e">
        <f t="shared" ref="X603:X606" si="491">W603*$Z603</f>
        <v>#DIV/0!</v>
      </c>
      <c r="Y603" s="328">
        <f t="shared" ref="Y603:Y606" si="492">H603+M603+R603+W603</f>
        <v>0</v>
      </c>
      <c r="Z603" s="329" t="e">
        <f>360/Y603</f>
        <v>#DIV/0!</v>
      </c>
      <c r="AA603" s="330" t="e">
        <f t="shared" ref="AA603:AA606" si="493">Y603*Z603</f>
        <v>#DIV/0!</v>
      </c>
    </row>
    <row r="604" spans="1:27" ht="28.35" customHeight="1">
      <c r="A604" s="331">
        <v>2</v>
      </c>
      <c r="B604" s="299"/>
      <c r="C604" s="326" t="s">
        <v>1076</v>
      </c>
      <c r="D604" s="333" t="s">
        <v>367</v>
      </c>
      <c r="E604" s="327">
        <v>0</v>
      </c>
      <c r="F604" s="327">
        <v>0</v>
      </c>
      <c r="G604" s="327">
        <v>0</v>
      </c>
      <c r="H604" s="341">
        <f t="shared" si="484"/>
        <v>0</v>
      </c>
      <c r="I604" s="328">
        <f t="shared" si="485"/>
        <v>0</v>
      </c>
      <c r="J604" s="327">
        <v>1</v>
      </c>
      <c r="K604" s="327">
        <v>0</v>
      </c>
      <c r="L604" s="327">
        <v>0</v>
      </c>
      <c r="M604" s="341">
        <f t="shared" si="486"/>
        <v>1</v>
      </c>
      <c r="N604" s="328">
        <f t="shared" si="487"/>
        <v>500</v>
      </c>
      <c r="O604" s="327">
        <v>0</v>
      </c>
      <c r="P604" s="327">
        <v>0</v>
      </c>
      <c r="Q604" s="327">
        <v>0</v>
      </c>
      <c r="R604" s="341">
        <f t="shared" si="488"/>
        <v>0</v>
      </c>
      <c r="S604" s="328">
        <f t="shared" si="489"/>
        <v>0</v>
      </c>
      <c r="T604" s="327">
        <v>0</v>
      </c>
      <c r="U604" s="327">
        <v>0</v>
      </c>
      <c r="V604" s="327">
        <v>0</v>
      </c>
      <c r="W604" s="341">
        <f t="shared" si="490"/>
        <v>0</v>
      </c>
      <c r="X604" s="328">
        <f t="shared" si="491"/>
        <v>0</v>
      </c>
      <c r="Y604" s="328">
        <f t="shared" si="492"/>
        <v>1</v>
      </c>
      <c r="Z604" s="329">
        <f>1500/3</f>
        <v>500</v>
      </c>
      <c r="AA604" s="330">
        <f t="shared" si="493"/>
        <v>500</v>
      </c>
    </row>
    <row r="605" spans="1:27" ht="28.35" customHeight="1" thickBot="1">
      <c r="A605" s="332">
        <v>3</v>
      </c>
      <c r="B605" s="299"/>
      <c r="C605" s="326" t="s">
        <v>1077</v>
      </c>
      <c r="D605" s="333" t="s">
        <v>367</v>
      </c>
      <c r="E605" s="327">
        <v>0</v>
      </c>
      <c r="F605" s="327">
        <v>0</v>
      </c>
      <c r="G605" s="327">
        <v>0</v>
      </c>
      <c r="H605" s="341">
        <f t="shared" si="484"/>
        <v>0</v>
      </c>
      <c r="I605" s="328">
        <f t="shared" si="485"/>
        <v>0</v>
      </c>
      <c r="J605" s="327">
        <v>1</v>
      </c>
      <c r="K605" s="327">
        <v>0</v>
      </c>
      <c r="L605" s="327">
        <v>0</v>
      </c>
      <c r="M605" s="341">
        <f t="shared" si="486"/>
        <v>1</v>
      </c>
      <c r="N605" s="328">
        <f t="shared" si="487"/>
        <v>600</v>
      </c>
      <c r="O605" s="327">
        <v>0</v>
      </c>
      <c r="P605" s="327">
        <v>0</v>
      </c>
      <c r="Q605" s="327">
        <v>0</v>
      </c>
      <c r="R605" s="341">
        <f t="shared" si="488"/>
        <v>0</v>
      </c>
      <c r="S605" s="328">
        <f t="shared" si="489"/>
        <v>0</v>
      </c>
      <c r="T605" s="327">
        <v>0</v>
      </c>
      <c r="U605" s="327">
        <v>0</v>
      </c>
      <c r="V605" s="327">
        <v>0</v>
      </c>
      <c r="W605" s="341">
        <f t="shared" si="490"/>
        <v>0</v>
      </c>
      <c r="X605" s="328">
        <f t="shared" si="491"/>
        <v>0</v>
      </c>
      <c r="Y605" s="328">
        <f t="shared" si="492"/>
        <v>1</v>
      </c>
      <c r="Z605" s="329">
        <f>1800/3</f>
        <v>600</v>
      </c>
      <c r="AA605" s="330">
        <f t="shared" si="493"/>
        <v>600</v>
      </c>
    </row>
    <row r="606" spans="1:27" ht="28.35" customHeight="1">
      <c r="A606" s="325">
        <v>4</v>
      </c>
      <c r="B606" s="299"/>
      <c r="C606" s="326" t="s">
        <v>1078</v>
      </c>
      <c r="D606" s="333" t="s">
        <v>364</v>
      </c>
      <c r="E606" s="327">
        <v>0</v>
      </c>
      <c r="F606" s="327">
        <v>0</v>
      </c>
      <c r="G606" s="327">
        <v>0</v>
      </c>
      <c r="H606" s="341">
        <f t="shared" si="484"/>
        <v>0</v>
      </c>
      <c r="I606" s="328">
        <f t="shared" si="485"/>
        <v>0</v>
      </c>
      <c r="J606" s="327">
        <v>0</v>
      </c>
      <c r="K606" s="327">
        <v>30</v>
      </c>
      <c r="L606" s="327">
        <v>0</v>
      </c>
      <c r="M606" s="341">
        <f t="shared" si="486"/>
        <v>30</v>
      </c>
      <c r="N606" s="328">
        <f t="shared" si="487"/>
        <v>360</v>
      </c>
      <c r="O606" s="327">
        <v>0</v>
      </c>
      <c r="P606" s="327">
        <v>0</v>
      </c>
      <c r="Q606" s="327">
        <v>0</v>
      </c>
      <c r="R606" s="341">
        <f>SUM(O606:Q606)</f>
        <v>0</v>
      </c>
      <c r="S606" s="328">
        <f t="shared" si="489"/>
        <v>0</v>
      </c>
      <c r="T606" s="327">
        <v>0</v>
      </c>
      <c r="U606" s="327">
        <v>0</v>
      </c>
      <c r="V606" s="327">
        <v>0</v>
      </c>
      <c r="W606" s="341">
        <f t="shared" si="490"/>
        <v>0</v>
      </c>
      <c r="X606" s="328">
        <f t="shared" si="491"/>
        <v>0</v>
      </c>
      <c r="Y606" s="328">
        <f t="shared" si="492"/>
        <v>30</v>
      </c>
      <c r="Z606" s="329">
        <f>720/60</f>
        <v>12</v>
      </c>
      <c r="AA606" s="330">
        <f t="shared" si="493"/>
        <v>360</v>
      </c>
    </row>
    <row r="607" spans="1:27" ht="28.35" customHeight="1">
      <c r="A607" s="331">
        <v>5</v>
      </c>
      <c r="B607" s="299"/>
      <c r="C607" s="326" t="s">
        <v>1079</v>
      </c>
      <c r="D607" s="333" t="s">
        <v>339</v>
      </c>
      <c r="E607" s="327">
        <v>0</v>
      </c>
      <c r="F607" s="327">
        <v>0</v>
      </c>
      <c r="G607" s="327">
        <v>0</v>
      </c>
      <c r="H607" s="341">
        <f>SUM(E607:G607)</f>
        <v>0</v>
      </c>
      <c r="I607" s="328">
        <f>H607*$Z607</f>
        <v>0</v>
      </c>
      <c r="J607" s="327">
        <v>0</v>
      </c>
      <c r="K607" s="327">
        <v>0</v>
      </c>
      <c r="L607" s="327">
        <v>0</v>
      </c>
      <c r="M607" s="341">
        <f>SUM(J607:L607)</f>
        <v>0</v>
      </c>
      <c r="N607" s="328">
        <f>M607*$Z607</f>
        <v>0</v>
      </c>
      <c r="O607" s="327">
        <v>0</v>
      </c>
      <c r="P607" s="327">
        <v>0</v>
      </c>
      <c r="Q607" s="327">
        <v>0</v>
      </c>
      <c r="R607" s="341">
        <f>SUM(O607:Q607)</f>
        <v>0</v>
      </c>
      <c r="S607" s="328">
        <f>R607*$Z607</f>
        <v>0</v>
      </c>
      <c r="T607" s="327">
        <v>0</v>
      </c>
      <c r="U607" s="327">
        <v>0</v>
      </c>
      <c r="V607" s="327">
        <v>0</v>
      </c>
      <c r="W607" s="341">
        <f>SUM(T607:V607)</f>
        <v>0</v>
      </c>
      <c r="X607" s="328">
        <f>W607*$Z607</f>
        <v>0</v>
      </c>
      <c r="Y607" s="328">
        <f>H607+M607+R607+W607</f>
        <v>0</v>
      </c>
      <c r="Z607" s="329">
        <f>1800/12</f>
        <v>150</v>
      </c>
      <c r="AA607" s="330">
        <f>Y607*Z607</f>
        <v>0</v>
      </c>
    </row>
    <row r="608" spans="1:27" ht="28.35" customHeight="1" thickBot="1">
      <c r="A608" s="332">
        <v>6</v>
      </c>
      <c r="B608" s="299"/>
      <c r="C608" s="326" t="s">
        <v>1080</v>
      </c>
      <c r="D608" s="333" t="s">
        <v>364</v>
      </c>
      <c r="E608" s="327">
        <v>0</v>
      </c>
      <c r="F608" s="327">
        <v>0</v>
      </c>
      <c r="G608" s="327">
        <v>0</v>
      </c>
      <c r="H608" s="341">
        <f t="shared" ref="H608" si="494">SUM(E608:G608)</f>
        <v>0</v>
      </c>
      <c r="I608" s="328" t="e">
        <f t="shared" ref="I608:I644" si="495">H608*$Z608</f>
        <v>#DIV/0!</v>
      </c>
      <c r="J608" s="327">
        <v>0</v>
      </c>
      <c r="K608" s="327">
        <v>0</v>
      </c>
      <c r="L608" s="327">
        <v>0</v>
      </c>
      <c r="M608" s="341">
        <f t="shared" ref="M608" si="496">SUM(J608:L608)</f>
        <v>0</v>
      </c>
      <c r="N608" s="328" t="e">
        <f t="shared" ref="N608:N644" si="497">M608*$Z608</f>
        <v>#DIV/0!</v>
      </c>
      <c r="O608" s="327">
        <v>0</v>
      </c>
      <c r="P608" s="327">
        <v>0</v>
      </c>
      <c r="Q608" s="327">
        <v>0</v>
      </c>
      <c r="R608" s="341">
        <f t="shared" ref="R608" si="498">SUM(O608:Q608)</f>
        <v>0</v>
      </c>
      <c r="S608" s="328" t="e">
        <f t="shared" ref="S608:S644" si="499">R608*$Z608</f>
        <v>#DIV/0!</v>
      </c>
      <c r="T608" s="327">
        <v>0</v>
      </c>
      <c r="U608" s="327">
        <v>0</v>
      </c>
      <c r="V608" s="327">
        <v>0</v>
      </c>
      <c r="W608" s="341">
        <f t="shared" ref="W608" si="500">SUM(T608:V608)</f>
        <v>0</v>
      </c>
      <c r="X608" s="328" t="e">
        <f t="shared" ref="X608:X644" si="501">W608*$Z608</f>
        <v>#DIV/0!</v>
      </c>
      <c r="Y608" s="328">
        <f t="shared" ref="Y608:Y644" si="502">H608+M608+R608+W608</f>
        <v>0</v>
      </c>
      <c r="Z608" s="329" t="e">
        <f>1800/Y608</f>
        <v>#DIV/0!</v>
      </c>
      <c r="AA608" s="330" t="e">
        <f t="shared" ref="AA608:AA644" si="503">Y608*Z608</f>
        <v>#DIV/0!</v>
      </c>
    </row>
    <row r="609" spans="1:27" ht="28.35" customHeight="1">
      <c r="A609" s="325">
        <v>7</v>
      </c>
      <c r="B609" s="299"/>
      <c r="C609" s="326" t="s">
        <v>1081</v>
      </c>
      <c r="D609" s="333" t="s">
        <v>339</v>
      </c>
      <c r="E609" s="327">
        <v>0</v>
      </c>
      <c r="F609" s="327">
        <f t="shared" ref="F609:G629" si="504">0+0</f>
        <v>0</v>
      </c>
      <c r="G609" s="327">
        <f t="shared" si="504"/>
        <v>0</v>
      </c>
      <c r="H609" s="341">
        <f t="shared" ref="H609:H634" si="505">SUM(E609:G609)</f>
        <v>0</v>
      </c>
      <c r="I609" s="328">
        <f t="shared" si="495"/>
        <v>0</v>
      </c>
      <c r="J609" s="327">
        <f>0+5</f>
        <v>5</v>
      </c>
      <c r="K609" s="327">
        <f t="shared" ref="K609:L613" si="506">0+0</f>
        <v>0</v>
      </c>
      <c r="L609" s="327">
        <f t="shared" si="506"/>
        <v>0</v>
      </c>
      <c r="M609" s="341">
        <f t="shared" ref="M609:M633" si="507">SUM(J609:L609)</f>
        <v>5</v>
      </c>
      <c r="N609" s="328">
        <f t="shared" si="497"/>
        <v>180</v>
      </c>
      <c r="O609" s="327">
        <f>0+0</f>
        <v>0</v>
      </c>
      <c r="P609" s="327">
        <f>0+0</f>
        <v>0</v>
      </c>
      <c r="Q609" s="327">
        <f>0+0</f>
        <v>0</v>
      </c>
      <c r="R609" s="341">
        <f t="shared" ref="R609:R636" si="508">SUM(O609:Q609)</f>
        <v>0</v>
      </c>
      <c r="S609" s="328">
        <f t="shared" si="499"/>
        <v>0</v>
      </c>
      <c r="T609" s="327">
        <f t="shared" ref="T609:V650" si="509">0+0</f>
        <v>0</v>
      </c>
      <c r="U609" s="327">
        <f t="shared" si="509"/>
        <v>0</v>
      </c>
      <c r="V609" s="327">
        <f t="shared" si="509"/>
        <v>0</v>
      </c>
      <c r="W609" s="341">
        <f t="shared" ref="W609:W636" si="510">SUM(T609:V609)</f>
        <v>0</v>
      </c>
      <c r="X609" s="328">
        <f t="shared" si="501"/>
        <v>0</v>
      </c>
      <c r="Y609" s="328">
        <f t="shared" si="502"/>
        <v>5</v>
      </c>
      <c r="Z609" s="329">
        <f>360/10</f>
        <v>36</v>
      </c>
      <c r="AA609" s="330">
        <f t="shared" si="503"/>
        <v>180</v>
      </c>
    </row>
    <row r="610" spans="1:27" ht="28.35" customHeight="1">
      <c r="A610" s="331">
        <v>8</v>
      </c>
      <c r="B610" s="299"/>
      <c r="C610" s="326" t="s">
        <v>1081</v>
      </c>
      <c r="D610" s="327" t="s">
        <v>364</v>
      </c>
      <c r="E610" s="327">
        <v>0</v>
      </c>
      <c r="F610" s="327">
        <v>0</v>
      </c>
      <c r="G610" s="327">
        <v>0</v>
      </c>
      <c r="H610" s="341">
        <f>SUM(E610:G610)</f>
        <v>0</v>
      </c>
      <c r="I610" s="328">
        <f>H610*$Z610</f>
        <v>0</v>
      </c>
      <c r="J610" s="327">
        <v>12</v>
      </c>
      <c r="K610" s="327">
        <v>0</v>
      </c>
      <c r="L610" s="327">
        <v>0</v>
      </c>
      <c r="M610" s="341">
        <f>SUM(J610:L610)</f>
        <v>12</v>
      </c>
      <c r="N610" s="328">
        <f>M610*$Z610</f>
        <v>270</v>
      </c>
      <c r="O610" s="327">
        <v>24</v>
      </c>
      <c r="P610" s="327">
        <v>0</v>
      </c>
      <c r="Q610" s="327">
        <v>0</v>
      </c>
      <c r="R610" s="341">
        <f>SUM(O610:Q610)</f>
        <v>24</v>
      </c>
      <c r="S610" s="328">
        <f>R610*$Z610</f>
        <v>540</v>
      </c>
      <c r="T610" s="327">
        <v>12</v>
      </c>
      <c r="U610" s="327">
        <v>0</v>
      </c>
      <c r="V610" s="327">
        <v>0</v>
      </c>
      <c r="W610" s="341">
        <f>SUM(T610:V610)</f>
        <v>12</v>
      </c>
      <c r="X610" s="328">
        <f>W610*$Z610</f>
        <v>270</v>
      </c>
      <c r="Y610" s="328">
        <f>H610+M610+R610+W610</f>
        <v>48</v>
      </c>
      <c r="Z610" s="329">
        <f>1080/Y610</f>
        <v>22.5</v>
      </c>
      <c r="AA610" s="330">
        <f>Y610*Z610</f>
        <v>1080</v>
      </c>
    </row>
    <row r="611" spans="1:27" ht="28.35" customHeight="1" thickBot="1">
      <c r="A611" s="332">
        <v>9</v>
      </c>
      <c r="B611" s="299"/>
      <c r="C611" s="326" t="s">
        <v>1082</v>
      </c>
      <c r="D611" s="333" t="s">
        <v>357</v>
      </c>
      <c r="E611" s="327">
        <v>0</v>
      </c>
      <c r="F611" s="327">
        <f t="shared" si="504"/>
        <v>0</v>
      </c>
      <c r="G611" s="327">
        <f t="shared" si="504"/>
        <v>0</v>
      </c>
      <c r="H611" s="341">
        <f t="shared" si="505"/>
        <v>0</v>
      </c>
      <c r="I611" s="328">
        <f t="shared" si="495"/>
        <v>0</v>
      </c>
      <c r="J611" s="327">
        <f>0+6</f>
        <v>6</v>
      </c>
      <c r="K611" s="327">
        <f t="shared" si="506"/>
        <v>0</v>
      </c>
      <c r="L611" s="327">
        <f t="shared" si="506"/>
        <v>0</v>
      </c>
      <c r="M611" s="341">
        <f t="shared" si="507"/>
        <v>6</v>
      </c>
      <c r="N611" s="328">
        <f t="shared" si="497"/>
        <v>198</v>
      </c>
      <c r="O611" s="327">
        <f>0+6</f>
        <v>6</v>
      </c>
      <c r="P611" s="327">
        <f t="shared" ref="P611:Q650" si="511">0+0</f>
        <v>0</v>
      </c>
      <c r="Q611" s="327">
        <f t="shared" si="511"/>
        <v>0</v>
      </c>
      <c r="R611" s="341">
        <f t="shared" si="508"/>
        <v>6</v>
      </c>
      <c r="S611" s="328">
        <f t="shared" si="499"/>
        <v>198</v>
      </c>
      <c r="T611" s="327">
        <f t="shared" si="509"/>
        <v>0</v>
      </c>
      <c r="U611" s="327">
        <f t="shared" si="509"/>
        <v>0</v>
      </c>
      <c r="V611" s="327">
        <f t="shared" si="509"/>
        <v>0</v>
      </c>
      <c r="W611" s="341">
        <f t="shared" si="510"/>
        <v>0</v>
      </c>
      <c r="X611" s="328">
        <f t="shared" si="501"/>
        <v>0</v>
      </c>
      <c r="Y611" s="328">
        <f t="shared" si="502"/>
        <v>12</v>
      </c>
      <c r="Z611" s="329">
        <f>594/18</f>
        <v>33</v>
      </c>
      <c r="AA611" s="330">
        <f t="shared" si="503"/>
        <v>396</v>
      </c>
    </row>
    <row r="612" spans="1:27" ht="28.35" customHeight="1">
      <c r="A612" s="325">
        <v>10</v>
      </c>
      <c r="B612" s="299"/>
      <c r="C612" s="326" t="s">
        <v>1083</v>
      </c>
      <c r="D612" s="333" t="s">
        <v>357</v>
      </c>
      <c r="E612" s="327">
        <v>0</v>
      </c>
      <c r="F612" s="327">
        <v>0</v>
      </c>
      <c r="G612" s="327">
        <v>0</v>
      </c>
      <c r="H612" s="341">
        <f t="shared" ref="H612" si="512">SUM(E612:G612)</f>
        <v>0</v>
      </c>
      <c r="I612" s="328">
        <f t="shared" si="495"/>
        <v>0</v>
      </c>
      <c r="J612" s="327">
        <v>0</v>
      </c>
      <c r="K612" s="327">
        <v>2</v>
      </c>
      <c r="L612" s="327">
        <v>0</v>
      </c>
      <c r="M612" s="341">
        <f t="shared" ref="M612" si="513">SUM(J612:L612)</f>
        <v>2</v>
      </c>
      <c r="N612" s="328">
        <f t="shared" si="497"/>
        <v>62.4</v>
      </c>
      <c r="O612" s="327">
        <v>4</v>
      </c>
      <c r="P612" s="327">
        <v>0</v>
      </c>
      <c r="Q612" s="327">
        <v>0</v>
      </c>
      <c r="R612" s="341">
        <f t="shared" ref="R612" si="514">SUM(O612:Q612)</f>
        <v>4</v>
      </c>
      <c r="S612" s="328">
        <f t="shared" si="499"/>
        <v>124.8</v>
      </c>
      <c r="T612" s="327">
        <v>4</v>
      </c>
      <c r="U612" s="327">
        <v>0</v>
      </c>
      <c r="V612" s="327">
        <v>0</v>
      </c>
      <c r="W612" s="341">
        <f t="shared" ref="W612" si="515">SUM(T612:V612)</f>
        <v>4</v>
      </c>
      <c r="X612" s="328">
        <f t="shared" si="501"/>
        <v>124.8</v>
      </c>
      <c r="Y612" s="328">
        <f t="shared" si="502"/>
        <v>10</v>
      </c>
      <c r="Z612" s="329">
        <f>62.4/2</f>
        <v>31.2</v>
      </c>
      <c r="AA612" s="330">
        <f>Y612*Z612</f>
        <v>312</v>
      </c>
    </row>
    <row r="613" spans="1:27" ht="28.35" customHeight="1">
      <c r="A613" s="331">
        <v>11</v>
      </c>
      <c r="B613" s="299"/>
      <c r="C613" s="326" t="s">
        <v>1084</v>
      </c>
      <c r="D613" s="333" t="s">
        <v>357</v>
      </c>
      <c r="E613" s="327">
        <v>0</v>
      </c>
      <c r="F613" s="327">
        <f t="shared" si="504"/>
        <v>0</v>
      </c>
      <c r="G613" s="327">
        <f t="shared" si="504"/>
        <v>0</v>
      </c>
      <c r="H613" s="341">
        <f t="shared" si="505"/>
        <v>0</v>
      </c>
      <c r="I613" s="328">
        <f t="shared" si="495"/>
        <v>0</v>
      </c>
      <c r="J613" s="327">
        <f>0+6</f>
        <v>6</v>
      </c>
      <c r="K613" s="327">
        <f t="shared" si="506"/>
        <v>0</v>
      </c>
      <c r="L613" s="327">
        <f t="shared" si="506"/>
        <v>0</v>
      </c>
      <c r="M613" s="341">
        <f t="shared" si="507"/>
        <v>6</v>
      </c>
      <c r="N613" s="328">
        <f t="shared" si="497"/>
        <v>300</v>
      </c>
      <c r="O613" s="327">
        <f>0+6</f>
        <v>6</v>
      </c>
      <c r="P613" s="327">
        <f t="shared" si="511"/>
        <v>0</v>
      </c>
      <c r="Q613" s="327">
        <f t="shared" si="511"/>
        <v>0</v>
      </c>
      <c r="R613" s="341">
        <f t="shared" si="508"/>
        <v>6</v>
      </c>
      <c r="S613" s="328">
        <f t="shared" si="499"/>
        <v>300</v>
      </c>
      <c r="T613" s="327">
        <f t="shared" si="509"/>
        <v>0</v>
      </c>
      <c r="U613" s="327">
        <f t="shared" si="509"/>
        <v>0</v>
      </c>
      <c r="V613" s="327">
        <f t="shared" si="509"/>
        <v>0</v>
      </c>
      <c r="W613" s="341">
        <f t="shared" si="510"/>
        <v>0</v>
      </c>
      <c r="X613" s="328">
        <f t="shared" si="501"/>
        <v>0</v>
      </c>
      <c r="Y613" s="328">
        <f t="shared" si="502"/>
        <v>12</v>
      </c>
      <c r="Z613" s="329">
        <f>900/18</f>
        <v>50</v>
      </c>
      <c r="AA613" s="330">
        <f t="shared" si="503"/>
        <v>600</v>
      </c>
    </row>
    <row r="614" spans="1:27" ht="28.35" customHeight="1" thickBot="1">
      <c r="A614" s="332">
        <v>12</v>
      </c>
      <c r="B614" s="299"/>
      <c r="C614" s="326" t="s">
        <v>1085</v>
      </c>
      <c r="D614" s="333" t="s">
        <v>364</v>
      </c>
      <c r="E614" s="327">
        <v>0</v>
      </c>
      <c r="F614" s="327">
        <v>0</v>
      </c>
      <c r="G614" s="327">
        <v>0</v>
      </c>
      <c r="H614" s="341">
        <f t="shared" ref="H614:H620" si="516">SUM(E614:G614)</f>
        <v>0</v>
      </c>
      <c r="I614" s="328">
        <f t="shared" si="495"/>
        <v>0</v>
      </c>
      <c r="J614" s="327">
        <v>0</v>
      </c>
      <c r="K614" s="327">
        <v>0</v>
      </c>
      <c r="L614" s="327">
        <v>4</v>
      </c>
      <c r="M614" s="341">
        <f t="shared" ref="M614:M621" si="517">SUM(J614:L614)</f>
        <v>4</v>
      </c>
      <c r="N614" s="328">
        <f t="shared" si="497"/>
        <v>300</v>
      </c>
      <c r="O614" s="327">
        <v>0</v>
      </c>
      <c r="P614" s="327">
        <v>0</v>
      </c>
      <c r="Q614" s="327">
        <v>0</v>
      </c>
      <c r="R614" s="341">
        <f t="shared" ref="R614:R617" si="518">SUM(O614:Q614)</f>
        <v>0</v>
      </c>
      <c r="S614" s="328">
        <f t="shared" si="499"/>
        <v>0</v>
      </c>
      <c r="T614" s="327">
        <v>4</v>
      </c>
      <c r="U614" s="327">
        <v>0</v>
      </c>
      <c r="V614" s="327">
        <v>0</v>
      </c>
      <c r="W614" s="341">
        <f t="shared" ref="W614:W617" si="519">SUM(T614:V614)</f>
        <v>4</v>
      </c>
      <c r="X614" s="328">
        <f t="shared" si="501"/>
        <v>300</v>
      </c>
      <c r="Y614" s="328">
        <f t="shared" si="502"/>
        <v>8</v>
      </c>
      <c r="Z614" s="329">
        <f>600/Y614</f>
        <v>75</v>
      </c>
      <c r="AA614" s="330">
        <f t="shared" si="503"/>
        <v>600</v>
      </c>
    </row>
    <row r="615" spans="1:27" ht="28.35" customHeight="1">
      <c r="A615" s="325">
        <v>13</v>
      </c>
      <c r="B615" s="299"/>
      <c r="C615" s="326" t="s">
        <v>1086</v>
      </c>
      <c r="D615" s="333" t="s">
        <v>331</v>
      </c>
      <c r="E615" s="327">
        <v>0</v>
      </c>
      <c r="F615" s="327">
        <v>0</v>
      </c>
      <c r="G615" s="327">
        <v>0</v>
      </c>
      <c r="H615" s="341">
        <f t="shared" si="516"/>
        <v>0</v>
      </c>
      <c r="I615" s="328" t="e">
        <f t="shared" si="495"/>
        <v>#DIV/0!</v>
      </c>
      <c r="J615" s="327">
        <v>0</v>
      </c>
      <c r="K615" s="327">
        <v>0</v>
      </c>
      <c r="L615" s="327">
        <v>0</v>
      </c>
      <c r="M615" s="341">
        <f t="shared" si="517"/>
        <v>0</v>
      </c>
      <c r="N615" s="328" t="e">
        <f t="shared" si="497"/>
        <v>#DIV/0!</v>
      </c>
      <c r="O615" s="327">
        <v>0</v>
      </c>
      <c r="P615" s="327">
        <v>0</v>
      </c>
      <c r="Q615" s="327">
        <v>0</v>
      </c>
      <c r="R615" s="341">
        <f t="shared" si="518"/>
        <v>0</v>
      </c>
      <c r="S615" s="328" t="e">
        <f t="shared" si="499"/>
        <v>#DIV/0!</v>
      </c>
      <c r="T615" s="327">
        <v>0</v>
      </c>
      <c r="U615" s="327">
        <v>0</v>
      </c>
      <c r="V615" s="327">
        <v>0</v>
      </c>
      <c r="W615" s="341">
        <f t="shared" si="519"/>
        <v>0</v>
      </c>
      <c r="X615" s="328" t="e">
        <f t="shared" si="501"/>
        <v>#DIV/0!</v>
      </c>
      <c r="Y615" s="328">
        <f t="shared" si="502"/>
        <v>0</v>
      </c>
      <c r="Z615" s="329" t="e">
        <f>8100/Y615</f>
        <v>#DIV/0!</v>
      </c>
      <c r="AA615" s="330" t="e">
        <f t="shared" si="503"/>
        <v>#DIV/0!</v>
      </c>
    </row>
    <row r="616" spans="1:27" ht="28.35" customHeight="1">
      <c r="A616" s="331">
        <v>14</v>
      </c>
      <c r="B616" s="299"/>
      <c r="C616" s="326" t="s">
        <v>1087</v>
      </c>
      <c r="D616" s="333" t="s">
        <v>367</v>
      </c>
      <c r="E616" s="327">
        <v>0</v>
      </c>
      <c r="F616" s="327">
        <v>0</v>
      </c>
      <c r="G616" s="327">
        <v>0</v>
      </c>
      <c r="H616" s="341">
        <f t="shared" si="516"/>
        <v>0</v>
      </c>
      <c r="I616" s="328">
        <f t="shared" si="495"/>
        <v>0</v>
      </c>
      <c r="J616" s="327">
        <v>0</v>
      </c>
      <c r="K616" s="327">
        <v>0</v>
      </c>
      <c r="L616" s="327">
        <v>0</v>
      </c>
      <c r="M616" s="341">
        <f t="shared" si="517"/>
        <v>0</v>
      </c>
      <c r="N616" s="328">
        <f t="shared" si="497"/>
        <v>0</v>
      </c>
      <c r="O616" s="327">
        <v>0</v>
      </c>
      <c r="P616" s="327">
        <v>6</v>
      </c>
      <c r="Q616" s="327">
        <v>0</v>
      </c>
      <c r="R616" s="341">
        <f t="shared" si="518"/>
        <v>6</v>
      </c>
      <c r="S616" s="328">
        <f t="shared" si="499"/>
        <v>22090.32</v>
      </c>
      <c r="T616" s="327">
        <v>0</v>
      </c>
      <c r="U616" s="327">
        <v>0</v>
      </c>
      <c r="V616" s="327">
        <v>0</v>
      </c>
      <c r="W616" s="341">
        <f t="shared" si="519"/>
        <v>0</v>
      </c>
      <c r="X616" s="328">
        <f t="shared" si="501"/>
        <v>0</v>
      </c>
      <c r="Y616" s="328">
        <f t="shared" si="502"/>
        <v>6</v>
      </c>
      <c r="Z616" s="329">
        <f>22090.32/6</f>
        <v>3681.72</v>
      </c>
      <c r="AA616" s="330">
        <f t="shared" si="503"/>
        <v>22090.32</v>
      </c>
    </row>
    <row r="617" spans="1:27" ht="28.35" customHeight="1" thickBot="1">
      <c r="A617" s="332">
        <v>15</v>
      </c>
      <c r="B617" s="299"/>
      <c r="C617" s="326" t="s">
        <v>1087</v>
      </c>
      <c r="D617" s="333" t="s">
        <v>367</v>
      </c>
      <c r="E617" s="327">
        <v>0</v>
      </c>
      <c r="F617" s="327">
        <v>0</v>
      </c>
      <c r="G617" s="327">
        <v>0</v>
      </c>
      <c r="H617" s="341">
        <f t="shared" si="516"/>
        <v>0</v>
      </c>
      <c r="I617" s="328">
        <f t="shared" si="495"/>
        <v>0</v>
      </c>
      <c r="J617" s="327">
        <v>0</v>
      </c>
      <c r="K617" s="327">
        <v>0</v>
      </c>
      <c r="L617" s="327">
        <v>0</v>
      </c>
      <c r="M617" s="341">
        <f t="shared" si="517"/>
        <v>0</v>
      </c>
      <c r="N617" s="328">
        <f t="shared" si="497"/>
        <v>0</v>
      </c>
      <c r="O617" s="327">
        <v>0</v>
      </c>
      <c r="P617" s="327">
        <v>1</v>
      </c>
      <c r="Q617" s="327">
        <v>0</v>
      </c>
      <c r="R617" s="341">
        <f t="shared" si="518"/>
        <v>1</v>
      </c>
      <c r="S617" s="328">
        <f t="shared" si="499"/>
        <v>582</v>
      </c>
      <c r="T617" s="327">
        <v>0</v>
      </c>
      <c r="U617" s="327">
        <v>0</v>
      </c>
      <c r="V617" s="327">
        <v>0</v>
      </c>
      <c r="W617" s="341">
        <f t="shared" si="519"/>
        <v>0</v>
      </c>
      <c r="X617" s="328">
        <f t="shared" si="501"/>
        <v>0</v>
      </c>
      <c r="Y617" s="328">
        <f t="shared" si="502"/>
        <v>1</v>
      </c>
      <c r="Z617" s="329">
        <f>1164/2</f>
        <v>582</v>
      </c>
      <c r="AA617" s="330">
        <f t="shared" si="503"/>
        <v>582</v>
      </c>
    </row>
    <row r="618" spans="1:27" ht="28.35" customHeight="1">
      <c r="A618" s="325">
        <v>16</v>
      </c>
      <c r="B618" s="299"/>
      <c r="C618" s="326" t="s">
        <v>1088</v>
      </c>
      <c r="D618" s="333" t="s">
        <v>367</v>
      </c>
      <c r="E618" s="327">
        <v>0</v>
      </c>
      <c r="F618" s="327">
        <v>0</v>
      </c>
      <c r="G618" s="327">
        <v>0</v>
      </c>
      <c r="H618" s="341">
        <f t="shared" si="516"/>
        <v>0</v>
      </c>
      <c r="I618" s="328">
        <f>H618*$Z618</f>
        <v>0</v>
      </c>
      <c r="J618" s="327">
        <v>0</v>
      </c>
      <c r="K618" s="327">
        <v>0</v>
      </c>
      <c r="L618" s="327">
        <v>0</v>
      </c>
      <c r="M618" s="341">
        <f t="shared" si="517"/>
        <v>0</v>
      </c>
      <c r="N618" s="328">
        <f>M618*$Z618</f>
        <v>0</v>
      </c>
      <c r="O618" s="327">
        <v>0</v>
      </c>
      <c r="P618" s="327">
        <v>0</v>
      </c>
      <c r="Q618" s="327">
        <v>0</v>
      </c>
      <c r="R618" s="341">
        <f>SUM(O618:Q618)</f>
        <v>0</v>
      </c>
      <c r="S618" s="328">
        <f>R618*$Z618</f>
        <v>0</v>
      </c>
      <c r="T618" s="327">
        <v>0</v>
      </c>
      <c r="U618" s="327">
        <v>0</v>
      </c>
      <c r="V618" s="327">
        <v>0</v>
      </c>
      <c r="W618" s="341">
        <f>SUM(T618:V618)</f>
        <v>0</v>
      </c>
      <c r="X618" s="328">
        <f>W618*$Z618</f>
        <v>0</v>
      </c>
      <c r="Y618" s="328">
        <f>H618+M618+R618+W618</f>
        <v>0</v>
      </c>
      <c r="Z618" s="329">
        <f>77260/12</f>
        <v>6438.333333333333</v>
      </c>
      <c r="AA618" s="330">
        <f>Y618*Z618</f>
        <v>0</v>
      </c>
    </row>
    <row r="619" spans="1:27" ht="28.35" customHeight="1">
      <c r="A619" s="331">
        <v>17</v>
      </c>
      <c r="B619" s="299"/>
      <c r="C619" s="326" t="s">
        <v>1089</v>
      </c>
      <c r="D619" s="333" t="s">
        <v>367</v>
      </c>
      <c r="E619" s="327">
        <v>0</v>
      </c>
      <c r="F619" s="327">
        <v>0</v>
      </c>
      <c r="G619" s="327">
        <v>0</v>
      </c>
      <c r="H619" s="341">
        <f t="shared" si="516"/>
        <v>0</v>
      </c>
      <c r="I619" s="328">
        <f>H619*$Z619</f>
        <v>0</v>
      </c>
      <c r="J619" s="327">
        <v>0</v>
      </c>
      <c r="K619" s="327">
        <v>10</v>
      </c>
      <c r="L619" s="327">
        <v>0</v>
      </c>
      <c r="M619" s="341">
        <f t="shared" si="517"/>
        <v>10</v>
      </c>
      <c r="N619" s="328">
        <f>M619*$Z619</f>
        <v>5000</v>
      </c>
      <c r="O619" s="327">
        <v>10</v>
      </c>
      <c r="P619" s="327">
        <v>0</v>
      </c>
      <c r="Q619" s="327">
        <v>10</v>
      </c>
      <c r="R619" s="341">
        <f>SUM(O619:Q619)</f>
        <v>20</v>
      </c>
      <c r="S619" s="328">
        <f>R619*$Z619</f>
        <v>10000</v>
      </c>
      <c r="T619" s="327">
        <v>0</v>
      </c>
      <c r="U619" s="327">
        <v>0</v>
      </c>
      <c r="V619" s="327">
        <v>0</v>
      </c>
      <c r="W619" s="341">
        <f>SUM(T619:V619)</f>
        <v>0</v>
      </c>
      <c r="X619" s="328">
        <f>W619*$Z619</f>
        <v>0</v>
      </c>
      <c r="Y619" s="328">
        <f>H619+M619+R619+W619</f>
        <v>30</v>
      </c>
      <c r="Z619" s="329">
        <f>25000/50</f>
        <v>500</v>
      </c>
      <c r="AA619" s="330">
        <f>Y619*Z619</f>
        <v>15000</v>
      </c>
    </row>
    <row r="620" spans="1:27" ht="28.35" customHeight="1" thickBot="1">
      <c r="A620" s="332">
        <v>18</v>
      </c>
      <c r="B620" s="299"/>
      <c r="C620" s="326" t="s">
        <v>1090</v>
      </c>
      <c r="D620" s="333" t="s">
        <v>367</v>
      </c>
      <c r="E620" s="327">
        <v>0</v>
      </c>
      <c r="F620" s="327">
        <v>0</v>
      </c>
      <c r="G620" s="327">
        <v>0</v>
      </c>
      <c r="H620" s="341">
        <f t="shared" si="516"/>
        <v>0</v>
      </c>
      <c r="I620" s="328">
        <f>H620*$Z620</f>
        <v>0</v>
      </c>
      <c r="J620" s="327">
        <v>0</v>
      </c>
      <c r="K620" s="327">
        <v>15</v>
      </c>
      <c r="L620" s="327">
        <v>0</v>
      </c>
      <c r="M620" s="341">
        <f t="shared" si="517"/>
        <v>15</v>
      </c>
      <c r="N620" s="328">
        <f>M620*$Z620</f>
        <v>7500</v>
      </c>
      <c r="O620" s="327">
        <v>15</v>
      </c>
      <c r="P620" s="327">
        <v>0</v>
      </c>
      <c r="Q620" s="327">
        <v>15</v>
      </c>
      <c r="R620" s="341">
        <f>SUM(O620:Q620)</f>
        <v>30</v>
      </c>
      <c r="S620" s="328">
        <f>R620*$Z620</f>
        <v>15000</v>
      </c>
      <c r="T620" s="327">
        <v>0</v>
      </c>
      <c r="U620" s="327">
        <v>15</v>
      </c>
      <c r="V620" s="327">
        <v>0</v>
      </c>
      <c r="W620" s="341">
        <f>SUM(T620:V620)</f>
        <v>15</v>
      </c>
      <c r="X620" s="328">
        <f>W620*$Z620</f>
        <v>7500</v>
      </c>
      <c r="Y620" s="328">
        <f>H620+M620+R620+W620</f>
        <v>60</v>
      </c>
      <c r="Z620" s="329">
        <f>45000/90</f>
        <v>500</v>
      </c>
      <c r="AA620" s="330">
        <f>Y620*Z620</f>
        <v>30000</v>
      </c>
    </row>
    <row r="621" spans="1:27" ht="28.35" customHeight="1">
      <c r="A621" s="325">
        <v>19</v>
      </c>
      <c r="B621" s="299"/>
      <c r="C621" s="326" t="s">
        <v>1091</v>
      </c>
      <c r="D621" s="333" t="s">
        <v>364</v>
      </c>
      <c r="E621" s="327">
        <v>0</v>
      </c>
      <c r="F621" s="327">
        <v>0</v>
      </c>
      <c r="G621" s="327">
        <v>0</v>
      </c>
      <c r="H621" s="341">
        <f t="shared" ref="H621" si="520">SUM(E621:G621)</f>
        <v>0</v>
      </c>
      <c r="I621" s="328" t="e">
        <f t="shared" ref="I621" si="521">H621*$Z621</f>
        <v>#DIV/0!</v>
      </c>
      <c r="J621" s="327">
        <v>0</v>
      </c>
      <c r="K621" s="327">
        <v>0</v>
      </c>
      <c r="L621" s="327">
        <v>0</v>
      </c>
      <c r="M621" s="341">
        <f t="shared" si="517"/>
        <v>0</v>
      </c>
      <c r="N621" s="328" t="e">
        <f t="shared" ref="N621" si="522">M621*$Z621</f>
        <v>#DIV/0!</v>
      </c>
      <c r="O621" s="327">
        <v>0</v>
      </c>
      <c r="P621" s="327">
        <v>0</v>
      </c>
      <c r="Q621" s="327">
        <v>0</v>
      </c>
      <c r="R621" s="341">
        <f t="shared" ref="R621" si="523">SUM(O621:Q621)</f>
        <v>0</v>
      </c>
      <c r="S621" s="328" t="e">
        <f t="shared" ref="S621" si="524">R621*$Z621</f>
        <v>#DIV/0!</v>
      </c>
      <c r="T621" s="327">
        <v>0</v>
      </c>
      <c r="U621" s="327">
        <v>0</v>
      </c>
      <c r="V621" s="327">
        <v>0</v>
      </c>
      <c r="W621" s="341">
        <f t="shared" ref="W621" si="525">SUM(T621:V621)</f>
        <v>0</v>
      </c>
      <c r="X621" s="328" t="e">
        <f t="shared" ref="X621" si="526">W621*$Z621</f>
        <v>#DIV/0!</v>
      </c>
      <c r="Y621" s="328">
        <f t="shared" ref="Y621" si="527">H621+M621+R621+W621</f>
        <v>0</v>
      </c>
      <c r="Z621" s="329" t="e">
        <f>3600/Y621</f>
        <v>#DIV/0!</v>
      </c>
      <c r="AA621" s="330" t="e">
        <f t="shared" ref="AA621" si="528">Y621*Z621</f>
        <v>#DIV/0!</v>
      </c>
    </row>
    <row r="622" spans="1:27" ht="28.35" customHeight="1">
      <c r="A622" s="331">
        <v>20</v>
      </c>
      <c r="B622" s="299"/>
      <c r="C622" s="326" t="s">
        <v>1092</v>
      </c>
      <c r="D622" s="333" t="s">
        <v>364</v>
      </c>
      <c r="E622" s="327">
        <v>0</v>
      </c>
      <c r="F622" s="327">
        <v>0</v>
      </c>
      <c r="G622" s="327">
        <v>0</v>
      </c>
      <c r="H622" s="341">
        <f>SUM(E622:G622)</f>
        <v>0</v>
      </c>
      <c r="I622" s="328">
        <f>H622*$Z622</f>
        <v>0</v>
      </c>
      <c r="J622" s="327">
        <v>10</v>
      </c>
      <c r="K622" s="327">
        <v>0</v>
      </c>
      <c r="L622" s="327">
        <v>0</v>
      </c>
      <c r="M622" s="341">
        <f>SUM(J622:L622)</f>
        <v>10</v>
      </c>
      <c r="N622" s="328">
        <f>M622*$Z622</f>
        <v>6400</v>
      </c>
      <c r="O622" s="327">
        <v>0</v>
      </c>
      <c r="P622" s="327">
        <v>0</v>
      </c>
      <c r="Q622" s="327">
        <v>0</v>
      </c>
      <c r="R622" s="341">
        <f>SUM(O622:Q622)</f>
        <v>0</v>
      </c>
      <c r="S622" s="328">
        <f>R622*$Z622</f>
        <v>0</v>
      </c>
      <c r="T622" s="327">
        <v>0</v>
      </c>
      <c r="U622" s="327">
        <v>0</v>
      </c>
      <c r="V622" s="327">
        <v>0</v>
      </c>
      <c r="W622" s="341">
        <f>SUM(T622:V622)</f>
        <v>0</v>
      </c>
      <c r="X622" s="328">
        <f>W622*$Z622</f>
        <v>0</v>
      </c>
      <c r="Y622" s="328">
        <f>H622+M622+R622+W622</f>
        <v>10</v>
      </c>
      <c r="Z622" s="329">
        <f>6400/Y622</f>
        <v>640</v>
      </c>
      <c r="AA622" s="330">
        <f>Y622*Z622</f>
        <v>6400</v>
      </c>
    </row>
    <row r="623" spans="1:27" ht="28.35" customHeight="1" thickBot="1">
      <c r="A623" s="332">
        <v>21</v>
      </c>
      <c r="B623" s="299"/>
      <c r="C623" s="326" t="s">
        <v>1093</v>
      </c>
      <c r="D623" s="333" t="s">
        <v>364</v>
      </c>
      <c r="E623" s="327">
        <v>0</v>
      </c>
      <c r="F623" s="327">
        <v>0</v>
      </c>
      <c r="G623" s="327">
        <v>0</v>
      </c>
      <c r="H623" s="341">
        <f>SUM(E623:G623)</f>
        <v>0</v>
      </c>
      <c r="I623" s="328">
        <f>H623*$Z623</f>
        <v>0</v>
      </c>
      <c r="J623" s="327">
        <v>2</v>
      </c>
      <c r="K623" s="327">
        <v>0</v>
      </c>
      <c r="L623" s="327">
        <v>0</v>
      </c>
      <c r="M623" s="341">
        <f>SUM(J623:L623)</f>
        <v>2</v>
      </c>
      <c r="N623" s="328">
        <f>M623*$Z623</f>
        <v>896</v>
      </c>
      <c r="O623" s="327">
        <v>3</v>
      </c>
      <c r="P623" s="327">
        <v>0</v>
      </c>
      <c r="Q623" s="327">
        <v>0</v>
      </c>
      <c r="R623" s="341">
        <f>SUM(O623:Q623)</f>
        <v>3</v>
      </c>
      <c r="S623" s="328">
        <f>R623*$Z623</f>
        <v>1344</v>
      </c>
      <c r="T623" s="327">
        <v>0</v>
      </c>
      <c r="U623" s="327">
        <v>0</v>
      </c>
      <c r="V623" s="327">
        <v>0</v>
      </c>
      <c r="W623" s="341">
        <f>SUM(T623:V623)</f>
        <v>0</v>
      </c>
      <c r="X623" s="328">
        <f>W623*$Z623</f>
        <v>0</v>
      </c>
      <c r="Y623" s="328">
        <f>H623+M623+R623+W623</f>
        <v>5</v>
      </c>
      <c r="Z623" s="329">
        <f>2240/Y623</f>
        <v>448</v>
      </c>
      <c r="AA623" s="330">
        <f>Y623*Z623</f>
        <v>2240</v>
      </c>
    </row>
    <row r="624" spans="1:27" ht="28.35" customHeight="1">
      <c r="A624" s="325">
        <v>22</v>
      </c>
      <c r="B624" s="299"/>
      <c r="C624" s="326" t="s">
        <v>1094</v>
      </c>
      <c r="D624" s="333" t="s">
        <v>364</v>
      </c>
      <c r="E624" s="327">
        <v>0</v>
      </c>
      <c r="F624" s="327">
        <v>0</v>
      </c>
      <c r="G624" s="327">
        <v>0</v>
      </c>
      <c r="H624" s="341">
        <f>SUM(E624:G624)</f>
        <v>0</v>
      </c>
      <c r="I624" s="328">
        <f>H624*$Z624</f>
        <v>0</v>
      </c>
      <c r="J624" s="327">
        <v>2</v>
      </c>
      <c r="K624" s="327">
        <v>0</v>
      </c>
      <c r="L624" s="327">
        <v>0</v>
      </c>
      <c r="M624" s="341">
        <f>SUM(J624:L624)</f>
        <v>2</v>
      </c>
      <c r="N624" s="328">
        <f>M624*$Z624</f>
        <v>832</v>
      </c>
      <c r="O624" s="327">
        <v>3</v>
      </c>
      <c r="P624" s="327">
        <v>0</v>
      </c>
      <c r="Q624" s="327">
        <v>0</v>
      </c>
      <c r="R624" s="341">
        <f>SUM(O624:Q624)</f>
        <v>3</v>
      </c>
      <c r="S624" s="328">
        <f>R624*$Z624</f>
        <v>1248</v>
      </c>
      <c r="T624" s="327">
        <v>0</v>
      </c>
      <c r="U624" s="327">
        <v>0</v>
      </c>
      <c r="V624" s="327">
        <v>0</v>
      </c>
      <c r="W624" s="341">
        <f>SUM(T624:V624)</f>
        <v>0</v>
      </c>
      <c r="X624" s="328">
        <f>W624*$Z624</f>
        <v>0</v>
      </c>
      <c r="Y624" s="328">
        <f>H624+M624+R624+W624</f>
        <v>5</v>
      </c>
      <c r="Z624" s="329">
        <f>2080/Y624</f>
        <v>416</v>
      </c>
      <c r="AA624" s="330">
        <f>Y624*Z624</f>
        <v>2080</v>
      </c>
    </row>
    <row r="625" spans="1:27" ht="28.35" customHeight="1">
      <c r="A625" s="331">
        <v>23</v>
      </c>
      <c r="B625" s="299"/>
      <c r="C625" s="326" t="s">
        <v>1095</v>
      </c>
      <c r="D625" s="333" t="s">
        <v>367</v>
      </c>
      <c r="E625" s="327">
        <v>0</v>
      </c>
      <c r="F625" s="327">
        <v>0</v>
      </c>
      <c r="G625" s="327">
        <v>0</v>
      </c>
      <c r="H625" s="341">
        <f t="shared" ref="H625:H626" si="529">SUM(E625:G625)</f>
        <v>0</v>
      </c>
      <c r="I625" s="328">
        <f t="shared" ref="I625:I626" si="530">H625*$Z625</f>
        <v>0</v>
      </c>
      <c r="J625" s="327">
        <v>0</v>
      </c>
      <c r="K625" s="327">
        <v>0</v>
      </c>
      <c r="L625" s="327">
        <v>0</v>
      </c>
      <c r="M625" s="341">
        <f t="shared" ref="M625:M626" si="531">SUM(J625:L625)</f>
        <v>0</v>
      </c>
      <c r="N625" s="328">
        <f t="shared" ref="N625:N626" si="532">M625*$Z625</f>
        <v>0</v>
      </c>
      <c r="O625" s="327">
        <v>0</v>
      </c>
      <c r="P625" s="327">
        <v>1</v>
      </c>
      <c r="Q625" s="327">
        <v>0</v>
      </c>
      <c r="R625" s="341">
        <f t="shared" ref="R625:R626" si="533">SUM(O625:Q625)</f>
        <v>1</v>
      </c>
      <c r="S625" s="328">
        <f t="shared" ref="S625:S626" si="534">R625*$Z625</f>
        <v>250</v>
      </c>
      <c r="T625" s="327">
        <v>0</v>
      </c>
      <c r="U625" s="327">
        <v>0</v>
      </c>
      <c r="V625" s="327">
        <v>0</v>
      </c>
      <c r="W625" s="341">
        <f t="shared" ref="W625:W626" si="535">SUM(T625:V625)</f>
        <v>0</v>
      </c>
      <c r="X625" s="328">
        <f t="shared" ref="X625:X626" si="536">W625*$Z625</f>
        <v>0</v>
      </c>
      <c r="Y625" s="328">
        <f t="shared" ref="Y625:Y626" si="537">H625+M625+R625+W625</f>
        <v>1</v>
      </c>
      <c r="Z625" s="329">
        <f>500/2</f>
        <v>250</v>
      </c>
      <c r="AA625" s="330">
        <f t="shared" ref="AA625:AA626" si="538">Y625*Z625</f>
        <v>250</v>
      </c>
    </row>
    <row r="626" spans="1:27" ht="28.35" customHeight="1" thickBot="1">
      <c r="A626" s="332">
        <v>24</v>
      </c>
      <c r="B626" s="299"/>
      <c r="C626" s="326" t="s">
        <v>1096</v>
      </c>
      <c r="D626" s="333" t="s">
        <v>367</v>
      </c>
      <c r="E626" s="327">
        <v>0</v>
      </c>
      <c r="F626" s="327">
        <v>0</v>
      </c>
      <c r="G626" s="327">
        <v>0</v>
      </c>
      <c r="H626" s="341">
        <f t="shared" si="529"/>
        <v>0</v>
      </c>
      <c r="I626" s="328">
        <f t="shared" si="530"/>
        <v>0</v>
      </c>
      <c r="J626" s="327">
        <v>0</v>
      </c>
      <c r="K626" s="327">
        <v>0</v>
      </c>
      <c r="L626" s="327">
        <v>0</v>
      </c>
      <c r="M626" s="341">
        <f t="shared" si="531"/>
        <v>0</v>
      </c>
      <c r="N626" s="328">
        <f t="shared" si="532"/>
        <v>0</v>
      </c>
      <c r="O626" s="327">
        <v>0</v>
      </c>
      <c r="P626" s="327">
        <v>1</v>
      </c>
      <c r="Q626" s="327">
        <v>0</v>
      </c>
      <c r="R626" s="341">
        <f t="shared" si="533"/>
        <v>1</v>
      </c>
      <c r="S626" s="328">
        <f t="shared" si="534"/>
        <v>250</v>
      </c>
      <c r="T626" s="327">
        <v>0</v>
      </c>
      <c r="U626" s="327">
        <v>0</v>
      </c>
      <c r="V626" s="327">
        <v>0</v>
      </c>
      <c r="W626" s="341">
        <f t="shared" si="535"/>
        <v>0</v>
      </c>
      <c r="X626" s="328">
        <f t="shared" si="536"/>
        <v>0</v>
      </c>
      <c r="Y626" s="328">
        <f t="shared" si="537"/>
        <v>1</v>
      </c>
      <c r="Z626" s="329">
        <f>500/2</f>
        <v>250</v>
      </c>
      <c r="AA626" s="330">
        <f t="shared" si="538"/>
        <v>250</v>
      </c>
    </row>
    <row r="627" spans="1:27" ht="28.35" customHeight="1">
      <c r="A627" s="325">
        <v>25</v>
      </c>
      <c r="B627" s="299"/>
      <c r="C627" s="326" t="s">
        <v>1097</v>
      </c>
      <c r="D627" s="333" t="s">
        <v>367</v>
      </c>
      <c r="E627" s="327">
        <v>0</v>
      </c>
      <c r="F627" s="327">
        <v>0</v>
      </c>
      <c r="G627" s="327">
        <v>0</v>
      </c>
      <c r="H627" s="341">
        <f t="shared" ref="H627:H628" si="539">SUM(E627:G627)</f>
        <v>0</v>
      </c>
      <c r="I627" s="328">
        <f t="shared" si="495"/>
        <v>0</v>
      </c>
      <c r="J627" s="327">
        <v>0</v>
      </c>
      <c r="K627" s="327">
        <v>0</v>
      </c>
      <c r="L627" s="327">
        <v>0</v>
      </c>
      <c r="M627" s="341">
        <f t="shared" ref="M627:M628" si="540">SUM(J627:L627)</f>
        <v>0</v>
      </c>
      <c r="N627" s="328">
        <f t="shared" si="497"/>
        <v>0</v>
      </c>
      <c r="O627" s="327">
        <v>0</v>
      </c>
      <c r="P627" s="327">
        <v>0</v>
      </c>
      <c r="Q627" s="327">
        <v>0</v>
      </c>
      <c r="R627" s="341">
        <f t="shared" si="508"/>
        <v>0</v>
      </c>
      <c r="S627" s="328">
        <f t="shared" si="499"/>
        <v>0</v>
      </c>
      <c r="T627" s="327">
        <v>0</v>
      </c>
      <c r="U627" s="327">
        <v>0</v>
      </c>
      <c r="V627" s="327">
        <v>0</v>
      </c>
      <c r="W627" s="341">
        <f t="shared" si="510"/>
        <v>0</v>
      </c>
      <c r="X627" s="328">
        <f t="shared" si="501"/>
        <v>0</v>
      </c>
      <c r="Y627" s="328">
        <f t="shared" si="502"/>
        <v>0</v>
      </c>
      <c r="Z627" s="329">
        <f>700/2</f>
        <v>350</v>
      </c>
      <c r="AA627" s="330">
        <f t="shared" si="503"/>
        <v>0</v>
      </c>
    </row>
    <row r="628" spans="1:27" ht="28.35" customHeight="1">
      <c r="A628" s="331">
        <v>26</v>
      </c>
      <c r="B628" s="299"/>
      <c r="C628" s="326" t="s">
        <v>1098</v>
      </c>
      <c r="D628" s="333" t="s">
        <v>367</v>
      </c>
      <c r="E628" s="327">
        <v>0</v>
      </c>
      <c r="F628" s="327">
        <v>0</v>
      </c>
      <c r="G628" s="327">
        <v>0</v>
      </c>
      <c r="H628" s="341">
        <f t="shared" si="539"/>
        <v>0</v>
      </c>
      <c r="I628" s="328">
        <f t="shared" si="495"/>
        <v>0</v>
      </c>
      <c r="J628" s="327">
        <v>0</v>
      </c>
      <c r="K628" s="327">
        <v>0</v>
      </c>
      <c r="L628" s="327">
        <v>0</v>
      </c>
      <c r="M628" s="341">
        <f t="shared" si="540"/>
        <v>0</v>
      </c>
      <c r="N628" s="328">
        <f t="shared" si="497"/>
        <v>0</v>
      </c>
      <c r="O628" s="327">
        <v>0</v>
      </c>
      <c r="P628" s="327">
        <v>1</v>
      </c>
      <c r="Q628" s="327">
        <v>0</v>
      </c>
      <c r="R628" s="341">
        <f t="shared" si="508"/>
        <v>1</v>
      </c>
      <c r="S628" s="328">
        <f t="shared" si="499"/>
        <v>2654.09</v>
      </c>
      <c r="T628" s="327">
        <v>0</v>
      </c>
      <c r="U628" s="327">
        <v>0</v>
      </c>
      <c r="V628" s="327">
        <v>0</v>
      </c>
      <c r="W628" s="341">
        <f t="shared" si="510"/>
        <v>0</v>
      </c>
      <c r="X628" s="328">
        <f t="shared" si="501"/>
        <v>0</v>
      </c>
      <c r="Y628" s="328">
        <f t="shared" si="502"/>
        <v>1</v>
      </c>
      <c r="Z628" s="329">
        <f>2654.09/1</f>
        <v>2654.09</v>
      </c>
      <c r="AA628" s="330">
        <f t="shared" si="503"/>
        <v>2654.09</v>
      </c>
    </row>
    <row r="629" spans="1:27" ht="28.35" customHeight="1" thickBot="1">
      <c r="A629" s="332">
        <v>27</v>
      </c>
      <c r="B629" s="299"/>
      <c r="C629" s="326" t="s">
        <v>1099</v>
      </c>
      <c r="D629" s="333" t="s">
        <v>367</v>
      </c>
      <c r="E629" s="327">
        <v>0</v>
      </c>
      <c r="F629" s="327">
        <f t="shared" si="504"/>
        <v>0</v>
      </c>
      <c r="G629" s="327">
        <f t="shared" si="504"/>
        <v>0</v>
      </c>
      <c r="H629" s="341">
        <f t="shared" si="505"/>
        <v>0</v>
      </c>
      <c r="I629" s="328">
        <f t="shared" si="495"/>
        <v>0</v>
      </c>
      <c r="J629" s="327">
        <f>0+0</f>
        <v>0</v>
      </c>
      <c r="K629" s="327">
        <f>0+0</f>
        <v>0</v>
      </c>
      <c r="L629" s="327">
        <f>0+4</f>
        <v>4</v>
      </c>
      <c r="M629" s="341">
        <f t="shared" si="507"/>
        <v>4</v>
      </c>
      <c r="N629" s="328">
        <f t="shared" si="497"/>
        <v>480</v>
      </c>
      <c r="O629" s="327">
        <f>0+0</f>
        <v>0</v>
      </c>
      <c r="P629" s="327">
        <f t="shared" si="511"/>
        <v>0</v>
      </c>
      <c r="Q629" s="327">
        <f t="shared" si="511"/>
        <v>0</v>
      </c>
      <c r="R629" s="341">
        <f t="shared" si="508"/>
        <v>0</v>
      </c>
      <c r="S629" s="328">
        <f t="shared" si="499"/>
        <v>0</v>
      </c>
      <c r="T629" s="327">
        <f t="shared" si="509"/>
        <v>0</v>
      </c>
      <c r="U629" s="327">
        <f t="shared" si="509"/>
        <v>0</v>
      </c>
      <c r="V629" s="327">
        <f t="shared" si="509"/>
        <v>0</v>
      </c>
      <c r="W629" s="341">
        <f t="shared" si="510"/>
        <v>0</v>
      </c>
      <c r="X629" s="328">
        <f t="shared" si="501"/>
        <v>0</v>
      </c>
      <c r="Y629" s="328">
        <f t="shared" si="502"/>
        <v>4</v>
      </c>
      <c r="Z629" s="329">
        <f>960/8</f>
        <v>120</v>
      </c>
      <c r="AA629" s="330">
        <f t="shared" si="503"/>
        <v>480</v>
      </c>
    </row>
    <row r="630" spans="1:27" ht="28.35" customHeight="1">
      <c r="A630" s="325">
        <v>28</v>
      </c>
      <c r="B630" s="299"/>
      <c r="C630" s="326" t="s">
        <v>1099</v>
      </c>
      <c r="D630" s="327" t="s">
        <v>367</v>
      </c>
      <c r="E630" s="327">
        <v>0</v>
      </c>
      <c r="F630" s="327">
        <v>0</v>
      </c>
      <c r="G630" s="327">
        <v>0</v>
      </c>
      <c r="H630" s="341">
        <f t="shared" si="505"/>
        <v>0</v>
      </c>
      <c r="I630" s="328">
        <f t="shared" si="495"/>
        <v>0</v>
      </c>
      <c r="J630" s="327">
        <v>0</v>
      </c>
      <c r="K630" s="327">
        <v>0</v>
      </c>
      <c r="L630" s="327">
        <v>15</v>
      </c>
      <c r="M630" s="341">
        <f>SUM(J630:L630)</f>
        <v>15</v>
      </c>
      <c r="N630" s="328">
        <f t="shared" si="497"/>
        <v>3150</v>
      </c>
      <c r="O630" s="327">
        <v>0</v>
      </c>
      <c r="P630" s="327">
        <v>0</v>
      </c>
      <c r="Q630" s="327">
        <v>15</v>
      </c>
      <c r="R630" s="341">
        <f t="shared" si="508"/>
        <v>15</v>
      </c>
      <c r="S630" s="328">
        <f t="shared" si="499"/>
        <v>3150</v>
      </c>
      <c r="T630" s="327">
        <v>0</v>
      </c>
      <c r="U630" s="327">
        <v>0</v>
      </c>
      <c r="V630" s="327">
        <v>0</v>
      </c>
      <c r="W630" s="341">
        <f t="shared" si="510"/>
        <v>0</v>
      </c>
      <c r="X630" s="328">
        <f t="shared" si="501"/>
        <v>0</v>
      </c>
      <c r="Y630" s="328">
        <f t="shared" si="502"/>
        <v>30</v>
      </c>
      <c r="Z630" s="329">
        <f>12600/60</f>
        <v>210</v>
      </c>
      <c r="AA630" s="330">
        <f t="shared" si="503"/>
        <v>6300</v>
      </c>
    </row>
    <row r="631" spans="1:27" ht="28.35" customHeight="1">
      <c r="A631" s="331">
        <v>29</v>
      </c>
      <c r="B631" s="299"/>
      <c r="C631" s="326" t="s">
        <v>1100</v>
      </c>
      <c r="D631" s="333" t="s">
        <v>367</v>
      </c>
      <c r="E631" s="327">
        <v>0</v>
      </c>
      <c r="F631" s="327">
        <v>0</v>
      </c>
      <c r="G631" s="327">
        <v>0</v>
      </c>
      <c r="H631" s="341">
        <f t="shared" si="505"/>
        <v>0</v>
      </c>
      <c r="I631" s="328">
        <f t="shared" si="495"/>
        <v>0</v>
      </c>
      <c r="J631" s="327">
        <v>0</v>
      </c>
      <c r="K631" s="327">
        <v>0</v>
      </c>
      <c r="L631" s="327">
        <v>0</v>
      </c>
      <c r="M631" s="341">
        <f t="shared" ref="M631:M632" si="541">SUM(J631:L631)</f>
        <v>0</v>
      </c>
      <c r="N631" s="328">
        <f t="shared" si="497"/>
        <v>0</v>
      </c>
      <c r="O631" s="327">
        <v>0</v>
      </c>
      <c r="P631" s="327">
        <v>0</v>
      </c>
      <c r="Q631" s="327">
        <v>0</v>
      </c>
      <c r="R631" s="341">
        <f t="shared" si="508"/>
        <v>0</v>
      </c>
      <c r="S631" s="328">
        <f t="shared" si="499"/>
        <v>0</v>
      </c>
      <c r="T631" s="327">
        <v>0</v>
      </c>
      <c r="U631" s="327">
        <v>0</v>
      </c>
      <c r="V631" s="327">
        <v>0</v>
      </c>
      <c r="W631" s="341">
        <f t="shared" si="510"/>
        <v>0</v>
      </c>
      <c r="X631" s="328">
        <f t="shared" si="501"/>
        <v>0</v>
      </c>
      <c r="Y631" s="328">
        <f t="shared" si="502"/>
        <v>0</v>
      </c>
      <c r="Z631" s="329">
        <f>2000/1</f>
        <v>2000</v>
      </c>
      <c r="AA631" s="330">
        <f t="shared" si="503"/>
        <v>0</v>
      </c>
    </row>
    <row r="632" spans="1:27" ht="28.35" customHeight="1" thickBot="1">
      <c r="A632" s="332">
        <v>30</v>
      </c>
      <c r="B632" s="299"/>
      <c r="C632" s="326" t="s">
        <v>1101</v>
      </c>
      <c r="D632" s="333" t="s">
        <v>367</v>
      </c>
      <c r="E632" s="327">
        <v>0</v>
      </c>
      <c r="F632" s="327">
        <v>0</v>
      </c>
      <c r="G632" s="327">
        <v>0</v>
      </c>
      <c r="H632" s="341">
        <f>SUM(E632:G632)</f>
        <v>0</v>
      </c>
      <c r="I632" s="328">
        <f t="shared" si="495"/>
        <v>0</v>
      </c>
      <c r="J632" s="327">
        <v>0</v>
      </c>
      <c r="K632" s="327">
        <v>0</v>
      </c>
      <c r="L632" s="327">
        <v>0</v>
      </c>
      <c r="M632" s="341">
        <f t="shared" si="541"/>
        <v>0</v>
      </c>
      <c r="N632" s="328">
        <f t="shared" si="497"/>
        <v>0</v>
      </c>
      <c r="O632" s="327">
        <v>0</v>
      </c>
      <c r="P632" s="327">
        <v>0</v>
      </c>
      <c r="Q632" s="327">
        <v>0</v>
      </c>
      <c r="R632" s="341">
        <f t="shared" si="508"/>
        <v>0</v>
      </c>
      <c r="S632" s="328">
        <f t="shared" si="499"/>
        <v>0</v>
      </c>
      <c r="T632" s="327">
        <v>0</v>
      </c>
      <c r="U632" s="327">
        <v>0</v>
      </c>
      <c r="V632" s="327">
        <v>0</v>
      </c>
      <c r="W632" s="341">
        <f t="shared" si="510"/>
        <v>0</v>
      </c>
      <c r="X632" s="328">
        <f t="shared" si="501"/>
        <v>0</v>
      </c>
      <c r="Y632" s="328">
        <f t="shared" si="502"/>
        <v>0</v>
      </c>
      <c r="Z632" s="329">
        <f>2500/1</f>
        <v>2500</v>
      </c>
      <c r="AA632" s="330">
        <f>Y632*Z632</f>
        <v>0</v>
      </c>
    </row>
    <row r="633" spans="1:27" ht="28.35" customHeight="1">
      <c r="A633" s="325">
        <v>31</v>
      </c>
      <c r="B633" s="299"/>
      <c r="C633" s="326" t="s">
        <v>1102</v>
      </c>
      <c r="D633" s="333" t="s">
        <v>339</v>
      </c>
      <c r="E633" s="327">
        <f>0+0</f>
        <v>0</v>
      </c>
      <c r="F633" s="327">
        <f>0+0</f>
        <v>0</v>
      </c>
      <c r="G633" s="327">
        <v>0</v>
      </c>
      <c r="H633" s="341">
        <f t="shared" si="505"/>
        <v>0</v>
      </c>
      <c r="I633" s="328">
        <f t="shared" si="495"/>
        <v>0</v>
      </c>
      <c r="J633" s="327">
        <f>0+0</f>
        <v>0</v>
      </c>
      <c r="K633" s="327">
        <f>0+0</f>
        <v>0</v>
      </c>
      <c r="L633" s="327">
        <f>0+0</f>
        <v>0</v>
      </c>
      <c r="M633" s="341">
        <f t="shared" si="507"/>
        <v>0</v>
      </c>
      <c r="N633" s="328">
        <f t="shared" si="497"/>
        <v>0</v>
      </c>
      <c r="O633" s="327">
        <f>0+0</f>
        <v>0</v>
      </c>
      <c r="P633" s="327">
        <f t="shared" si="511"/>
        <v>0</v>
      </c>
      <c r="Q633" s="327">
        <f t="shared" si="511"/>
        <v>0</v>
      </c>
      <c r="R633" s="341">
        <f t="shared" si="508"/>
        <v>0</v>
      </c>
      <c r="S633" s="328">
        <f t="shared" si="499"/>
        <v>0</v>
      </c>
      <c r="T633" s="327">
        <f t="shared" si="509"/>
        <v>0</v>
      </c>
      <c r="U633" s="327">
        <f t="shared" si="509"/>
        <v>0</v>
      </c>
      <c r="V633" s="327">
        <f t="shared" si="509"/>
        <v>0</v>
      </c>
      <c r="W633" s="341">
        <f t="shared" si="510"/>
        <v>0</v>
      </c>
      <c r="X633" s="328">
        <f t="shared" si="501"/>
        <v>0</v>
      </c>
      <c r="Y633" s="328">
        <f t="shared" si="502"/>
        <v>0</v>
      </c>
      <c r="Z633" s="329">
        <f>270/8</f>
        <v>33.75</v>
      </c>
      <c r="AA633" s="330">
        <f t="shared" si="503"/>
        <v>0</v>
      </c>
    </row>
    <row r="634" spans="1:27" ht="28.35" customHeight="1">
      <c r="A634" s="331">
        <v>32</v>
      </c>
      <c r="B634" s="299"/>
      <c r="C634" s="326" t="s">
        <v>1102</v>
      </c>
      <c r="D634" s="333" t="s">
        <v>339</v>
      </c>
      <c r="E634" s="327">
        <v>0</v>
      </c>
      <c r="F634" s="327">
        <v>0</v>
      </c>
      <c r="G634" s="327">
        <v>0</v>
      </c>
      <c r="H634" s="341">
        <f t="shared" si="505"/>
        <v>0</v>
      </c>
      <c r="I634" s="328">
        <f>H634*$Z634</f>
        <v>0</v>
      </c>
      <c r="J634" s="327">
        <v>0</v>
      </c>
      <c r="K634" s="327">
        <v>6</v>
      </c>
      <c r="L634" s="327">
        <v>4</v>
      </c>
      <c r="M634" s="341">
        <f>SUM(J634:L634)</f>
        <v>10</v>
      </c>
      <c r="N634" s="328">
        <f>M634*$Z634</f>
        <v>450</v>
      </c>
      <c r="O634" s="327">
        <v>0</v>
      </c>
      <c r="P634" s="327">
        <v>0</v>
      </c>
      <c r="Q634" s="327">
        <v>0</v>
      </c>
      <c r="R634" s="341">
        <f>SUM(O634:Q634)</f>
        <v>0</v>
      </c>
      <c r="S634" s="328">
        <f>R634*$Z634</f>
        <v>0</v>
      </c>
      <c r="T634" s="327">
        <v>0</v>
      </c>
      <c r="U634" s="327">
        <v>0</v>
      </c>
      <c r="V634" s="327">
        <v>0</v>
      </c>
      <c r="W634" s="341">
        <f>SUM(T634:V634)</f>
        <v>0</v>
      </c>
      <c r="X634" s="328">
        <f>W634*$Z634</f>
        <v>0</v>
      </c>
      <c r="Y634" s="328">
        <f>H634+M634+R634+W634</f>
        <v>10</v>
      </c>
      <c r="Z634" s="329">
        <f>450/10</f>
        <v>45</v>
      </c>
      <c r="AA634" s="330">
        <f>Y634*Z634</f>
        <v>450</v>
      </c>
    </row>
    <row r="635" spans="1:27" ht="28.35" customHeight="1" thickBot="1">
      <c r="A635" s="332">
        <v>33</v>
      </c>
      <c r="B635" s="299"/>
      <c r="C635" s="326" t="s">
        <v>1103</v>
      </c>
      <c r="D635" s="333" t="s">
        <v>339</v>
      </c>
      <c r="E635" s="327">
        <v>0</v>
      </c>
      <c r="F635" s="327">
        <v>0</v>
      </c>
      <c r="G635" s="327">
        <v>0</v>
      </c>
      <c r="H635" s="341">
        <f t="shared" ref="H635:H636" si="542">SUM(E635:G635)</f>
        <v>0</v>
      </c>
      <c r="I635" s="328">
        <f t="shared" si="495"/>
        <v>0</v>
      </c>
      <c r="J635" s="327">
        <v>0</v>
      </c>
      <c r="K635" s="327">
        <v>0</v>
      </c>
      <c r="L635" s="327">
        <v>0</v>
      </c>
      <c r="M635" s="341">
        <f t="shared" ref="M635:M644" si="543">SUM(J635:L635)</f>
        <v>0</v>
      </c>
      <c r="N635" s="328">
        <f t="shared" si="497"/>
        <v>0</v>
      </c>
      <c r="O635" s="327">
        <v>0</v>
      </c>
      <c r="P635" s="327">
        <v>0</v>
      </c>
      <c r="Q635" s="327">
        <v>0</v>
      </c>
      <c r="R635" s="341">
        <f t="shared" si="508"/>
        <v>0</v>
      </c>
      <c r="S635" s="328">
        <f t="shared" si="499"/>
        <v>0</v>
      </c>
      <c r="T635" s="327">
        <v>0</v>
      </c>
      <c r="U635" s="327">
        <v>0</v>
      </c>
      <c r="V635" s="327">
        <v>0</v>
      </c>
      <c r="W635" s="341">
        <f t="shared" si="510"/>
        <v>0</v>
      </c>
      <c r="X635" s="328">
        <f t="shared" si="501"/>
        <v>0</v>
      </c>
      <c r="Y635" s="328">
        <f t="shared" si="502"/>
        <v>0</v>
      </c>
      <c r="Z635" s="329">
        <f>2400/20</f>
        <v>120</v>
      </c>
      <c r="AA635" s="330">
        <f t="shared" si="503"/>
        <v>0</v>
      </c>
    </row>
    <row r="636" spans="1:27" ht="28.35" customHeight="1">
      <c r="A636" s="325">
        <v>34</v>
      </c>
      <c r="B636" s="299"/>
      <c r="C636" s="326" t="s">
        <v>1104</v>
      </c>
      <c r="D636" s="333" t="s">
        <v>339</v>
      </c>
      <c r="E636" s="327">
        <v>0</v>
      </c>
      <c r="F636" s="327">
        <v>0</v>
      </c>
      <c r="G636" s="327">
        <v>0</v>
      </c>
      <c r="H636" s="341">
        <f t="shared" si="542"/>
        <v>0</v>
      </c>
      <c r="I636" s="328">
        <f t="shared" si="495"/>
        <v>0</v>
      </c>
      <c r="J636" s="327">
        <v>0</v>
      </c>
      <c r="K636" s="327">
        <v>0</v>
      </c>
      <c r="L636" s="327">
        <v>0</v>
      </c>
      <c r="M636" s="341">
        <f t="shared" si="543"/>
        <v>0</v>
      </c>
      <c r="N636" s="328">
        <f t="shared" si="497"/>
        <v>0</v>
      </c>
      <c r="O636" s="327">
        <v>0</v>
      </c>
      <c r="P636" s="327">
        <v>0</v>
      </c>
      <c r="Q636" s="327">
        <v>0</v>
      </c>
      <c r="R636" s="341">
        <f t="shared" si="508"/>
        <v>0</v>
      </c>
      <c r="S636" s="328">
        <f t="shared" si="499"/>
        <v>0</v>
      </c>
      <c r="T636" s="327">
        <v>0</v>
      </c>
      <c r="U636" s="327">
        <v>0</v>
      </c>
      <c r="V636" s="327">
        <v>0</v>
      </c>
      <c r="W636" s="341">
        <f t="shared" si="510"/>
        <v>0</v>
      </c>
      <c r="X636" s="328">
        <f t="shared" si="501"/>
        <v>0</v>
      </c>
      <c r="Y636" s="328">
        <f t="shared" si="502"/>
        <v>0</v>
      </c>
      <c r="Z636" s="329">
        <f>3000/20</f>
        <v>150</v>
      </c>
      <c r="AA636" s="330">
        <f t="shared" si="503"/>
        <v>0</v>
      </c>
    </row>
    <row r="637" spans="1:27" ht="28.35" customHeight="1">
      <c r="A637" s="331">
        <v>35</v>
      </c>
      <c r="B637" s="299"/>
      <c r="C637" s="326" t="s">
        <v>1105</v>
      </c>
      <c r="D637" s="333" t="s">
        <v>364</v>
      </c>
      <c r="E637" s="327">
        <v>0</v>
      </c>
      <c r="F637" s="327">
        <v>0</v>
      </c>
      <c r="G637" s="327">
        <v>0</v>
      </c>
      <c r="H637" s="341">
        <f t="shared" ref="H637:H644" si="544">SUM(E637:G637)</f>
        <v>0</v>
      </c>
      <c r="I637" s="328">
        <f t="shared" si="495"/>
        <v>0</v>
      </c>
      <c r="J637" s="327">
        <v>0</v>
      </c>
      <c r="K637" s="327">
        <v>500</v>
      </c>
      <c r="L637" s="327">
        <v>0</v>
      </c>
      <c r="M637" s="341">
        <f t="shared" si="543"/>
        <v>500</v>
      </c>
      <c r="N637" s="328">
        <f t="shared" si="497"/>
        <v>3500</v>
      </c>
      <c r="O637" s="327">
        <v>0</v>
      </c>
      <c r="P637" s="327">
        <v>0</v>
      </c>
      <c r="Q637" s="327">
        <v>0</v>
      </c>
      <c r="R637" s="341">
        <f t="shared" ref="R637:R644" si="545">SUM(O637:Q637)</f>
        <v>0</v>
      </c>
      <c r="S637" s="328">
        <f t="shared" si="499"/>
        <v>0</v>
      </c>
      <c r="T637" s="327">
        <v>0</v>
      </c>
      <c r="U637" s="327">
        <v>0</v>
      </c>
      <c r="V637" s="327">
        <v>0</v>
      </c>
      <c r="W637" s="341">
        <f t="shared" ref="W637:W644" si="546">SUM(T637:V637)</f>
        <v>0</v>
      </c>
      <c r="X637" s="328">
        <f t="shared" si="501"/>
        <v>0</v>
      </c>
      <c r="Y637" s="328">
        <f t="shared" si="502"/>
        <v>500</v>
      </c>
      <c r="Z637" s="329">
        <f>10500/1500</f>
        <v>7</v>
      </c>
      <c r="AA637" s="330">
        <f t="shared" si="503"/>
        <v>3500</v>
      </c>
    </row>
    <row r="638" spans="1:27" ht="28.35" customHeight="1" thickBot="1">
      <c r="A638" s="332">
        <v>36</v>
      </c>
      <c r="B638" s="299"/>
      <c r="C638" s="326" t="s">
        <v>1106</v>
      </c>
      <c r="D638" s="333" t="s">
        <v>339</v>
      </c>
      <c r="E638" s="327">
        <v>0</v>
      </c>
      <c r="F638" s="327">
        <v>0</v>
      </c>
      <c r="G638" s="327">
        <v>0</v>
      </c>
      <c r="H638" s="341">
        <f t="shared" si="544"/>
        <v>0</v>
      </c>
      <c r="I638" s="328">
        <f t="shared" si="495"/>
        <v>0</v>
      </c>
      <c r="J638" s="327">
        <v>0</v>
      </c>
      <c r="K638" s="327">
        <v>15</v>
      </c>
      <c r="L638" s="327">
        <v>50</v>
      </c>
      <c r="M638" s="341">
        <f t="shared" si="543"/>
        <v>65</v>
      </c>
      <c r="N638" s="328">
        <f t="shared" si="497"/>
        <v>1625</v>
      </c>
      <c r="O638" s="327">
        <v>0</v>
      </c>
      <c r="P638" s="327">
        <v>0</v>
      </c>
      <c r="Q638" s="327">
        <v>0</v>
      </c>
      <c r="R638" s="341">
        <f t="shared" si="545"/>
        <v>0</v>
      </c>
      <c r="S638" s="328">
        <f t="shared" si="499"/>
        <v>0</v>
      </c>
      <c r="T638" s="327">
        <v>0</v>
      </c>
      <c r="U638" s="327">
        <v>0</v>
      </c>
      <c r="V638" s="327">
        <v>0</v>
      </c>
      <c r="W638" s="341">
        <f t="shared" si="546"/>
        <v>0</v>
      </c>
      <c r="X638" s="328">
        <f t="shared" si="501"/>
        <v>0</v>
      </c>
      <c r="Y638" s="328">
        <f t="shared" si="502"/>
        <v>65</v>
      </c>
      <c r="Z638" s="329">
        <f>1625/65</f>
        <v>25</v>
      </c>
      <c r="AA638" s="330">
        <f t="shared" si="503"/>
        <v>1625</v>
      </c>
    </row>
    <row r="639" spans="1:27" ht="28.35" customHeight="1">
      <c r="A639" s="325">
        <v>37</v>
      </c>
      <c r="B639" s="299"/>
      <c r="C639" s="326" t="s">
        <v>1107</v>
      </c>
      <c r="D639" s="333" t="s">
        <v>367</v>
      </c>
      <c r="E639" s="327">
        <v>0</v>
      </c>
      <c r="F639" s="327">
        <f>0+0</f>
        <v>0</v>
      </c>
      <c r="G639" s="327">
        <f>0+0</f>
        <v>0</v>
      </c>
      <c r="H639" s="341">
        <f t="shared" si="544"/>
        <v>0</v>
      </c>
      <c r="I639" s="328">
        <f t="shared" si="495"/>
        <v>0</v>
      </c>
      <c r="J639" s="327">
        <f>0+3</f>
        <v>3</v>
      </c>
      <c r="K639" s="327">
        <f>0+0</f>
        <v>0</v>
      </c>
      <c r="L639" s="327">
        <f>0+0</f>
        <v>0</v>
      </c>
      <c r="M639" s="341">
        <f t="shared" si="543"/>
        <v>3</v>
      </c>
      <c r="N639" s="328">
        <f t="shared" si="497"/>
        <v>3600</v>
      </c>
      <c r="O639" s="327">
        <f>0+0</f>
        <v>0</v>
      </c>
      <c r="P639" s="327">
        <f t="shared" si="511"/>
        <v>0</v>
      </c>
      <c r="Q639" s="327">
        <f t="shared" si="511"/>
        <v>0</v>
      </c>
      <c r="R639" s="341">
        <f t="shared" si="545"/>
        <v>0</v>
      </c>
      <c r="S639" s="328">
        <f t="shared" si="499"/>
        <v>0</v>
      </c>
      <c r="T639" s="327">
        <f t="shared" si="509"/>
        <v>0</v>
      </c>
      <c r="U639" s="327">
        <f t="shared" si="509"/>
        <v>0</v>
      </c>
      <c r="V639" s="327">
        <f t="shared" si="509"/>
        <v>0</v>
      </c>
      <c r="W639" s="341">
        <f t="shared" si="546"/>
        <v>0</v>
      </c>
      <c r="X639" s="328">
        <f t="shared" si="501"/>
        <v>0</v>
      </c>
      <c r="Y639" s="328">
        <f t="shared" si="502"/>
        <v>3</v>
      </c>
      <c r="Z639" s="329">
        <f>7200/6</f>
        <v>1200</v>
      </c>
      <c r="AA639" s="330">
        <f t="shared" si="503"/>
        <v>3600</v>
      </c>
    </row>
    <row r="640" spans="1:27" ht="28.35" customHeight="1">
      <c r="A640" s="331">
        <v>38</v>
      </c>
      <c r="B640" s="299"/>
      <c r="C640" s="326" t="s">
        <v>1108</v>
      </c>
      <c r="D640" s="333" t="s">
        <v>367</v>
      </c>
      <c r="E640" s="327">
        <v>0</v>
      </c>
      <c r="F640" s="327">
        <f>0+0</f>
        <v>0</v>
      </c>
      <c r="G640" s="327">
        <f>0+0</f>
        <v>0</v>
      </c>
      <c r="H640" s="341">
        <f t="shared" si="544"/>
        <v>0</v>
      </c>
      <c r="I640" s="328">
        <f t="shared" si="495"/>
        <v>0</v>
      </c>
      <c r="J640" s="327">
        <f>0+1</f>
        <v>1</v>
      </c>
      <c r="K640" s="327">
        <f>0+0</f>
        <v>0</v>
      </c>
      <c r="L640" s="327">
        <f>0+0</f>
        <v>0</v>
      </c>
      <c r="M640" s="341">
        <f t="shared" si="543"/>
        <v>1</v>
      </c>
      <c r="N640" s="328">
        <f t="shared" si="497"/>
        <v>1500</v>
      </c>
      <c r="O640" s="327">
        <f>0+0</f>
        <v>0</v>
      </c>
      <c r="P640" s="327">
        <f t="shared" si="511"/>
        <v>0</v>
      </c>
      <c r="Q640" s="327">
        <f t="shared" si="511"/>
        <v>0</v>
      </c>
      <c r="R640" s="341">
        <f t="shared" si="545"/>
        <v>0</v>
      </c>
      <c r="S640" s="328">
        <f t="shared" si="499"/>
        <v>0</v>
      </c>
      <c r="T640" s="327">
        <f t="shared" si="509"/>
        <v>0</v>
      </c>
      <c r="U640" s="327">
        <f t="shared" si="509"/>
        <v>0</v>
      </c>
      <c r="V640" s="327">
        <f t="shared" si="509"/>
        <v>0</v>
      </c>
      <c r="W640" s="341">
        <f t="shared" si="546"/>
        <v>0</v>
      </c>
      <c r="X640" s="328">
        <f t="shared" si="501"/>
        <v>0</v>
      </c>
      <c r="Y640" s="328">
        <f t="shared" si="502"/>
        <v>1</v>
      </c>
      <c r="Z640" s="329">
        <f>4500/3</f>
        <v>1500</v>
      </c>
      <c r="AA640" s="330">
        <f t="shared" si="503"/>
        <v>1500</v>
      </c>
    </row>
    <row r="641" spans="1:27" ht="28.35" customHeight="1" thickBot="1">
      <c r="A641" s="332">
        <v>39</v>
      </c>
      <c r="B641" s="299"/>
      <c r="C641" s="326" t="s">
        <v>1109</v>
      </c>
      <c r="D641" s="333" t="s">
        <v>364</v>
      </c>
      <c r="E641" s="327">
        <v>0</v>
      </c>
      <c r="F641" s="327">
        <v>0</v>
      </c>
      <c r="G641" s="327">
        <v>0</v>
      </c>
      <c r="H641" s="341">
        <f t="shared" si="544"/>
        <v>0</v>
      </c>
      <c r="I641" s="328">
        <f t="shared" si="495"/>
        <v>0</v>
      </c>
      <c r="J641" s="327">
        <v>6</v>
      </c>
      <c r="K641" s="327">
        <v>0</v>
      </c>
      <c r="L641" s="327">
        <v>0</v>
      </c>
      <c r="M641" s="341">
        <f t="shared" si="543"/>
        <v>6</v>
      </c>
      <c r="N641" s="328">
        <f t="shared" si="497"/>
        <v>680</v>
      </c>
      <c r="O641" s="327">
        <v>6</v>
      </c>
      <c r="P641" s="327">
        <v>0</v>
      </c>
      <c r="Q641" s="327">
        <v>0</v>
      </c>
      <c r="R641" s="341">
        <f t="shared" si="545"/>
        <v>6</v>
      </c>
      <c r="S641" s="328">
        <f t="shared" si="499"/>
        <v>680</v>
      </c>
      <c r="T641" s="327">
        <v>6</v>
      </c>
      <c r="U641" s="327">
        <v>0</v>
      </c>
      <c r="V641" s="327">
        <v>0</v>
      </c>
      <c r="W641" s="341">
        <f t="shared" si="546"/>
        <v>6</v>
      </c>
      <c r="X641" s="328">
        <f t="shared" si="501"/>
        <v>680</v>
      </c>
      <c r="Y641" s="328">
        <f t="shared" si="502"/>
        <v>18</v>
      </c>
      <c r="Z641" s="329">
        <f>2040/Y641</f>
        <v>113.33333333333333</v>
      </c>
      <c r="AA641" s="330">
        <f t="shared" si="503"/>
        <v>2040</v>
      </c>
    </row>
    <row r="642" spans="1:27" ht="28.35" customHeight="1">
      <c r="A642" s="325">
        <v>40</v>
      </c>
      <c r="B642" s="299"/>
      <c r="C642" s="326" t="s">
        <v>1110</v>
      </c>
      <c r="D642" s="333" t="s">
        <v>364</v>
      </c>
      <c r="E642" s="327">
        <v>0</v>
      </c>
      <c r="F642" s="327">
        <v>0</v>
      </c>
      <c r="G642" s="327">
        <v>0</v>
      </c>
      <c r="H642" s="341">
        <f t="shared" si="544"/>
        <v>0</v>
      </c>
      <c r="I642" s="328">
        <f t="shared" si="495"/>
        <v>0</v>
      </c>
      <c r="J642" s="327">
        <v>6</v>
      </c>
      <c r="K642" s="327">
        <v>0</v>
      </c>
      <c r="L642" s="327">
        <v>0</v>
      </c>
      <c r="M642" s="341">
        <f t="shared" si="543"/>
        <v>6</v>
      </c>
      <c r="N642" s="328">
        <f t="shared" si="497"/>
        <v>520</v>
      </c>
      <c r="O642" s="327">
        <v>6</v>
      </c>
      <c r="P642" s="327">
        <v>0</v>
      </c>
      <c r="Q642" s="327">
        <v>0</v>
      </c>
      <c r="R642" s="341">
        <f t="shared" si="545"/>
        <v>6</v>
      </c>
      <c r="S642" s="328">
        <f t="shared" si="499"/>
        <v>520</v>
      </c>
      <c r="T642" s="327">
        <v>6</v>
      </c>
      <c r="U642" s="327">
        <v>0</v>
      </c>
      <c r="V642" s="327">
        <v>0</v>
      </c>
      <c r="W642" s="341">
        <f t="shared" si="546"/>
        <v>6</v>
      </c>
      <c r="X642" s="328">
        <f t="shared" si="501"/>
        <v>520</v>
      </c>
      <c r="Y642" s="328">
        <f t="shared" si="502"/>
        <v>18</v>
      </c>
      <c r="Z642" s="329">
        <f>1560/Y642</f>
        <v>86.666666666666671</v>
      </c>
      <c r="AA642" s="330">
        <f t="shared" si="503"/>
        <v>1560</v>
      </c>
    </row>
    <row r="643" spans="1:27" ht="28.35" customHeight="1">
      <c r="A643" s="331">
        <v>41</v>
      </c>
      <c r="B643" s="299"/>
      <c r="C643" s="326" t="s">
        <v>1111</v>
      </c>
      <c r="D643" s="333" t="s">
        <v>339</v>
      </c>
      <c r="E643" s="327">
        <v>0</v>
      </c>
      <c r="F643" s="327">
        <v>0</v>
      </c>
      <c r="G643" s="327">
        <v>0</v>
      </c>
      <c r="H643" s="341">
        <f t="shared" si="544"/>
        <v>0</v>
      </c>
      <c r="I643" s="328">
        <f t="shared" si="495"/>
        <v>0</v>
      </c>
      <c r="J643" s="327">
        <v>0</v>
      </c>
      <c r="K643" s="327">
        <v>0</v>
      </c>
      <c r="L643" s="327">
        <v>0</v>
      </c>
      <c r="M643" s="341">
        <f t="shared" si="543"/>
        <v>0</v>
      </c>
      <c r="N643" s="328">
        <f t="shared" si="497"/>
        <v>0</v>
      </c>
      <c r="O643" s="327">
        <v>0</v>
      </c>
      <c r="P643" s="327">
        <v>0</v>
      </c>
      <c r="Q643" s="327">
        <v>0</v>
      </c>
      <c r="R643" s="341">
        <f t="shared" si="545"/>
        <v>0</v>
      </c>
      <c r="S643" s="328">
        <f t="shared" si="499"/>
        <v>0</v>
      </c>
      <c r="T643" s="327">
        <v>0</v>
      </c>
      <c r="U643" s="327">
        <v>0</v>
      </c>
      <c r="V643" s="327">
        <v>0</v>
      </c>
      <c r="W643" s="341">
        <f t="shared" si="546"/>
        <v>0</v>
      </c>
      <c r="X643" s="328">
        <f t="shared" si="501"/>
        <v>0</v>
      </c>
      <c r="Y643" s="328">
        <f t="shared" si="502"/>
        <v>0</v>
      </c>
      <c r="Z643" s="329">
        <f>1100/20</f>
        <v>55</v>
      </c>
      <c r="AA643" s="330">
        <f t="shared" si="503"/>
        <v>0</v>
      </c>
    </row>
    <row r="644" spans="1:27" ht="28.35" customHeight="1" thickBot="1">
      <c r="A644" s="332">
        <v>42</v>
      </c>
      <c r="B644" s="299"/>
      <c r="C644" s="326" t="s">
        <v>1112</v>
      </c>
      <c r="D644" s="333" t="s">
        <v>339</v>
      </c>
      <c r="E644" s="327">
        <v>0</v>
      </c>
      <c r="F644" s="327">
        <v>0</v>
      </c>
      <c r="G644" s="327">
        <v>0</v>
      </c>
      <c r="H644" s="341">
        <f t="shared" si="544"/>
        <v>0</v>
      </c>
      <c r="I644" s="328">
        <f t="shared" si="495"/>
        <v>0</v>
      </c>
      <c r="J644" s="327">
        <v>0</v>
      </c>
      <c r="K644" s="327">
        <v>5</v>
      </c>
      <c r="L644" s="327">
        <v>10</v>
      </c>
      <c r="M644" s="341">
        <f t="shared" si="543"/>
        <v>15</v>
      </c>
      <c r="N644" s="328">
        <f t="shared" si="497"/>
        <v>566.25</v>
      </c>
      <c r="O644" s="327">
        <v>0</v>
      </c>
      <c r="P644" s="327">
        <v>0</v>
      </c>
      <c r="Q644" s="327">
        <v>0</v>
      </c>
      <c r="R644" s="341">
        <f t="shared" si="545"/>
        <v>0</v>
      </c>
      <c r="S644" s="328">
        <f t="shared" si="499"/>
        <v>0</v>
      </c>
      <c r="T644" s="327">
        <v>0</v>
      </c>
      <c r="U644" s="327">
        <v>0</v>
      </c>
      <c r="V644" s="327">
        <v>0</v>
      </c>
      <c r="W644" s="341">
        <f t="shared" si="546"/>
        <v>0</v>
      </c>
      <c r="X644" s="328">
        <f t="shared" si="501"/>
        <v>0</v>
      </c>
      <c r="Y644" s="328">
        <f t="shared" si="502"/>
        <v>15</v>
      </c>
      <c r="Z644" s="329">
        <f>641.75/17</f>
        <v>37.75</v>
      </c>
      <c r="AA644" s="330">
        <f t="shared" si="503"/>
        <v>566.25</v>
      </c>
    </row>
    <row r="645" spans="1:27" ht="28.35" customHeight="1">
      <c r="A645" s="325">
        <v>43</v>
      </c>
      <c r="B645" s="299"/>
      <c r="C645" s="326" t="s">
        <v>1113</v>
      </c>
      <c r="D645" s="333" t="s">
        <v>537</v>
      </c>
      <c r="E645" s="327">
        <v>0</v>
      </c>
      <c r="F645" s="327">
        <v>0</v>
      </c>
      <c r="G645" s="327">
        <v>0</v>
      </c>
      <c r="H645" s="341">
        <f>SUM(E645:G645)</f>
        <v>0</v>
      </c>
      <c r="I645" s="328">
        <f>H645*$Z645</f>
        <v>0</v>
      </c>
      <c r="J645" s="327">
        <v>0</v>
      </c>
      <c r="K645" s="327">
        <v>0</v>
      </c>
      <c r="L645" s="327">
        <v>3</v>
      </c>
      <c r="M645" s="341">
        <f>SUM(J645:L645)</f>
        <v>3</v>
      </c>
      <c r="N645" s="328">
        <f>M645*$Z645</f>
        <v>360</v>
      </c>
      <c r="O645" s="327">
        <v>10</v>
      </c>
      <c r="P645" s="327">
        <v>10</v>
      </c>
      <c r="Q645" s="327">
        <f>10+3</f>
        <v>13</v>
      </c>
      <c r="R645" s="341">
        <f>SUM(O645:Q645)</f>
        <v>33</v>
      </c>
      <c r="S645" s="328">
        <f>R645*$Z645</f>
        <v>3960</v>
      </c>
      <c r="T645" s="327">
        <v>10</v>
      </c>
      <c r="U645" s="327">
        <v>10</v>
      </c>
      <c r="V645" s="327">
        <v>0</v>
      </c>
      <c r="W645" s="341">
        <f>SUM(T645:V645)</f>
        <v>20</v>
      </c>
      <c r="X645" s="328">
        <f>W645*$Z645</f>
        <v>2400</v>
      </c>
      <c r="Y645" s="328">
        <f>H645+M645+R645+W645</f>
        <v>56</v>
      </c>
      <c r="Z645" s="329">
        <f>6000/50</f>
        <v>120</v>
      </c>
      <c r="AA645" s="330">
        <f>Y645*Z645</f>
        <v>6720</v>
      </c>
    </row>
    <row r="646" spans="1:27" ht="28.35" customHeight="1">
      <c r="A646" s="331">
        <v>44</v>
      </c>
      <c r="B646" s="299"/>
      <c r="C646" s="326" t="s">
        <v>1114</v>
      </c>
      <c r="D646" s="333" t="s">
        <v>364</v>
      </c>
      <c r="E646" s="327">
        <v>6</v>
      </c>
      <c r="F646" s="327">
        <v>0</v>
      </c>
      <c r="G646" s="327">
        <v>0</v>
      </c>
      <c r="H646" s="341">
        <f t="shared" ref="H646" si="547">SUM(E646:G646)</f>
        <v>6</v>
      </c>
      <c r="I646" s="328">
        <f t="shared" ref="I646" si="548">H646*$Z646</f>
        <v>720</v>
      </c>
      <c r="J646" s="327">
        <v>6</v>
      </c>
      <c r="K646" s="327">
        <v>0</v>
      </c>
      <c r="L646" s="327">
        <v>0</v>
      </c>
      <c r="M646" s="341">
        <f t="shared" ref="M646" si="549">SUM(J646:L646)</f>
        <v>6</v>
      </c>
      <c r="N646" s="328">
        <f t="shared" ref="N646" si="550">M646*$Z646</f>
        <v>720</v>
      </c>
      <c r="O646" s="327">
        <v>0</v>
      </c>
      <c r="P646" s="327">
        <v>0</v>
      </c>
      <c r="Q646" s="327">
        <v>0</v>
      </c>
      <c r="R646" s="341">
        <f t="shared" ref="R646" si="551">SUM(O646:Q646)</f>
        <v>0</v>
      </c>
      <c r="S646" s="328">
        <f t="shared" ref="S646" si="552">R646*$Z646</f>
        <v>0</v>
      </c>
      <c r="T646" s="327">
        <v>0</v>
      </c>
      <c r="U646" s="327">
        <v>0</v>
      </c>
      <c r="V646" s="327">
        <v>0</v>
      </c>
      <c r="W646" s="341">
        <f t="shared" ref="W646" si="553">SUM(T646:V646)</f>
        <v>0</v>
      </c>
      <c r="X646" s="328">
        <f t="shared" ref="X646" si="554">W646*$Z646</f>
        <v>0</v>
      </c>
      <c r="Y646" s="328">
        <f t="shared" ref="Y646" si="555">H646+M646+R646+W646</f>
        <v>12</v>
      </c>
      <c r="Z646" s="329">
        <f>1440/Y646</f>
        <v>120</v>
      </c>
      <c r="AA646" s="330">
        <f t="shared" ref="AA646" si="556">Y646*Z646</f>
        <v>1440</v>
      </c>
    </row>
    <row r="647" spans="1:27" ht="28.35" customHeight="1" thickBot="1">
      <c r="A647" s="332">
        <v>45</v>
      </c>
      <c r="B647" s="299"/>
      <c r="C647" s="326" t="s">
        <v>1115</v>
      </c>
      <c r="D647" s="333" t="s">
        <v>339</v>
      </c>
      <c r="E647" s="327">
        <f>0+0</f>
        <v>0</v>
      </c>
      <c r="F647" s="327">
        <v>0</v>
      </c>
      <c r="G647" s="327">
        <f>0+0</f>
        <v>0</v>
      </c>
      <c r="H647" s="341">
        <f>SUM(E647:G647)</f>
        <v>0</v>
      </c>
      <c r="I647" s="328">
        <f>H647*$Z647</f>
        <v>0</v>
      </c>
      <c r="J647" s="327">
        <f>0+0</f>
        <v>0</v>
      </c>
      <c r="K647" s="327">
        <f>0+0</f>
        <v>0</v>
      </c>
      <c r="L647" s="327">
        <f>0+0</f>
        <v>0</v>
      </c>
      <c r="M647" s="341">
        <f>SUM(J647:L647)</f>
        <v>0</v>
      </c>
      <c r="N647" s="328">
        <f>M647*$Z647</f>
        <v>0</v>
      </c>
      <c r="O647" s="327">
        <f>0+0</f>
        <v>0</v>
      </c>
      <c r="P647" s="327">
        <f>0+0</f>
        <v>0</v>
      </c>
      <c r="Q647" s="327">
        <f>0+0</f>
        <v>0</v>
      </c>
      <c r="R647" s="341">
        <f>SUM(O647:Q647)</f>
        <v>0</v>
      </c>
      <c r="S647" s="328">
        <f>R647*$Z647</f>
        <v>0</v>
      </c>
      <c r="T647" s="327">
        <f>0+0</f>
        <v>0</v>
      </c>
      <c r="U647" s="327">
        <f>0+0</f>
        <v>0</v>
      </c>
      <c r="V647" s="327">
        <f>0+0</f>
        <v>0</v>
      </c>
      <c r="W647" s="341">
        <f>SUM(T647:V647)</f>
        <v>0</v>
      </c>
      <c r="X647" s="328">
        <f>W647*$Z647</f>
        <v>0</v>
      </c>
      <c r="Y647" s="328">
        <f>H647+M647+R647+W647</f>
        <v>0</v>
      </c>
      <c r="Z647" s="329">
        <f>1100/5</f>
        <v>220</v>
      </c>
      <c r="AA647" s="330">
        <f>Y647*Z647</f>
        <v>0</v>
      </c>
    </row>
    <row r="648" spans="1:27" ht="28.35" customHeight="1">
      <c r="A648" s="325">
        <v>46</v>
      </c>
      <c r="B648" s="299"/>
      <c r="C648" s="326" t="s">
        <v>1116</v>
      </c>
      <c r="D648" s="333" t="s">
        <v>339</v>
      </c>
      <c r="E648" s="327">
        <v>0</v>
      </c>
      <c r="F648" s="327">
        <v>0</v>
      </c>
      <c r="G648" s="327">
        <v>0</v>
      </c>
      <c r="H648" s="341">
        <f t="shared" ref="H648:H649" si="557">SUM(E648:G648)</f>
        <v>0</v>
      </c>
      <c r="I648" s="328">
        <f>H648*$Z648</f>
        <v>0</v>
      </c>
      <c r="J648" s="327">
        <v>10</v>
      </c>
      <c r="K648" s="327">
        <v>0</v>
      </c>
      <c r="L648" s="327">
        <v>0</v>
      </c>
      <c r="M648" s="341">
        <f t="shared" ref="M648:M651" si="558">SUM(J648:L648)</f>
        <v>10</v>
      </c>
      <c r="N648" s="328">
        <f>M648*$Z648</f>
        <v>400</v>
      </c>
      <c r="O648" s="327">
        <v>10</v>
      </c>
      <c r="P648" s="327">
        <v>0</v>
      </c>
      <c r="Q648" s="327">
        <v>0</v>
      </c>
      <c r="R648" s="341">
        <f>SUM(O648:Q648)</f>
        <v>10</v>
      </c>
      <c r="S648" s="328">
        <f>R648*$Z648</f>
        <v>400</v>
      </c>
      <c r="T648" s="327">
        <v>0</v>
      </c>
      <c r="U648" s="327">
        <v>0</v>
      </c>
      <c r="V648" s="327">
        <v>0</v>
      </c>
      <c r="W648" s="341">
        <f>SUM(T648:V648)</f>
        <v>0</v>
      </c>
      <c r="X648" s="328">
        <f>W648*$Z648</f>
        <v>0</v>
      </c>
      <c r="Y648" s="328">
        <f>H648+M648+R648+W648</f>
        <v>20</v>
      </c>
      <c r="Z648" s="329">
        <f>1200/30</f>
        <v>40</v>
      </c>
      <c r="AA648" s="330">
        <f>Y648*Z648</f>
        <v>800</v>
      </c>
    </row>
    <row r="649" spans="1:27" ht="28.35" customHeight="1">
      <c r="A649" s="331">
        <v>47</v>
      </c>
      <c r="B649" s="299"/>
      <c r="C649" s="326" t="s">
        <v>1117</v>
      </c>
      <c r="D649" s="333" t="s">
        <v>339</v>
      </c>
      <c r="E649" s="327">
        <v>0</v>
      </c>
      <c r="F649" s="327">
        <v>0</v>
      </c>
      <c r="G649" s="327">
        <v>0</v>
      </c>
      <c r="H649" s="341">
        <f t="shared" si="557"/>
        <v>0</v>
      </c>
      <c r="I649" s="328">
        <f>H649*$Z649</f>
        <v>0</v>
      </c>
      <c r="J649" s="327">
        <v>10</v>
      </c>
      <c r="K649" s="327">
        <v>0</v>
      </c>
      <c r="L649" s="327">
        <v>0</v>
      </c>
      <c r="M649" s="341">
        <f t="shared" si="558"/>
        <v>10</v>
      </c>
      <c r="N649" s="328">
        <f>M649*$Z649</f>
        <v>500</v>
      </c>
      <c r="O649" s="327">
        <v>10</v>
      </c>
      <c r="P649" s="327">
        <v>0</v>
      </c>
      <c r="Q649" s="327">
        <v>0</v>
      </c>
      <c r="R649" s="341">
        <f>SUM(O649:Q649)</f>
        <v>10</v>
      </c>
      <c r="S649" s="328">
        <f>R649*$Z649</f>
        <v>500</v>
      </c>
      <c r="T649" s="327">
        <v>0</v>
      </c>
      <c r="U649" s="327">
        <v>0</v>
      </c>
      <c r="V649" s="327">
        <v>0</v>
      </c>
      <c r="W649" s="341">
        <f>SUM(T649:V649)</f>
        <v>0</v>
      </c>
      <c r="X649" s="328">
        <f>W649*$Z649</f>
        <v>0</v>
      </c>
      <c r="Y649" s="328">
        <f>H649+M649+R649+W649</f>
        <v>20</v>
      </c>
      <c r="Z649" s="329">
        <f>1500/30</f>
        <v>50</v>
      </c>
      <c r="AA649" s="330">
        <f>Y649*Z649</f>
        <v>1000</v>
      </c>
    </row>
    <row r="650" spans="1:27" ht="28.35" customHeight="1" thickBot="1">
      <c r="A650" s="332">
        <v>48</v>
      </c>
      <c r="B650" s="299"/>
      <c r="C650" s="326" t="s">
        <v>1118</v>
      </c>
      <c r="D650" s="333" t="s">
        <v>364</v>
      </c>
      <c r="E650" s="327">
        <f>0+0</f>
        <v>0</v>
      </c>
      <c r="F650" s="327">
        <f>0+0</f>
        <v>0</v>
      </c>
      <c r="G650" s="327">
        <v>0</v>
      </c>
      <c r="H650" s="341">
        <f t="shared" ref="H650" si="559">SUM(E650:G650)</f>
        <v>0</v>
      </c>
      <c r="I650" s="328">
        <f t="shared" ref="I650:I655" si="560">H650*$Z650</f>
        <v>0</v>
      </c>
      <c r="J650" s="327">
        <f>0+0</f>
        <v>0</v>
      </c>
      <c r="K650" s="327">
        <f>0+0</f>
        <v>0</v>
      </c>
      <c r="L650" s="327">
        <f>0+0</f>
        <v>0</v>
      </c>
      <c r="M650" s="341">
        <f t="shared" si="558"/>
        <v>0</v>
      </c>
      <c r="N650" s="328">
        <f t="shared" ref="N650:N655" si="561">M650*$Z650</f>
        <v>0</v>
      </c>
      <c r="O650" s="327">
        <f>0+0</f>
        <v>0</v>
      </c>
      <c r="P650" s="327">
        <f t="shared" si="511"/>
        <v>0</v>
      </c>
      <c r="Q650" s="327">
        <f t="shared" si="511"/>
        <v>0</v>
      </c>
      <c r="R650" s="341">
        <f t="shared" ref="R650:R651" si="562">SUM(O650:Q650)</f>
        <v>0</v>
      </c>
      <c r="S650" s="328">
        <f t="shared" ref="S650:S655" si="563">R650*$Z650</f>
        <v>0</v>
      </c>
      <c r="T650" s="327">
        <f t="shared" si="509"/>
        <v>0</v>
      </c>
      <c r="U650" s="327">
        <f t="shared" si="509"/>
        <v>0</v>
      </c>
      <c r="V650" s="327">
        <f t="shared" si="509"/>
        <v>0</v>
      </c>
      <c r="W650" s="341">
        <f t="shared" ref="W650:W651" si="564">SUM(T650:V650)</f>
        <v>0</v>
      </c>
      <c r="X650" s="328">
        <f t="shared" ref="X650:X655" si="565">W650*$Z650</f>
        <v>0</v>
      </c>
      <c r="Y650" s="328">
        <f t="shared" ref="Y650:Y655" si="566">H650+M650+R650+W650</f>
        <v>0</v>
      </c>
      <c r="Z650" s="329">
        <f>800/20</f>
        <v>40</v>
      </c>
      <c r="AA650" s="330">
        <f t="shared" ref="AA650:AA655" si="567">Y650*Z650</f>
        <v>0</v>
      </c>
    </row>
    <row r="651" spans="1:27" ht="28.35" customHeight="1">
      <c r="A651" s="325">
        <v>49</v>
      </c>
      <c r="B651" s="299"/>
      <c r="C651" s="326" t="s">
        <v>1118</v>
      </c>
      <c r="D651" s="333" t="s">
        <v>339</v>
      </c>
      <c r="E651" s="327">
        <v>0</v>
      </c>
      <c r="F651" s="327">
        <v>0</v>
      </c>
      <c r="G651" s="327">
        <v>0</v>
      </c>
      <c r="H651" s="341">
        <f t="shared" ref="H651:H655" si="568">SUM(E651:G651)</f>
        <v>0</v>
      </c>
      <c r="I651" s="328">
        <f t="shared" si="560"/>
        <v>0</v>
      </c>
      <c r="J651" s="327">
        <v>0</v>
      </c>
      <c r="K651" s="327">
        <v>20</v>
      </c>
      <c r="L651" s="327">
        <v>40</v>
      </c>
      <c r="M651" s="341">
        <f t="shared" si="558"/>
        <v>60</v>
      </c>
      <c r="N651" s="328">
        <f t="shared" si="561"/>
        <v>1980</v>
      </c>
      <c r="O651" s="327">
        <v>20</v>
      </c>
      <c r="P651" s="327">
        <v>0</v>
      </c>
      <c r="Q651" s="327">
        <v>3</v>
      </c>
      <c r="R651" s="341">
        <f t="shared" si="562"/>
        <v>23</v>
      </c>
      <c r="S651" s="328">
        <f t="shared" si="563"/>
        <v>759</v>
      </c>
      <c r="T651" s="327">
        <v>0</v>
      </c>
      <c r="U651" s="327">
        <v>0</v>
      </c>
      <c r="V651" s="327">
        <v>0</v>
      </c>
      <c r="W651" s="341">
        <f t="shared" si="564"/>
        <v>0</v>
      </c>
      <c r="X651" s="328">
        <f t="shared" si="565"/>
        <v>0</v>
      </c>
      <c r="Y651" s="328">
        <f t="shared" si="566"/>
        <v>83</v>
      </c>
      <c r="Z651" s="329">
        <f>2838/86</f>
        <v>33</v>
      </c>
      <c r="AA651" s="330">
        <f t="shared" si="567"/>
        <v>2739</v>
      </c>
    </row>
    <row r="652" spans="1:27" ht="28.35" customHeight="1">
      <c r="A652" s="331">
        <v>50</v>
      </c>
      <c r="B652" s="299"/>
      <c r="C652" s="326" t="s">
        <v>1119</v>
      </c>
      <c r="D652" s="333" t="s">
        <v>364</v>
      </c>
      <c r="E652" s="327">
        <v>0</v>
      </c>
      <c r="F652" s="327">
        <v>0</v>
      </c>
      <c r="G652" s="327">
        <v>0</v>
      </c>
      <c r="H652" s="341">
        <f t="shared" si="568"/>
        <v>0</v>
      </c>
      <c r="I652" s="328">
        <f t="shared" si="560"/>
        <v>0</v>
      </c>
      <c r="J652" s="327">
        <v>0</v>
      </c>
      <c r="K652" s="327">
        <v>0</v>
      </c>
      <c r="L652" s="327">
        <v>0</v>
      </c>
      <c r="M652" s="341">
        <f t="shared" ref="M652:M655" si="569">SUM(J652:L652)</f>
        <v>0</v>
      </c>
      <c r="N652" s="328">
        <f t="shared" si="561"/>
        <v>0</v>
      </c>
      <c r="O652" s="327">
        <v>1</v>
      </c>
      <c r="P652" s="327">
        <v>0</v>
      </c>
      <c r="Q652" s="327">
        <v>0</v>
      </c>
      <c r="R652" s="341">
        <f t="shared" ref="R652:R655" si="570">SUM(O652:Q652)</f>
        <v>1</v>
      </c>
      <c r="S652" s="328">
        <f t="shared" si="563"/>
        <v>6500</v>
      </c>
      <c r="T652" s="327">
        <v>0</v>
      </c>
      <c r="U652" s="327">
        <v>0</v>
      </c>
      <c r="V652" s="327">
        <v>0</v>
      </c>
      <c r="W652" s="341">
        <f t="shared" ref="W652:W655" si="571">SUM(T652:V652)</f>
        <v>0</v>
      </c>
      <c r="X652" s="328">
        <f t="shared" si="565"/>
        <v>0</v>
      </c>
      <c r="Y652" s="328">
        <f t="shared" si="566"/>
        <v>1</v>
      </c>
      <c r="Z652" s="329">
        <f>6500/Y652</f>
        <v>6500</v>
      </c>
      <c r="AA652" s="330">
        <f t="shared" si="567"/>
        <v>6500</v>
      </c>
    </row>
    <row r="653" spans="1:27" ht="28.35" customHeight="1" thickBot="1">
      <c r="A653" s="332">
        <v>51</v>
      </c>
      <c r="B653" s="299"/>
      <c r="C653" s="326" t="s">
        <v>1120</v>
      </c>
      <c r="D653" s="333" t="s">
        <v>364</v>
      </c>
      <c r="E653" s="327">
        <v>0</v>
      </c>
      <c r="F653" s="327">
        <v>0</v>
      </c>
      <c r="G653" s="327">
        <v>0</v>
      </c>
      <c r="H653" s="341">
        <f t="shared" si="568"/>
        <v>0</v>
      </c>
      <c r="I653" s="328" t="e">
        <f t="shared" si="560"/>
        <v>#DIV/0!</v>
      </c>
      <c r="J653" s="327">
        <v>0</v>
      </c>
      <c r="K653" s="327">
        <v>0</v>
      </c>
      <c r="L653" s="327">
        <v>0</v>
      </c>
      <c r="M653" s="341">
        <f t="shared" si="569"/>
        <v>0</v>
      </c>
      <c r="N653" s="328" t="e">
        <f t="shared" si="561"/>
        <v>#DIV/0!</v>
      </c>
      <c r="O653" s="327">
        <v>0</v>
      </c>
      <c r="P653" s="327">
        <v>0</v>
      </c>
      <c r="Q653" s="327">
        <v>0</v>
      </c>
      <c r="R653" s="341">
        <f t="shared" si="570"/>
        <v>0</v>
      </c>
      <c r="S653" s="328" t="e">
        <f t="shared" si="563"/>
        <v>#DIV/0!</v>
      </c>
      <c r="T653" s="327">
        <v>0</v>
      </c>
      <c r="U653" s="327">
        <v>0</v>
      </c>
      <c r="V653" s="327">
        <v>0</v>
      </c>
      <c r="W653" s="341">
        <f t="shared" si="571"/>
        <v>0</v>
      </c>
      <c r="X653" s="328" t="e">
        <f t="shared" si="565"/>
        <v>#DIV/0!</v>
      </c>
      <c r="Y653" s="328">
        <f t="shared" si="566"/>
        <v>0</v>
      </c>
      <c r="Z653" s="329" t="e">
        <f>2400/Y653</f>
        <v>#DIV/0!</v>
      </c>
      <c r="AA653" s="330" t="e">
        <f t="shared" si="567"/>
        <v>#DIV/0!</v>
      </c>
    </row>
    <row r="654" spans="1:27" ht="28.35" customHeight="1">
      <c r="A654" s="325">
        <v>52</v>
      </c>
      <c r="B654" s="299"/>
      <c r="C654" s="326" t="s">
        <v>1121</v>
      </c>
      <c r="D654" s="333" t="s">
        <v>339</v>
      </c>
      <c r="E654" s="327">
        <v>0</v>
      </c>
      <c r="F654" s="327">
        <v>0</v>
      </c>
      <c r="G654" s="327">
        <v>0</v>
      </c>
      <c r="H654" s="341">
        <f t="shared" si="568"/>
        <v>0</v>
      </c>
      <c r="I654" s="328" t="e">
        <f t="shared" si="560"/>
        <v>#DIV/0!</v>
      </c>
      <c r="J654" s="327">
        <v>0</v>
      </c>
      <c r="K654" s="327">
        <v>0</v>
      </c>
      <c r="L654" s="327">
        <v>0</v>
      </c>
      <c r="M654" s="341">
        <f t="shared" si="569"/>
        <v>0</v>
      </c>
      <c r="N654" s="328" t="e">
        <f t="shared" si="561"/>
        <v>#DIV/0!</v>
      </c>
      <c r="O654" s="327">
        <v>0</v>
      </c>
      <c r="P654" s="327">
        <v>0</v>
      </c>
      <c r="Q654" s="327">
        <v>0</v>
      </c>
      <c r="R654" s="341">
        <f t="shared" si="570"/>
        <v>0</v>
      </c>
      <c r="S654" s="328" t="e">
        <f t="shared" si="563"/>
        <v>#DIV/0!</v>
      </c>
      <c r="T654" s="327">
        <v>0</v>
      </c>
      <c r="U654" s="327">
        <v>0</v>
      </c>
      <c r="V654" s="327">
        <v>0</v>
      </c>
      <c r="W654" s="341">
        <f t="shared" si="571"/>
        <v>0</v>
      </c>
      <c r="X654" s="328" t="e">
        <f t="shared" si="565"/>
        <v>#DIV/0!</v>
      </c>
      <c r="Y654" s="328">
        <f t="shared" si="566"/>
        <v>0</v>
      </c>
      <c r="Z654" s="329" t="e">
        <f>500/Y654</f>
        <v>#DIV/0!</v>
      </c>
      <c r="AA654" s="330" t="e">
        <f t="shared" si="567"/>
        <v>#DIV/0!</v>
      </c>
    </row>
    <row r="655" spans="1:27" ht="28.35" customHeight="1">
      <c r="A655" s="331">
        <v>53</v>
      </c>
      <c r="B655" s="299"/>
      <c r="C655" s="326" t="s">
        <v>1122</v>
      </c>
      <c r="D655" s="333" t="s">
        <v>367</v>
      </c>
      <c r="E655" s="327">
        <v>0</v>
      </c>
      <c r="F655" s="327">
        <v>0</v>
      </c>
      <c r="G655" s="327">
        <v>0</v>
      </c>
      <c r="H655" s="341">
        <f t="shared" si="568"/>
        <v>0</v>
      </c>
      <c r="I655" s="328">
        <f t="shared" si="560"/>
        <v>0</v>
      </c>
      <c r="J655" s="327">
        <v>0</v>
      </c>
      <c r="K655" s="327">
        <v>0</v>
      </c>
      <c r="L655" s="327">
        <v>0</v>
      </c>
      <c r="M655" s="341">
        <f t="shared" si="569"/>
        <v>0</v>
      </c>
      <c r="N655" s="328">
        <f t="shared" si="561"/>
        <v>0</v>
      </c>
      <c r="O655" s="327">
        <v>0</v>
      </c>
      <c r="P655" s="327">
        <v>0</v>
      </c>
      <c r="Q655" s="327">
        <v>0</v>
      </c>
      <c r="R655" s="341">
        <f t="shared" si="570"/>
        <v>0</v>
      </c>
      <c r="S655" s="328">
        <f t="shared" si="563"/>
        <v>0</v>
      </c>
      <c r="T655" s="327">
        <v>0</v>
      </c>
      <c r="U655" s="327">
        <v>0</v>
      </c>
      <c r="V655" s="327">
        <f>3+9</f>
        <v>12</v>
      </c>
      <c r="W655" s="341">
        <f t="shared" si="571"/>
        <v>12</v>
      </c>
      <c r="X655" s="328">
        <f t="shared" si="565"/>
        <v>1560</v>
      </c>
      <c r="Y655" s="328">
        <f t="shared" si="566"/>
        <v>12</v>
      </c>
      <c r="Z655" s="329">
        <f>1170/9</f>
        <v>130</v>
      </c>
      <c r="AA655" s="330">
        <f t="shared" si="567"/>
        <v>1560</v>
      </c>
    </row>
    <row r="656" spans="1:27" ht="28.35" customHeight="1" thickBot="1">
      <c r="A656" s="332">
        <v>54</v>
      </c>
      <c r="B656" s="299"/>
      <c r="C656" s="326" t="s">
        <v>1123</v>
      </c>
      <c r="D656" s="333" t="s">
        <v>364</v>
      </c>
      <c r="E656" s="327">
        <v>0</v>
      </c>
      <c r="F656" s="327">
        <v>0</v>
      </c>
      <c r="G656" s="327">
        <v>0</v>
      </c>
      <c r="H656" s="341">
        <f>SUM(E656:G656)</f>
        <v>0</v>
      </c>
      <c r="I656" s="328">
        <f>H656*$Z656</f>
        <v>0</v>
      </c>
      <c r="J656" s="327">
        <v>6</v>
      </c>
      <c r="K656" s="327">
        <v>0</v>
      </c>
      <c r="L656" s="327">
        <v>0</v>
      </c>
      <c r="M656" s="341">
        <f>SUM(J656:L656)</f>
        <v>6</v>
      </c>
      <c r="N656" s="328">
        <f>M656*$Z656</f>
        <v>2205</v>
      </c>
      <c r="O656" s="327">
        <v>12</v>
      </c>
      <c r="P656" s="327">
        <v>0</v>
      </c>
      <c r="Q656" s="327">
        <v>0</v>
      </c>
      <c r="R656" s="341">
        <f>SUM(O656:Q656)</f>
        <v>12</v>
      </c>
      <c r="S656" s="328">
        <f>R656*$Z656</f>
        <v>4410</v>
      </c>
      <c r="T656" s="327">
        <v>6</v>
      </c>
      <c r="U656" s="327">
        <v>0</v>
      </c>
      <c r="V656" s="327">
        <v>0</v>
      </c>
      <c r="W656" s="341">
        <f>SUM(T656:V656)</f>
        <v>6</v>
      </c>
      <c r="X656" s="328">
        <f>W656*$Z656</f>
        <v>2205</v>
      </c>
      <c r="Y656" s="328">
        <f>H656+M656+R656+W656</f>
        <v>24</v>
      </c>
      <c r="Z656" s="329">
        <f>8820/Y656</f>
        <v>367.5</v>
      </c>
      <c r="AA656" s="330">
        <f>Y656*Z656</f>
        <v>8820</v>
      </c>
    </row>
    <row r="657" spans="1:27" ht="28.35" customHeight="1">
      <c r="A657" s="325">
        <v>55</v>
      </c>
      <c r="B657" s="299"/>
      <c r="C657" s="326" t="s">
        <v>1124</v>
      </c>
      <c r="D657" s="333" t="s">
        <v>364</v>
      </c>
      <c r="E657" s="327">
        <v>0</v>
      </c>
      <c r="F657" s="327">
        <v>0</v>
      </c>
      <c r="G657" s="327">
        <v>0</v>
      </c>
      <c r="H657" s="341">
        <f t="shared" ref="H657" si="572">SUM(E657:G657)</f>
        <v>0</v>
      </c>
      <c r="I657" s="328">
        <f t="shared" ref="I657:I668" si="573">H657*$Z657</f>
        <v>0</v>
      </c>
      <c r="J657" s="327">
        <v>6</v>
      </c>
      <c r="K657" s="327">
        <v>0</v>
      </c>
      <c r="L657" s="327">
        <v>0</v>
      </c>
      <c r="M657" s="341">
        <f t="shared" ref="M657" si="574">SUM(J657:L657)</f>
        <v>6</v>
      </c>
      <c r="N657" s="328">
        <f t="shared" ref="N657:N668" si="575">M657*$Z657</f>
        <v>2120</v>
      </c>
      <c r="O657" s="327">
        <v>6</v>
      </c>
      <c r="P657" s="327">
        <v>0</v>
      </c>
      <c r="Q657" s="327">
        <v>0</v>
      </c>
      <c r="R657" s="341">
        <f t="shared" ref="R657" si="576">SUM(O657:Q657)</f>
        <v>6</v>
      </c>
      <c r="S657" s="328">
        <f t="shared" ref="S657:S668" si="577">R657*$Z657</f>
        <v>2120</v>
      </c>
      <c r="T657" s="327">
        <v>6</v>
      </c>
      <c r="U657" s="327">
        <v>0</v>
      </c>
      <c r="V657" s="327">
        <v>0</v>
      </c>
      <c r="W657" s="341">
        <f t="shared" ref="W657" si="578">SUM(T657:V657)</f>
        <v>6</v>
      </c>
      <c r="X657" s="328">
        <f t="shared" ref="X657:X668" si="579">W657*$Z657</f>
        <v>2120</v>
      </c>
      <c r="Y657" s="328">
        <f t="shared" ref="Y657:Y668" si="580">H657+M657+R657+W657</f>
        <v>18</v>
      </c>
      <c r="Z657" s="329">
        <f>6360/Y657</f>
        <v>353.33333333333331</v>
      </c>
      <c r="AA657" s="330">
        <f t="shared" ref="AA657:AA668" si="581">Y657*Z657</f>
        <v>6360</v>
      </c>
    </row>
    <row r="658" spans="1:27" ht="28.35" customHeight="1">
      <c r="A658" s="331">
        <v>56</v>
      </c>
      <c r="B658" s="299"/>
      <c r="C658" s="326" t="s">
        <v>1125</v>
      </c>
      <c r="D658" s="333" t="s">
        <v>364</v>
      </c>
      <c r="E658" s="327">
        <v>0</v>
      </c>
      <c r="F658" s="327">
        <v>0</v>
      </c>
      <c r="G658" s="327">
        <v>0</v>
      </c>
      <c r="H658" s="341">
        <f t="shared" ref="H658:H668" si="582">SUM(E658:G658)</f>
        <v>0</v>
      </c>
      <c r="I658" s="328">
        <f t="shared" si="573"/>
        <v>0</v>
      </c>
      <c r="J658" s="327">
        <v>0</v>
      </c>
      <c r="K658" s="327">
        <v>0</v>
      </c>
      <c r="L658" s="327">
        <v>5</v>
      </c>
      <c r="M658" s="341">
        <f t="shared" ref="M658:M668" si="583">SUM(J658:L658)</f>
        <v>5</v>
      </c>
      <c r="N658" s="328">
        <f t="shared" si="575"/>
        <v>175</v>
      </c>
      <c r="O658" s="327">
        <v>0</v>
      </c>
      <c r="P658" s="327">
        <v>0</v>
      </c>
      <c r="Q658" s="327">
        <f>5+9</f>
        <v>14</v>
      </c>
      <c r="R658" s="341">
        <f t="shared" ref="R658:R668" si="584">SUM(O658:Q658)</f>
        <v>14</v>
      </c>
      <c r="S658" s="328">
        <f t="shared" si="577"/>
        <v>490</v>
      </c>
      <c r="T658" s="327">
        <v>0</v>
      </c>
      <c r="U658" s="327">
        <v>0</v>
      </c>
      <c r="V658" s="327">
        <v>5</v>
      </c>
      <c r="W658" s="341">
        <f t="shared" ref="W658:W668" si="585">SUM(T658:V658)</f>
        <v>5</v>
      </c>
      <c r="X658" s="328">
        <f t="shared" si="579"/>
        <v>175</v>
      </c>
      <c r="Y658" s="328">
        <f t="shared" si="580"/>
        <v>24</v>
      </c>
      <c r="Z658" s="329">
        <f>700/20</f>
        <v>35</v>
      </c>
      <c r="AA658" s="330">
        <f t="shared" si="581"/>
        <v>840</v>
      </c>
    </row>
    <row r="659" spans="1:27" ht="28.35" customHeight="1" thickBot="1">
      <c r="A659" s="332">
        <v>57</v>
      </c>
      <c r="B659" s="299"/>
      <c r="C659" s="326" t="s">
        <v>1126</v>
      </c>
      <c r="D659" s="333" t="s">
        <v>334</v>
      </c>
      <c r="E659" s="327">
        <v>0</v>
      </c>
      <c r="F659" s="327">
        <f>0+0</f>
        <v>0</v>
      </c>
      <c r="G659" s="327">
        <f>0+0</f>
        <v>0</v>
      </c>
      <c r="H659" s="341">
        <f t="shared" si="582"/>
        <v>0</v>
      </c>
      <c r="I659" s="328">
        <f t="shared" si="573"/>
        <v>0</v>
      </c>
      <c r="J659" s="327">
        <f>0+6</f>
        <v>6</v>
      </c>
      <c r="K659" s="327">
        <f>0+0+5</f>
        <v>5</v>
      </c>
      <c r="L659" s="327">
        <f>0+0</f>
        <v>0</v>
      </c>
      <c r="M659" s="341">
        <f t="shared" si="583"/>
        <v>11</v>
      </c>
      <c r="N659" s="328">
        <f t="shared" si="575"/>
        <v>275</v>
      </c>
      <c r="O659" s="327">
        <f>0+0</f>
        <v>0</v>
      </c>
      <c r="P659" s="327">
        <f>0+0</f>
        <v>0</v>
      </c>
      <c r="Q659" s="327">
        <f>0+0</f>
        <v>0</v>
      </c>
      <c r="R659" s="341">
        <f t="shared" si="584"/>
        <v>0</v>
      </c>
      <c r="S659" s="328">
        <f t="shared" si="577"/>
        <v>0</v>
      </c>
      <c r="T659" s="327">
        <f t="shared" ref="T659:V663" si="586">0+0</f>
        <v>0</v>
      </c>
      <c r="U659" s="327">
        <f t="shared" si="586"/>
        <v>0</v>
      </c>
      <c r="V659" s="327">
        <f t="shared" si="586"/>
        <v>0</v>
      </c>
      <c r="W659" s="341">
        <f t="shared" si="585"/>
        <v>0</v>
      </c>
      <c r="X659" s="328">
        <f t="shared" si="579"/>
        <v>0</v>
      </c>
      <c r="Y659" s="328">
        <f t="shared" si="580"/>
        <v>11</v>
      </c>
      <c r="Z659" s="329">
        <f>300/12</f>
        <v>25</v>
      </c>
      <c r="AA659" s="330">
        <f t="shared" si="581"/>
        <v>275</v>
      </c>
    </row>
    <row r="660" spans="1:27" ht="28.35" customHeight="1">
      <c r="A660" s="325">
        <v>58</v>
      </c>
      <c r="B660" s="299"/>
      <c r="C660" s="326" t="s">
        <v>1126</v>
      </c>
      <c r="D660" s="333" t="s">
        <v>334</v>
      </c>
      <c r="E660" s="327">
        <v>0</v>
      </c>
      <c r="F660" s="327">
        <v>0</v>
      </c>
      <c r="G660" s="327">
        <v>0</v>
      </c>
      <c r="H660" s="341">
        <f t="shared" si="582"/>
        <v>0</v>
      </c>
      <c r="I660" s="328">
        <f t="shared" si="573"/>
        <v>0</v>
      </c>
      <c r="J660" s="327">
        <v>2</v>
      </c>
      <c r="K660" s="327">
        <v>0</v>
      </c>
      <c r="L660" s="327">
        <v>0</v>
      </c>
      <c r="M660" s="341">
        <f t="shared" si="583"/>
        <v>2</v>
      </c>
      <c r="N660" s="328">
        <f t="shared" si="575"/>
        <v>70</v>
      </c>
      <c r="O660" s="327">
        <v>0</v>
      </c>
      <c r="P660" s="327">
        <v>0</v>
      </c>
      <c r="Q660" s="327">
        <v>0</v>
      </c>
      <c r="R660" s="341">
        <f t="shared" si="584"/>
        <v>0</v>
      </c>
      <c r="S660" s="328">
        <f t="shared" si="577"/>
        <v>0</v>
      </c>
      <c r="T660" s="327">
        <v>0</v>
      </c>
      <c r="U660" s="327">
        <v>0</v>
      </c>
      <c r="V660" s="327">
        <v>0</v>
      </c>
      <c r="W660" s="341">
        <f t="shared" si="585"/>
        <v>0</v>
      </c>
      <c r="X660" s="328">
        <f t="shared" si="579"/>
        <v>0</v>
      </c>
      <c r="Y660" s="328">
        <f t="shared" si="580"/>
        <v>2</v>
      </c>
      <c r="Z660" s="329">
        <f>210/6</f>
        <v>35</v>
      </c>
      <c r="AA660" s="330">
        <f t="shared" si="581"/>
        <v>70</v>
      </c>
    </row>
    <row r="661" spans="1:27" ht="28.35" customHeight="1">
      <c r="A661" s="331">
        <v>59</v>
      </c>
      <c r="B661" s="299"/>
      <c r="C661" s="326" t="s">
        <v>1126</v>
      </c>
      <c r="D661" s="333" t="s">
        <v>334</v>
      </c>
      <c r="E661" s="327">
        <v>0</v>
      </c>
      <c r="F661" s="327">
        <v>0</v>
      </c>
      <c r="G661" s="327">
        <v>0</v>
      </c>
      <c r="H661" s="341">
        <f t="shared" si="582"/>
        <v>0</v>
      </c>
      <c r="I661" s="328">
        <f t="shared" si="573"/>
        <v>0</v>
      </c>
      <c r="J661" s="327">
        <v>3</v>
      </c>
      <c r="K661" s="327">
        <v>0</v>
      </c>
      <c r="L661" s="327">
        <v>0</v>
      </c>
      <c r="M661" s="341">
        <f t="shared" si="583"/>
        <v>3</v>
      </c>
      <c r="N661" s="328">
        <f t="shared" si="575"/>
        <v>260</v>
      </c>
      <c r="O661" s="327">
        <v>3</v>
      </c>
      <c r="P661" s="327">
        <v>0</v>
      </c>
      <c r="Q661" s="327">
        <v>0</v>
      </c>
      <c r="R661" s="341">
        <f t="shared" si="584"/>
        <v>3</v>
      </c>
      <c r="S661" s="328">
        <f t="shared" si="577"/>
        <v>260</v>
      </c>
      <c r="T661" s="327">
        <v>3</v>
      </c>
      <c r="U661" s="327">
        <v>0</v>
      </c>
      <c r="V661" s="327">
        <v>0</v>
      </c>
      <c r="W661" s="341">
        <f t="shared" si="585"/>
        <v>3</v>
      </c>
      <c r="X661" s="328">
        <f t="shared" si="579"/>
        <v>260</v>
      </c>
      <c r="Y661" s="328">
        <f t="shared" si="580"/>
        <v>9</v>
      </c>
      <c r="Z661" s="329">
        <f>780/Y661</f>
        <v>86.666666666666671</v>
      </c>
      <c r="AA661" s="330">
        <f t="shared" si="581"/>
        <v>780</v>
      </c>
    </row>
    <row r="662" spans="1:27" ht="28.35" customHeight="1" thickBot="1">
      <c r="A662" s="332">
        <v>60</v>
      </c>
      <c r="B662" s="299"/>
      <c r="C662" s="326" t="s">
        <v>1127</v>
      </c>
      <c r="D662" s="333" t="s">
        <v>339</v>
      </c>
      <c r="E662" s="327">
        <v>0</v>
      </c>
      <c r="F662" s="327">
        <f>0+0</f>
        <v>0</v>
      </c>
      <c r="G662" s="327">
        <f>0+0</f>
        <v>0</v>
      </c>
      <c r="H662" s="341">
        <f t="shared" si="582"/>
        <v>0</v>
      </c>
      <c r="I662" s="328">
        <f t="shared" si="573"/>
        <v>0</v>
      </c>
      <c r="J662" s="327">
        <f>0+4</f>
        <v>4</v>
      </c>
      <c r="K662" s="327">
        <f>0+0</f>
        <v>0</v>
      </c>
      <c r="L662" s="327">
        <f>0+0</f>
        <v>0</v>
      </c>
      <c r="M662" s="341">
        <f t="shared" si="583"/>
        <v>4</v>
      </c>
      <c r="N662" s="328">
        <f t="shared" si="575"/>
        <v>4800</v>
      </c>
      <c r="O662" s="327">
        <f>0+4</f>
        <v>4</v>
      </c>
      <c r="P662" s="327">
        <f>0+0</f>
        <v>0</v>
      </c>
      <c r="Q662" s="327">
        <f>0+0</f>
        <v>0</v>
      </c>
      <c r="R662" s="341">
        <f t="shared" si="584"/>
        <v>4</v>
      </c>
      <c r="S662" s="328">
        <f t="shared" si="577"/>
        <v>4800</v>
      </c>
      <c r="T662" s="327">
        <f t="shared" si="586"/>
        <v>0</v>
      </c>
      <c r="U662" s="327">
        <f t="shared" si="586"/>
        <v>0</v>
      </c>
      <c r="V662" s="327">
        <f t="shared" si="586"/>
        <v>0</v>
      </c>
      <c r="W662" s="341">
        <f t="shared" si="585"/>
        <v>0</v>
      </c>
      <c r="X662" s="328">
        <f t="shared" si="579"/>
        <v>0</v>
      </c>
      <c r="Y662" s="328">
        <f t="shared" si="580"/>
        <v>8</v>
      </c>
      <c r="Z662" s="329">
        <f>14400/12</f>
        <v>1200</v>
      </c>
      <c r="AA662" s="330">
        <f t="shared" si="581"/>
        <v>9600</v>
      </c>
    </row>
    <row r="663" spans="1:27" ht="28.35" customHeight="1">
      <c r="A663" s="325">
        <v>61</v>
      </c>
      <c r="B663" s="299"/>
      <c r="C663" s="326" t="s">
        <v>1128</v>
      </c>
      <c r="D663" s="333" t="s">
        <v>339</v>
      </c>
      <c r="E663" s="327">
        <f>0+0</f>
        <v>0</v>
      </c>
      <c r="F663" s="327">
        <v>0</v>
      </c>
      <c r="G663" s="327">
        <f>0+0</f>
        <v>0</v>
      </c>
      <c r="H663" s="341">
        <f t="shared" si="582"/>
        <v>0</v>
      </c>
      <c r="I663" s="328">
        <f t="shared" si="573"/>
        <v>0</v>
      </c>
      <c r="J663" s="327">
        <f>0+0</f>
        <v>0</v>
      </c>
      <c r="K663" s="327">
        <f>0+3</f>
        <v>3</v>
      </c>
      <c r="L663" s="327">
        <f>0+0</f>
        <v>0</v>
      </c>
      <c r="M663" s="341">
        <f t="shared" si="583"/>
        <v>3</v>
      </c>
      <c r="N663" s="328">
        <f t="shared" si="575"/>
        <v>3600</v>
      </c>
      <c r="O663" s="327">
        <f>0+0</f>
        <v>0</v>
      </c>
      <c r="P663" s="327">
        <f>0+0</f>
        <v>0</v>
      </c>
      <c r="Q663" s="327">
        <f>0+0</f>
        <v>0</v>
      </c>
      <c r="R663" s="341">
        <f t="shared" si="584"/>
        <v>0</v>
      </c>
      <c r="S663" s="328">
        <f t="shared" si="577"/>
        <v>0</v>
      </c>
      <c r="T663" s="327">
        <f t="shared" si="586"/>
        <v>0</v>
      </c>
      <c r="U663" s="327">
        <f t="shared" si="586"/>
        <v>0</v>
      </c>
      <c r="V663" s="327">
        <f t="shared" si="586"/>
        <v>0</v>
      </c>
      <c r="W663" s="341">
        <f t="shared" si="585"/>
        <v>0</v>
      </c>
      <c r="X663" s="328">
        <f t="shared" si="579"/>
        <v>0</v>
      </c>
      <c r="Y663" s="328">
        <f t="shared" si="580"/>
        <v>3</v>
      </c>
      <c r="Z663" s="329">
        <f>8400/7</f>
        <v>1200</v>
      </c>
      <c r="AA663" s="330">
        <f t="shared" si="581"/>
        <v>3600</v>
      </c>
    </row>
    <row r="664" spans="1:27" ht="28.35" customHeight="1">
      <c r="A664" s="331">
        <v>62</v>
      </c>
      <c r="B664" s="299"/>
      <c r="C664" s="326" t="s">
        <v>1129</v>
      </c>
      <c r="D664" s="333" t="s">
        <v>364</v>
      </c>
      <c r="E664" s="327">
        <v>0</v>
      </c>
      <c r="F664" s="327">
        <v>0</v>
      </c>
      <c r="G664" s="327">
        <v>0</v>
      </c>
      <c r="H664" s="341">
        <f t="shared" si="582"/>
        <v>0</v>
      </c>
      <c r="I664" s="328">
        <f t="shared" si="573"/>
        <v>0</v>
      </c>
      <c r="J664" s="327">
        <v>6</v>
      </c>
      <c r="K664" s="327">
        <v>0</v>
      </c>
      <c r="L664" s="327">
        <v>0</v>
      </c>
      <c r="M664" s="341">
        <f t="shared" si="583"/>
        <v>6</v>
      </c>
      <c r="N664" s="328">
        <f t="shared" si="575"/>
        <v>360</v>
      </c>
      <c r="O664" s="327">
        <v>6</v>
      </c>
      <c r="P664" s="327">
        <v>0</v>
      </c>
      <c r="Q664" s="327">
        <v>0</v>
      </c>
      <c r="R664" s="341">
        <f t="shared" si="584"/>
        <v>6</v>
      </c>
      <c r="S664" s="328">
        <f t="shared" si="577"/>
        <v>360</v>
      </c>
      <c r="T664" s="327">
        <v>6</v>
      </c>
      <c r="U664" s="327">
        <v>0</v>
      </c>
      <c r="V664" s="327">
        <v>0</v>
      </c>
      <c r="W664" s="341">
        <f t="shared" si="585"/>
        <v>6</v>
      </c>
      <c r="X664" s="328">
        <f t="shared" si="579"/>
        <v>360</v>
      </c>
      <c r="Y664" s="328">
        <f t="shared" si="580"/>
        <v>18</v>
      </c>
      <c r="Z664" s="329">
        <f>1080/Y664</f>
        <v>60</v>
      </c>
      <c r="AA664" s="330">
        <f t="shared" si="581"/>
        <v>1080</v>
      </c>
    </row>
    <row r="665" spans="1:27" ht="28.35" customHeight="1" thickBot="1">
      <c r="A665" s="332">
        <v>63</v>
      </c>
      <c r="B665" s="299"/>
      <c r="C665" s="326" t="s">
        <v>1130</v>
      </c>
      <c r="D665" s="333" t="s">
        <v>364</v>
      </c>
      <c r="E665" s="327">
        <v>0</v>
      </c>
      <c r="F665" s="327">
        <v>0</v>
      </c>
      <c r="G665" s="327">
        <v>0</v>
      </c>
      <c r="H665" s="341">
        <f t="shared" si="582"/>
        <v>0</v>
      </c>
      <c r="I665" s="328">
        <f t="shared" si="573"/>
        <v>0</v>
      </c>
      <c r="J665" s="327">
        <v>0</v>
      </c>
      <c r="K665" s="327">
        <v>0</v>
      </c>
      <c r="L665" s="327">
        <v>0</v>
      </c>
      <c r="M665" s="341">
        <f t="shared" si="583"/>
        <v>0</v>
      </c>
      <c r="N665" s="328">
        <f t="shared" si="575"/>
        <v>0</v>
      </c>
      <c r="O665" s="327">
        <v>0</v>
      </c>
      <c r="P665" s="327">
        <v>0</v>
      </c>
      <c r="Q665" s="327">
        <v>0</v>
      </c>
      <c r="R665" s="341">
        <f t="shared" si="584"/>
        <v>0</v>
      </c>
      <c r="S665" s="328">
        <f t="shared" si="577"/>
        <v>0</v>
      </c>
      <c r="T665" s="327">
        <v>0</v>
      </c>
      <c r="U665" s="327">
        <v>0</v>
      </c>
      <c r="V665" s="327">
        <v>0</v>
      </c>
      <c r="W665" s="341">
        <f t="shared" si="585"/>
        <v>0</v>
      </c>
      <c r="X665" s="328">
        <f t="shared" si="579"/>
        <v>0</v>
      </c>
      <c r="Y665" s="328">
        <f t="shared" si="580"/>
        <v>0</v>
      </c>
      <c r="Z665" s="329">
        <f>12500/2500</f>
        <v>5</v>
      </c>
      <c r="AA665" s="330">
        <f t="shared" si="581"/>
        <v>0</v>
      </c>
    </row>
    <row r="666" spans="1:27" ht="28.35" customHeight="1">
      <c r="A666" s="325">
        <v>64</v>
      </c>
      <c r="B666" s="299"/>
      <c r="C666" s="326" t="s">
        <v>1131</v>
      </c>
      <c r="D666" s="333" t="s">
        <v>339</v>
      </c>
      <c r="E666" s="327">
        <v>0</v>
      </c>
      <c r="F666" s="327">
        <v>0</v>
      </c>
      <c r="G666" s="327">
        <v>0</v>
      </c>
      <c r="H666" s="341">
        <f t="shared" si="582"/>
        <v>0</v>
      </c>
      <c r="I666" s="328">
        <f t="shared" si="573"/>
        <v>0</v>
      </c>
      <c r="J666" s="327">
        <v>30</v>
      </c>
      <c r="K666" s="327">
        <v>0</v>
      </c>
      <c r="L666" s="327">
        <v>0</v>
      </c>
      <c r="M666" s="341">
        <f t="shared" si="583"/>
        <v>30</v>
      </c>
      <c r="N666" s="328">
        <f t="shared" si="575"/>
        <v>1170</v>
      </c>
      <c r="O666" s="327">
        <v>0</v>
      </c>
      <c r="P666" s="327">
        <v>0</v>
      </c>
      <c r="Q666" s="327">
        <v>0</v>
      </c>
      <c r="R666" s="341">
        <f t="shared" si="584"/>
        <v>0</v>
      </c>
      <c r="S666" s="328">
        <f t="shared" si="577"/>
        <v>0</v>
      </c>
      <c r="T666" s="327">
        <v>0</v>
      </c>
      <c r="U666" s="327">
        <v>0</v>
      </c>
      <c r="V666" s="327">
        <v>0</v>
      </c>
      <c r="W666" s="341">
        <f t="shared" si="585"/>
        <v>0</v>
      </c>
      <c r="X666" s="328">
        <f t="shared" si="579"/>
        <v>0</v>
      </c>
      <c r="Y666" s="328">
        <f t="shared" si="580"/>
        <v>30</v>
      </c>
      <c r="Z666" s="329">
        <f>1950/50</f>
        <v>39</v>
      </c>
      <c r="AA666" s="330">
        <f t="shared" si="581"/>
        <v>1170</v>
      </c>
    </row>
    <row r="667" spans="1:27" ht="28.35" customHeight="1">
      <c r="A667" s="331">
        <v>65</v>
      </c>
      <c r="B667" s="299"/>
      <c r="C667" s="326" t="s">
        <v>1132</v>
      </c>
      <c r="D667" s="333" t="s">
        <v>339</v>
      </c>
      <c r="E667" s="327">
        <v>0</v>
      </c>
      <c r="F667" s="327">
        <v>0</v>
      </c>
      <c r="G667" s="327">
        <v>0</v>
      </c>
      <c r="H667" s="341">
        <f t="shared" si="582"/>
        <v>0</v>
      </c>
      <c r="I667" s="328">
        <f t="shared" si="573"/>
        <v>0</v>
      </c>
      <c r="J667" s="327">
        <v>30</v>
      </c>
      <c r="K667" s="327">
        <v>0</v>
      </c>
      <c r="L667" s="327">
        <v>0</v>
      </c>
      <c r="M667" s="341">
        <f t="shared" si="583"/>
        <v>30</v>
      </c>
      <c r="N667" s="328">
        <f t="shared" si="575"/>
        <v>990</v>
      </c>
      <c r="O667" s="327">
        <v>0</v>
      </c>
      <c r="P667" s="327">
        <v>0</v>
      </c>
      <c r="Q667" s="327">
        <v>0</v>
      </c>
      <c r="R667" s="341">
        <f t="shared" si="584"/>
        <v>0</v>
      </c>
      <c r="S667" s="328">
        <f t="shared" si="577"/>
        <v>0</v>
      </c>
      <c r="T667" s="327">
        <v>0</v>
      </c>
      <c r="U667" s="327">
        <v>0</v>
      </c>
      <c r="V667" s="327">
        <v>0</v>
      </c>
      <c r="W667" s="341">
        <f t="shared" si="585"/>
        <v>0</v>
      </c>
      <c r="X667" s="328">
        <f t="shared" si="579"/>
        <v>0</v>
      </c>
      <c r="Y667" s="328">
        <f t="shared" si="580"/>
        <v>30</v>
      </c>
      <c r="Z667" s="329">
        <v>33</v>
      </c>
      <c r="AA667" s="330">
        <f t="shared" si="581"/>
        <v>990</v>
      </c>
    </row>
    <row r="668" spans="1:27" ht="28.35" customHeight="1" thickBot="1">
      <c r="A668" s="332">
        <v>66</v>
      </c>
      <c r="B668" s="299"/>
      <c r="C668" s="326" t="s">
        <v>1133</v>
      </c>
      <c r="D668" s="333" t="s">
        <v>364</v>
      </c>
      <c r="E668" s="327">
        <v>0</v>
      </c>
      <c r="F668" s="327">
        <v>0</v>
      </c>
      <c r="G668" s="327">
        <v>0</v>
      </c>
      <c r="H668" s="341">
        <f t="shared" si="582"/>
        <v>0</v>
      </c>
      <c r="I668" s="328">
        <f t="shared" si="573"/>
        <v>0</v>
      </c>
      <c r="J668" s="327">
        <v>12</v>
      </c>
      <c r="K668" s="327">
        <v>0</v>
      </c>
      <c r="L668" s="327">
        <v>0</v>
      </c>
      <c r="M668" s="341">
        <f t="shared" si="583"/>
        <v>12</v>
      </c>
      <c r="N668" s="328">
        <f t="shared" si="575"/>
        <v>1040</v>
      </c>
      <c r="O668" s="327">
        <v>12</v>
      </c>
      <c r="P668" s="327">
        <v>0</v>
      </c>
      <c r="Q668" s="327">
        <v>0</v>
      </c>
      <c r="R668" s="341">
        <f t="shared" si="584"/>
        <v>12</v>
      </c>
      <c r="S668" s="328">
        <f t="shared" si="577"/>
        <v>1040</v>
      </c>
      <c r="T668" s="327">
        <v>12</v>
      </c>
      <c r="U668" s="327">
        <v>0</v>
      </c>
      <c r="V668" s="327">
        <v>0</v>
      </c>
      <c r="W668" s="341">
        <f t="shared" si="585"/>
        <v>12</v>
      </c>
      <c r="X668" s="328">
        <f t="shared" si="579"/>
        <v>1040</v>
      </c>
      <c r="Y668" s="328">
        <f t="shared" si="580"/>
        <v>36</v>
      </c>
      <c r="Z668" s="329">
        <f>3120/Y668</f>
        <v>86.666666666666671</v>
      </c>
      <c r="AA668" s="330">
        <f t="shared" si="581"/>
        <v>3120</v>
      </c>
    </row>
    <row r="669" spans="1:27" ht="28.35" customHeight="1">
      <c r="A669" s="325">
        <v>67</v>
      </c>
      <c r="B669" s="299"/>
      <c r="C669" s="326"/>
      <c r="D669" s="333"/>
      <c r="E669" s="327"/>
      <c r="F669" s="327"/>
      <c r="G669" s="327"/>
      <c r="H669" s="341"/>
      <c r="I669" s="328"/>
      <c r="J669" s="327"/>
      <c r="K669" s="327"/>
      <c r="L669" s="327"/>
      <c r="M669" s="341"/>
      <c r="N669" s="328"/>
      <c r="O669" s="327"/>
      <c r="P669" s="327"/>
      <c r="Q669" s="327"/>
      <c r="R669" s="341"/>
      <c r="S669" s="328"/>
      <c r="T669" s="327"/>
      <c r="U669" s="327"/>
      <c r="V669" s="327"/>
      <c r="W669" s="341"/>
      <c r="X669" s="328"/>
      <c r="Y669" s="328"/>
      <c r="Z669" s="329"/>
      <c r="AA669" s="330"/>
    </row>
    <row r="670" spans="1:27" ht="28.35" customHeight="1">
      <c r="A670" s="332"/>
      <c r="B670" s="299"/>
      <c r="C670" s="299"/>
      <c r="D670" s="300"/>
      <c r="E670" s="334"/>
      <c r="F670" s="334"/>
      <c r="G670" s="334"/>
      <c r="H670" s="335"/>
      <c r="I670" s="301"/>
      <c r="J670" s="334"/>
      <c r="K670" s="334"/>
      <c r="L670" s="334"/>
      <c r="M670" s="335"/>
      <c r="N670" s="301"/>
      <c r="O670" s="334"/>
      <c r="P670" s="334"/>
      <c r="Q670" s="334"/>
      <c r="R670" s="335"/>
      <c r="S670" s="301"/>
      <c r="T670" s="334"/>
      <c r="U670" s="334"/>
      <c r="V670" s="334"/>
      <c r="W670" s="335"/>
      <c r="X670" s="301"/>
      <c r="Y670" s="301"/>
      <c r="Z670" s="274"/>
      <c r="AA670" s="346"/>
    </row>
    <row r="671" spans="1:27" ht="30" customHeight="1" thickBot="1">
      <c r="A671" s="331"/>
      <c r="B671" s="299"/>
      <c r="C671" s="299"/>
      <c r="D671" s="300"/>
      <c r="E671" s="334"/>
      <c r="F671" s="334"/>
      <c r="G671" s="334"/>
      <c r="H671" s="335"/>
      <c r="I671" s="301"/>
      <c r="J671" s="334"/>
      <c r="K671" s="334"/>
      <c r="L671" s="334"/>
      <c r="M671" s="335"/>
      <c r="N671" s="301"/>
      <c r="O671" s="334"/>
      <c r="P671" s="334"/>
      <c r="Q671" s="334"/>
      <c r="R671" s="335"/>
      <c r="S671" s="301"/>
      <c r="T671" s="334"/>
      <c r="U671" s="334"/>
      <c r="V671" s="334"/>
      <c r="W671" s="335"/>
      <c r="X671" s="301"/>
      <c r="Y671" s="301"/>
      <c r="Z671" s="274"/>
      <c r="AA671" s="302"/>
    </row>
    <row r="672" spans="1:27" ht="28.35" customHeight="1" thickBot="1">
      <c r="A672" s="256" t="s">
        <v>1134</v>
      </c>
      <c r="B672" s="336"/>
      <c r="C672" s="336"/>
      <c r="D672" s="337"/>
      <c r="E672" s="337"/>
      <c r="F672" s="337"/>
      <c r="G672" s="337"/>
      <c r="H672" s="337"/>
      <c r="I672" s="338"/>
      <c r="J672" s="337"/>
      <c r="K672" s="337"/>
      <c r="L672" s="337"/>
      <c r="M672" s="337"/>
      <c r="N672" s="338"/>
      <c r="O672" s="337"/>
      <c r="P672" s="337"/>
      <c r="Q672" s="337"/>
      <c r="R672" s="337"/>
      <c r="S672" s="338"/>
      <c r="T672" s="337"/>
      <c r="U672" s="337"/>
      <c r="V672" s="337"/>
      <c r="W672" s="337"/>
      <c r="X672" s="338"/>
      <c r="Y672" s="338"/>
      <c r="Z672" s="339"/>
      <c r="AA672" s="340"/>
    </row>
    <row r="673" spans="1:27" ht="28.35" customHeight="1">
      <c r="A673" s="325">
        <v>1</v>
      </c>
      <c r="B673" s="294"/>
      <c r="C673" s="326" t="s">
        <v>1135</v>
      </c>
      <c r="D673" s="327" t="s">
        <v>364</v>
      </c>
      <c r="E673" s="327">
        <v>0</v>
      </c>
      <c r="F673" s="327">
        <v>0</v>
      </c>
      <c r="G673" s="327">
        <v>0</v>
      </c>
      <c r="H673" s="341">
        <f>SUM(E673:G673)</f>
        <v>0</v>
      </c>
      <c r="I673" s="328">
        <f>H673*$Z673</f>
        <v>0</v>
      </c>
      <c r="J673" s="327">
        <v>0</v>
      </c>
      <c r="K673" s="327">
        <v>0</v>
      </c>
      <c r="L673" s="327">
        <v>6</v>
      </c>
      <c r="M673" s="341">
        <f>SUM(J673:L673)</f>
        <v>6</v>
      </c>
      <c r="N673" s="328">
        <f>M673*$Z673</f>
        <v>3600</v>
      </c>
      <c r="O673" s="327">
        <v>0</v>
      </c>
      <c r="P673" s="327">
        <v>0</v>
      </c>
      <c r="Q673" s="327">
        <v>0</v>
      </c>
      <c r="R673" s="341">
        <f>SUM(O673:Q673)</f>
        <v>0</v>
      </c>
      <c r="S673" s="328">
        <f>R673*$Z673</f>
        <v>0</v>
      </c>
      <c r="T673" s="327">
        <v>0</v>
      </c>
      <c r="U673" s="327">
        <v>0</v>
      </c>
      <c r="V673" s="327">
        <v>0</v>
      </c>
      <c r="W673" s="341">
        <f>SUM(T673:V673)</f>
        <v>0</v>
      </c>
      <c r="X673" s="328">
        <f>W673*$Z673</f>
        <v>0</v>
      </c>
      <c r="Y673" s="328">
        <f>H673+M673+R673+W673</f>
        <v>6</v>
      </c>
      <c r="Z673" s="329">
        <f>3600/6</f>
        <v>600</v>
      </c>
      <c r="AA673" s="330">
        <f>Y673*Z673</f>
        <v>3600</v>
      </c>
    </row>
    <row r="674" spans="1:27" ht="28.35" customHeight="1">
      <c r="A674" s="331">
        <v>2</v>
      </c>
      <c r="B674" s="299"/>
      <c r="C674" s="326" t="s">
        <v>1136</v>
      </c>
      <c r="D674" s="333" t="s">
        <v>364</v>
      </c>
      <c r="E674" s="327">
        <v>0</v>
      </c>
      <c r="F674" s="327">
        <v>0</v>
      </c>
      <c r="G674" s="327">
        <v>0</v>
      </c>
      <c r="H674" s="341">
        <f>SUM(E674:G674)</f>
        <v>0</v>
      </c>
      <c r="I674" s="328">
        <f>H674*$Z674</f>
        <v>0</v>
      </c>
      <c r="J674" s="327">
        <v>0</v>
      </c>
      <c r="K674" s="327">
        <v>0</v>
      </c>
      <c r="L674" s="327">
        <v>4</v>
      </c>
      <c r="M674" s="341">
        <f>SUM(J674:L674)</f>
        <v>4</v>
      </c>
      <c r="N674" s="328">
        <f>M674*$Z674</f>
        <v>3200</v>
      </c>
      <c r="O674" s="327">
        <v>0</v>
      </c>
      <c r="P674" s="327">
        <v>0</v>
      </c>
      <c r="Q674" s="327">
        <v>0</v>
      </c>
      <c r="R674" s="341">
        <f>SUM(O674:Q674)</f>
        <v>0</v>
      </c>
      <c r="S674" s="328">
        <f>R674*$Z674</f>
        <v>0</v>
      </c>
      <c r="T674" s="327">
        <v>0</v>
      </c>
      <c r="U674" s="327">
        <v>0</v>
      </c>
      <c r="V674" s="327">
        <v>0</v>
      </c>
      <c r="W674" s="341">
        <f>SUM(T674:V674)</f>
        <v>0</v>
      </c>
      <c r="X674" s="328">
        <f>W674*$Z674</f>
        <v>0</v>
      </c>
      <c r="Y674" s="328">
        <f>H674+M674+R674+W674</f>
        <v>4</v>
      </c>
      <c r="Z674" s="329">
        <f>3200/4</f>
        <v>800</v>
      </c>
      <c r="AA674" s="330">
        <f>Y674*Z674</f>
        <v>3200</v>
      </c>
    </row>
    <row r="675" spans="1:27" ht="28.35" customHeight="1" thickBot="1">
      <c r="A675" s="332">
        <v>3</v>
      </c>
      <c r="B675" s="299"/>
      <c r="C675" s="326" t="s">
        <v>1137</v>
      </c>
      <c r="D675" s="333" t="s">
        <v>364</v>
      </c>
      <c r="E675" s="327">
        <v>0</v>
      </c>
      <c r="F675" s="327">
        <v>0</v>
      </c>
      <c r="G675" s="327">
        <v>0</v>
      </c>
      <c r="H675" s="341">
        <f>SUM(E675:G675)</f>
        <v>0</v>
      </c>
      <c r="I675" s="328">
        <f>H675*$Z675</f>
        <v>0</v>
      </c>
      <c r="J675" s="327">
        <v>0</v>
      </c>
      <c r="K675" s="327">
        <v>0</v>
      </c>
      <c r="L675" s="327">
        <v>0</v>
      </c>
      <c r="M675" s="341">
        <f>SUM(J675:L675)</f>
        <v>0</v>
      </c>
      <c r="N675" s="328">
        <f>M675*$Z675</f>
        <v>0</v>
      </c>
      <c r="O675" s="327">
        <v>0</v>
      </c>
      <c r="P675" s="327">
        <v>0</v>
      </c>
      <c r="Q675" s="327">
        <v>0</v>
      </c>
      <c r="R675" s="341">
        <f>SUM(O675:Q675)</f>
        <v>0</v>
      </c>
      <c r="S675" s="328">
        <f>R675*$Z675</f>
        <v>0</v>
      </c>
      <c r="T675" s="327">
        <v>0</v>
      </c>
      <c r="U675" s="327">
        <v>0</v>
      </c>
      <c r="V675" s="327">
        <v>0</v>
      </c>
      <c r="W675" s="341">
        <f>SUM(T675:V675)</f>
        <v>0</v>
      </c>
      <c r="X675" s="328">
        <f>W675*$Z675</f>
        <v>0</v>
      </c>
      <c r="Y675" s="328">
        <f>H675+M675+R675+W675</f>
        <v>0</v>
      </c>
      <c r="Z675" s="329">
        <f>400/4</f>
        <v>100</v>
      </c>
      <c r="AA675" s="330">
        <f>Y675*Z675</f>
        <v>0</v>
      </c>
    </row>
    <row r="676" spans="1:27" ht="28.35" customHeight="1">
      <c r="A676" s="325">
        <v>4</v>
      </c>
      <c r="B676" s="299"/>
      <c r="C676" s="326" t="s">
        <v>1138</v>
      </c>
      <c r="D676" s="327" t="s">
        <v>364</v>
      </c>
      <c r="E676" s="327">
        <v>0</v>
      </c>
      <c r="F676" s="327">
        <v>0</v>
      </c>
      <c r="G676" s="327">
        <v>0</v>
      </c>
      <c r="H676" s="341">
        <f>SUM(E676:G676)</f>
        <v>0</v>
      </c>
      <c r="I676" s="328" t="e">
        <f>H676*$Z676</f>
        <v>#DIV/0!</v>
      </c>
      <c r="J676" s="327">
        <v>0</v>
      </c>
      <c r="K676" s="327">
        <v>0</v>
      </c>
      <c r="L676" s="327">
        <v>0</v>
      </c>
      <c r="M676" s="341">
        <f>SUM(J676:L676)</f>
        <v>0</v>
      </c>
      <c r="N676" s="328" t="e">
        <f>M676*$Z676</f>
        <v>#DIV/0!</v>
      </c>
      <c r="O676" s="327">
        <v>0</v>
      </c>
      <c r="P676" s="327">
        <v>0</v>
      </c>
      <c r="Q676" s="327">
        <v>0</v>
      </c>
      <c r="R676" s="341">
        <f>SUM(O676:Q676)</f>
        <v>0</v>
      </c>
      <c r="S676" s="328" t="e">
        <f>R676*$Z676</f>
        <v>#DIV/0!</v>
      </c>
      <c r="T676" s="327">
        <v>0</v>
      </c>
      <c r="U676" s="327">
        <v>0</v>
      </c>
      <c r="V676" s="327">
        <v>0</v>
      </c>
      <c r="W676" s="341">
        <f>SUM(T676:V676)</f>
        <v>0</v>
      </c>
      <c r="X676" s="328" t="e">
        <f>W676*$Z676</f>
        <v>#DIV/0!</v>
      </c>
      <c r="Y676" s="328">
        <f>H676+M676+R676+W676</f>
        <v>0</v>
      </c>
      <c r="Z676" s="329" t="e">
        <f>10080/Y676</f>
        <v>#DIV/0!</v>
      </c>
      <c r="AA676" s="330" t="e">
        <f>Y676*Z676</f>
        <v>#DIV/0!</v>
      </c>
    </row>
    <row r="677" spans="1:27" ht="28.35" customHeight="1">
      <c r="A677" s="331">
        <v>5</v>
      </c>
      <c r="B677" s="299"/>
      <c r="C677" s="326" t="s">
        <v>1139</v>
      </c>
      <c r="D677" s="333" t="s">
        <v>364</v>
      </c>
      <c r="E677" s="327">
        <v>0</v>
      </c>
      <c r="F677" s="327">
        <v>0</v>
      </c>
      <c r="G677" s="327">
        <v>0</v>
      </c>
      <c r="H677" s="341">
        <f>SUM(E677:G677)</f>
        <v>0</v>
      </c>
      <c r="I677" s="328" t="e">
        <f>H677*$Z677</f>
        <v>#DIV/0!</v>
      </c>
      <c r="J677" s="327">
        <v>0</v>
      </c>
      <c r="K677" s="327">
        <v>0</v>
      </c>
      <c r="L677" s="327">
        <v>0</v>
      </c>
      <c r="M677" s="341">
        <f>SUM(J677:L677)</f>
        <v>0</v>
      </c>
      <c r="N677" s="328" t="e">
        <f>M677*$Z677</f>
        <v>#DIV/0!</v>
      </c>
      <c r="O677" s="327">
        <v>0</v>
      </c>
      <c r="P677" s="327">
        <v>0</v>
      </c>
      <c r="Q677" s="327">
        <v>0</v>
      </c>
      <c r="R677" s="341">
        <f>SUM(O677:Q677)</f>
        <v>0</v>
      </c>
      <c r="S677" s="328" t="e">
        <f>R677*$Z677</f>
        <v>#DIV/0!</v>
      </c>
      <c r="T677" s="327">
        <v>0</v>
      </c>
      <c r="U677" s="327">
        <v>0</v>
      </c>
      <c r="V677" s="327">
        <v>0</v>
      </c>
      <c r="W677" s="341">
        <f>SUM(T677:V677)</f>
        <v>0</v>
      </c>
      <c r="X677" s="328" t="e">
        <f>W677*$Z677</f>
        <v>#DIV/0!</v>
      </c>
      <c r="Y677" s="328">
        <f>H677+M677+R677+W677</f>
        <v>0</v>
      </c>
      <c r="Z677" s="329" t="e">
        <f>4200/Y677</f>
        <v>#DIV/0!</v>
      </c>
      <c r="AA677" s="330" t="e">
        <f>Y677*Z677</f>
        <v>#DIV/0!</v>
      </c>
    </row>
    <row r="678" spans="1:27" ht="28.35" customHeight="1">
      <c r="A678" s="332"/>
      <c r="B678" s="299"/>
      <c r="C678" s="299"/>
      <c r="D678" s="300"/>
      <c r="E678" s="334"/>
      <c r="F678" s="334"/>
      <c r="G678" s="334"/>
      <c r="H678" s="335"/>
      <c r="I678" s="301"/>
      <c r="J678" s="334"/>
      <c r="K678" s="334"/>
      <c r="L678" s="334"/>
      <c r="M678" s="335"/>
      <c r="N678" s="301"/>
      <c r="O678" s="334"/>
      <c r="P678" s="334"/>
      <c r="Q678" s="334"/>
      <c r="R678" s="335"/>
      <c r="S678" s="301"/>
      <c r="T678" s="334"/>
      <c r="U678" s="334"/>
      <c r="V678" s="334"/>
      <c r="W678" s="335"/>
      <c r="X678" s="301"/>
      <c r="Y678" s="301"/>
      <c r="Z678" s="274"/>
      <c r="AA678" s="346"/>
    </row>
    <row r="679" spans="1:27" ht="30" customHeight="1" thickBot="1">
      <c r="A679" s="331"/>
      <c r="B679" s="299"/>
      <c r="C679" s="299"/>
      <c r="D679" s="300"/>
      <c r="E679" s="334"/>
      <c r="F679" s="334"/>
      <c r="G679" s="334"/>
      <c r="H679" s="335"/>
      <c r="I679" s="301"/>
      <c r="J679" s="334"/>
      <c r="K679" s="334"/>
      <c r="L679" s="334"/>
      <c r="M679" s="335"/>
      <c r="N679" s="301"/>
      <c r="O679" s="334"/>
      <c r="P679" s="334"/>
      <c r="Q679" s="334"/>
      <c r="R679" s="335"/>
      <c r="S679" s="301"/>
      <c r="T679" s="334"/>
      <c r="U679" s="334"/>
      <c r="V679" s="334"/>
      <c r="W679" s="335"/>
      <c r="X679" s="301"/>
      <c r="Y679" s="301"/>
      <c r="Z679" s="274"/>
      <c r="AA679" s="302"/>
    </row>
    <row r="680" spans="1:27" ht="28.35" customHeight="1" thickBot="1">
      <c r="A680" s="256" t="s">
        <v>1140</v>
      </c>
      <c r="B680" s="336"/>
      <c r="C680" s="336"/>
      <c r="D680" s="337"/>
      <c r="E680" s="337"/>
      <c r="F680" s="337"/>
      <c r="G680" s="337"/>
      <c r="H680" s="337"/>
      <c r="I680" s="338"/>
      <c r="J680" s="337"/>
      <c r="K680" s="337"/>
      <c r="L680" s="337"/>
      <c r="M680" s="337"/>
      <c r="N680" s="338"/>
      <c r="O680" s="337"/>
      <c r="P680" s="337"/>
      <c r="Q680" s="337"/>
      <c r="R680" s="337"/>
      <c r="S680" s="338"/>
      <c r="T680" s="337"/>
      <c r="U680" s="337"/>
      <c r="V680" s="337"/>
      <c r="W680" s="337"/>
      <c r="X680" s="338"/>
      <c r="Y680" s="338"/>
      <c r="Z680" s="339"/>
      <c r="AA680" s="340"/>
    </row>
    <row r="681" spans="1:27" ht="28.35" customHeight="1">
      <c r="A681" s="325">
        <v>1</v>
      </c>
      <c r="B681" s="294"/>
      <c r="C681" s="326" t="s">
        <v>1141</v>
      </c>
      <c r="D681" s="327" t="s">
        <v>537</v>
      </c>
      <c r="E681" s="327">
        <v>0</v>
      </c>
      <c r="F681" s="327">
        <v>0</v>
      </c>
      <c r="G681" s="327">
        <v>0</v>
      </c>
      <c r="H681" s="341">
        <f t="shared" ref="H681" si="587">SUM(E681:G681)</f>
        <v>0</v>
      </c>
      <c r="I681" s="328">
        <f t="shared" ref="I681:I683" si="588">H681*$Z681</f>
        <v>0</v>
      </c>
      <c r="J681" s="327">
        <v>0</v>
      </c>
      <c r="K681" s="327">
        <v>0</v>
      </c>
      <c r="L681" s="327">
        <v>0</v>
      </c>
      <c r="M681" s="341">
        <f t="shared" ref="M681" si="589">SUM(J681:L681)</f>
        <v>0</v>
      </c>
      <c r="N681" s="328">
        <f t="shared" ref="N681:N683" si="590">M681*$Z681</f>
        <v>0</v>
      </c>
      <c r="O681" s="327">
        <v>0</v>
      </c>
      <c r="P681" s="327">
        <v>0</v>
      </c>
      <c r="Q681" s="327">
        <v>0</v>
      </c>
      <c r="R681" s="341">
        <f t="shared" ref="R681" si="591">SUM(O681:Q681)</f>
        <v>0</v>
      </c>
      <c r="S681" s="328">
        <f t="shared" ref="S681:S683" si="592">R681*$Z681</f>
        <v>0</v>
      </c>
      <c r="T681" s="327">
        <v>0</v>
      </c>
      <c r="U681" s="327">
        <v>0</v>
      </c>
      <c r="V681" s="327">
        <v>0</v>
      </c>
      <c r="W681" s="341">
        <f t="shared" ref="W681" si="593">SUM(T681:V681)</f>
        <v>0</v>
      </c>
      <c r="X681" s="328">
        <f t="shared" ref="X681:X683" si="594">W681*$Z681</f>
        <v>0</v>
      </c>
      <c r="Y681" s="328">
        <f t="shared" ref="Y681:Y683" si="595">H681+M681+R681+W681</f>
        <v>0</v>
      </c>
      <c r="Z681" s="329">
        <f>25000/2</f>
        <v>12500</v>
      </c>
      <c r="AA681" s="330">
        <f t="shared" ref="AA681:AA683" si="596">Y681*Z681</f>
        <v>0</v>
      </c>
    </row>
    <row r="682" spans="1:27" ht="28.35" customHeight="1">
      <c r="A682" s="331">
        <v>2</v>
      </c>
      <c r="B682" s="299"/>
      <c r="C682" s="326" t="s">
        <v>1142</v>
      </c>
      <c r="D682" s="333" t="s">
        <v>364</v>
      </c>
      <c r="E682" s="327">
        <v>0</v>
      </c>
      <c r="F682" s="327">
        <v>0</v>
      </c>
      <c r="G682" s="327">
        <v>0</v>
      </c>
      <c r="H682" s="341">
        <f t="shared" ref="H682:H683" si="597">SUM(E682:G682)</f>
        <v>0</v>
      </c>
      <c r="I682" s="328">
        <f t="shared" si="588"/>
        <v>0</v>
      </c>
      <c r="J682" s="327">
        <v>0</v>
      </c>
      <c r="K682" s="327">
        <v>4</v>
      </c>
      <c r="L682" s="327">
        <v>0</v>
      </c>
      <c r="M682" s="341">
        <f t="shared" ref="M682:M683" si="598">SUM(J682:L682)</f>
        <v>4</v>
      </c>
      <c r="N682" s="328">
        <f t="shared" si="590"/>
        <v>469.33333333333331</v>
      </c>
      <c r="O682" s="327">
        <v>0</v>
      </c>
      <c r="P682" s="327">
        <v>4</v>
      </c>
      <c r="Q682" s="327">
        <v>0</v>
      </c>
      <c r="R682" s="341">
        <f t="shared" ref="R682:R683" si="599">SUM(O682:Q682)</f>
        <v>4</v>
      </c>
      <c r="S682" s="328">
        <f t="shared" si="592"/>
        <v>469.33333333333331</v>
      </c>
      <c r="T682" s="327">
        <v>0</v>
      </c>
      <c r="U682" s="327">
        <v>4</v>
      </c>
      <c r="V682" s="327">
        <v>0</v>
      </c>
      <c r="W682" s="341">
        <f t="shared" ref="W682:W683" si="600">SUM(T682:V682)</f>
        <v>4</v>
      </c>
      <c r="X682" s="328">
        <f t="shared" si="594"/>
        <v>469.33333333333331</v>
      </c>
      <c r="Y682" s="328">
        <f t="shared" si="595"/>
        <v>12</v>
      </c>
      <c r="Z682" s="329">
        <f>1408/Y682</f>
        <v>117.33333333333333</v>
      </c>
      <c r="AA682" s="330">
        <f t="shared" si="596"/>
        <v>1408</v>
      </c>
    </row>
    <row r="683" spans="1:27" ht="28.35" customHeight="1" thickBot="1">
      <c r="A683" s="332">
        <v>3</v>
      </c>
      <c r="B683" s="299"/>
      <c r="C683" s="326" t="s">
        <v>1136</v>
      </c>
      <c r="D683" s="327" t="s">
        <v>364</v>
      </c>
      <c r="E683" s="327">
        <v>0</v>
      </c>
      <c r="F683" s="327">
        <v>0</v>
      </c>
      <c r="G683" s="327">
        <v>0</v>
      </c>
      <c r="H683" s="341">
        <f t="shared" si="597"/>
        <v>0</v>
      </c>
      <c r="I683" s="328" t="e">
        <f t="shared" si="588"/>
        <v>#DIV/0!</v>
      </c>
      <c r="J683" s="327">
        <v>0</v>
      </c>
      <c r="K683" s="327">
        <v>0</v>
      </c>
      <c r="L683" s="327">
        <v>0</v>
      </c>
      <c r="M683" s="341">
        <f t="shared" si="598"/>
        <v>0</v>
      </c>
      <c r="N683" s="328" t="e">
        <f t="shared" si="590"/>
        <v>#DIV/0!</v>
      </c>
      <c r="O683" s="327">
        <v>0</v>
      </c>
      <c r="P683" s="327">
        <v>0</v>
      </c>
      <c r="Q683" s="327">
        <v>0</v>
      </c>
      <c r="R683" s="341">
        <f t="shared" si="599"/>
        <v>0</v>
      </c>
      <c r="S683" s="328" t="e">
        <f t="shared" si="592"/>
        <v>#DIV/0!</v>
      </c>
      <c r="T683" s="327">
        <v>0</v>
      </c>
      <c r="U683" s="327">
        <v>0</v>
      </c>
      <c r="V683" s="327">
        <v>0</v>
      </c>
      <c r="W683" s="341">
        <f t="shared" si="600"/>
        <v>0</v>
      </c>
      <c r="X683" s="328" t="e">
        <f t="shared" si="594"/>
        <v>#DIV/0!</v>
      </c>
      <c r="Y683" s="328">
        <f t="shared" si="595"/>
        <v>0</v>
      </c>
      <c r="Z683" s="329" t="e">
        <f>800/Y683</f>
        <v>#DIV/0!</v>
      </c>
      <c r="AA683" s="330" t="e">
        <f t="shared" si="596"/>
        <v>#DIV/0!</v>
      </c>
    </row>
    <row r="684" spans="1:27" ht="28.35" customHeight="1">
      <c r="A684" s="325">
        <v>4</v>
      </c>
      <c r="B684" s="299"/>
      <c r="C684" s="326"/>
      <c r="D684" s="327"/>
      <c r="E684" s="327"/>
      <c r="F684" s="327"/>
      <c r="G684" s="327"/>
      <c r="H684" s="341"/>
      <c r="I684" s="328"/>
      <c r="J684" s="327"/>
      <c r="K684" s="327"/>
      <c r="L684" s="327"/>
      <c r="M684" s="341"/>
      <c r="N684" s="328"/>
      <c r="O684" s="327"/>
      <c r="P684" s="327"/>
      <c r="Q684" s="327"/>
      <c r="R684" s="341"/>
      <c r="S684" s="328"/>
      <c r="T684" s="327"/>
      <c r="U684" s="327"/>
      <c r="V684" s="327"/>
      <c r="W684" s="341"/>
      <c r="X684" s="328"/>
      <c r="Y684" s="328"/>
      <c r="Z684" s="329"/>
      <c r="AA684" s="330"/>
    </row>
    <row r="685" spans="1:27" ht="28.35" customHeight="1">
      <c r="A685" s="332"/>
      <c r="B685" s="299"/>
      <c r="C685" s="299"/>
      <c r="D685" s="334"/>
      <c r="E685" s="334"/>
      <c r="F685" s="334"/>
      <c r="G685" s="334"/>
      <c r="H685" s="335"/>
      <c r="I685" s="301"/>
      <c r="J685" s="334"/>
      <c r="K685" s="334"/>
      <c r="L685" s="334"/>
      <c r="M685" s="335"/>
      <c r="N685" s="301"/>
      <c r="O685" s="334"/>
      <c r="P685" s="334"/>
      <c r="Q685" s="334"/>
      <c r="R685" s="335"/>
      <c r="S685" s="301"/>
      <c r="T685" s="334"/>
      <c r="U685" s="334"/>
      <c r="V685" s="334"/>
      <c r="W685" s="335"/>
      <c r="X685" s="301"/>
      <c r="Y685" s="301"/>
      <c r="Z685" s="274"/>
      <c r="AA685" s="346"/>
    </row>
    <row r="686" spans="1:27" ht="30" customHeight="1" thickBot="1">
      <c r="A686" s="331"/>
      <c r="B686" s="299"/>
      <c r="C686" s="299"/>
      <c r="D686" s="300"/>
      <c r="E686" s="334"/>
      <c r="F686" s="334"/>
      <c r="G686" s="334"/>
      <c r="H686" s="335"/>
      <c r="I686" s="301"/>
      <c r="J686" s="334"/>
      <c r="K686" s="334"/>
      <c r="L686" s="334"/>
      <c r="M686" s="335"/>
      <c r="N686" s="301"/>
      <c r="O686" s="334"/>
      <c r="P686" s="334"/>
      <c r="Q686" s="334"/>
      <c r="R686" s="335"/>
      <c r="S686" s="301"/>
      <c r="T686" s="334"/>
      <c r="U686" s="334"/>
      <c r="V686" s="334"/>
      <c r="W686" s="335"/>
      <c r="X686" s="301"/>
      <c r="Y686" s="301"/>
      <c r="Z686" s="274"/>
      <c r="AA686" s="302"/>
    </row>
    <row r="687" spans="1:27" ht="28.35" customHeight="1" thickBot="1">
      <c r="A687" s="256" t="s">
        <v>1143</v>
      </c>
      <c r="B687" s="336"/>
      <c r="C687" s="336"/>
      <c r="D687" s="337"/>
      <c r="E687" s="337"/>
      <c r="F687" s="337"/>
      <c r="G687" s="337"/>
      <c r="H687" s="337"/>
      <c r="I687" s="338"/>
      <c r="J687" s="337"/>
      <c r="K687" s="337"/>
      <c r="L687" s="337"/>
      <c r="M687" s="337"/>
      <c r="N687" s="338"/>
      <c r="O687" s="337"/>
      <c r="P687" s="337"/>
      <c r="Q687" s="337"/>
      <c r="R687" s="337"/>
      <c r="S687" s="338"/>
      <c r="T687" s="337"/>
      <c r="U687" s="337"/>
      <c r="V687" s="337"/>
      <c r="W687" s="337"/>
      <c r="X687" s="338"/>
      <c r="Y687" s="338"/>
      <c r="Z687" s="339"/>
      <c r="AA687" s="340"/>
    </row>
    <row r="688" spans="1:27" ht="28.35" customHeight="1">
      <c r="A688" s="325">
        <v>1</v>
      </c>
      <c r="B688" s="294"/>
      <c r="C688" s="326" t="s">
        <v>1144</v>
      </c>
      <c r="D688" s="333" t="s">
        <v>339</v>
      </c>
      <c r="E688" s="327">
        <v>0</v>
      </c>
      <c r="F688" s="327">
        <v>0</v>
      </c>
      <c r="G688" s="327">
        <v>0</v>
      </c>
      <c r="H688" s="341">
        <f t="shared" ref="H688:H689" si="601">SUM(E688:G688)</f>
        <v>0</v>
      </c>
      <c r="I688" s="328">
        <f t="shared" ref="I688:I689" si="602">H688*$Z688</f>
        <v>0</v>
      </c>
      <c r="J688" s="327">
        <v>0</v>
      </c>
      <c r="K688" s="327">
        <v>1</v>
      </c>
      <c r="L688" s="327">
        <v>0</v>
      </c>
      <c r="M688" s="341">
        <f t="shared" ref="M688:M689" si="603">SUM(J688:L688)</f>
        <v>1</v>
      </c>
      <c r="N688" s="328">
        <f t="shared" ref="N688:N689" si="604">M688*$Z688</f>
        <v>1008.65</v>
      </c>
      <c r="O688" s="327">
        <v>0</v>
      </c>
      <c r="P688" s="327">
        <v>0</v>
      </c>
      <c r="Q688" s="327">
        <v>0</v>
      </c>
      <c r="R688" s="341">
        <f t="shared" ref="R688:R689" si="605">SUM(O688:Q688)</f>
        <v>0</v>
      </c>
      <c r="S688" s="328">
        <f t="shared" ref="S688:S689" si="606">R688*$Z688</f>
        <v>0</v>
      </c>
      <c r="T688" s="327">
        <v>0</v>
      </c>
      <c r="U688" s="327">
        <v>0</v>
      </c>
      <c r="V688" s="327">
        <v>0</v>
      </c>
      <c r="W688" s="341">
        <f t="shared" ref="W688:W689" si="607">SUM(T688:V688)</f>
        <v>0</v>
      </c>
      <c r="X688" s="328">
        <f t="shared" ref="X688:X689" si="608">W688*$Z688</f>
        <v>0</v>
      </c>
      <c r="Y688" s="328">
        <f t="shared" ref="Y688:Y689" si="609">H688+M688+R688+W688</f>
        <v>1</v>
      </c>
      <c r="Z688" s="329">
        <f>1008.65/1</f>
        <v>1008.65</v>
      </c>
      <c r="AA688" s="330">
        <f t="shared" ref="AA688:AA689" si="610">Y688*Z688</f>
        <v>1008.65</v>
      </c>
    </row>
    <row r="689" spans="1:27" ht="28.35" customHeight="1">
      <c r="A689" s="331">
        <v>2</v>
      </c>
      <c r="B689" s="299"/>
      <c r="C689" s="326" t="s">
        <v>1145</v>
      </c>
      <c r="D689" s="333" t="s">
        <v>364</v>
      </c>
      <c r="E689" s="327">
        <v>0</v>
      </c>
      <c r="F689" s="327">
        <v>0</v>
      </c>
      <c r="G689" s="327">
        <v>0</v>
      </c>
      <c r="H689" s="341">
        <f t="shared" si="601"/>
        <v>0</v>
      </c>
      <c r="I689" s="328" t="e">
        <f t="shared" si="602"/>
        <v>#DIV/0!</v>
      </c>
      <c r="J689" s="327">
        <v>0</v>
      </c>
      <c r="K689" s="327">
        <v>0</v>
      </c>
      <c r="L689" s="327">
        <v>0</v>
      </c>
      <c r="M689" s="341">
        <f t="shared" si="603"/>
        <v>0</v>
      </c>
      <c r="N689" s="328" t="e">
        <f t="shared" si="604"/>
        <v>#DIV/0!</v>
      </c>
      <c r="O689" s="327">
        <v>0</v>
      </c>
      <c r="P689" s="327">
        <v>0</v>
      </c>
      <c r="Q689" s="327">
        <v>0</v>
      </c>
      <c r="R689" s="341">
        <f t="shared" si="605"/>
        <v>0</v>
      </c>
      <c r="S689" s="328" t="e">
        <f t="shared" si="606"/>
        <v>#DIV/0!</v>
      </c>
      <c r="T689" s="327">
        <v>0</v>
      </c>
      <c r="U689" s="327">
        <v>0</v>
      </c>
      <c r="V689" s="327">
        <v>0</v>
      </c>
      <c r="W689" s="341">
        <f t="shared" si="607"/>
        <v>0</v>
      </c>
      <c r="X689" s="328" t="e">
        <f t="shared" si="608"/>
        <v>#DIV/0!</v>
      </c>
      <c r="Y689" s="328">
        <f t="shared" si="609"/>
        <v>0</v>
      </c>
      <c r="Z689" s="329" t="e">
        <f>288/Y689</f>
        <v>#DIV/0!</v>
      </c>
      <c r="AA689" s="330" t="e">
        <f t="shared" si="610"/>
        <v>#DIV/0!</v>
      </c>
    </row>
    <row r="690" spans="1:27" ht="28.35" customHeight="1" thickBot="1">
      <c r="A690" s="332">
        <v>3</v>
      </c>
      <c r="B690" s="299"/>
      <c r="C690" s="326" t="s">
        <v>1146</v>
      </c>
      <c r="D690" s="327" t="s">
        <v>364</v>
      </c>
      <c r="E690" s="327">
        <v>0</v>
      </c>
      <c r="F690" s="327">
        <v>0</v>
      </c>
      <c r="G690" s="327">
        <v>0</v>
      </c>
      <c r="H690" s="341">
        <f>SUM(E690:G690)</f>
        <v>0</v>
      </c>
      <c r="I690" s="328" t="e">
        <f>H690*$Z690</f>
        <v>#DIV/0!</v>
      </c>
      <c r="J690" s="327">
        <v>0</v>
      </c>
      <c r="K690" s="327">
        <v>0</v>
      </c>
      <c r="L690" s="327">
        <v>0</v>
      </c>
      <c r="M690" s="341">
        <f>SUM(J690:L690)</f>
        <v>0</v>
      </c>
      <c r="N690" s="328" t="e">
        <f>M690*$Z690</f>
        <v>#DIV/0!</v>
      </c>
      <c r="O690" s="327">
        <v>0</v>
      </c>
      <c r="P690" s="327">
        <v>0</v>
      </c>
      <c r="Q690" s="327">
        <v>0</v>
      </c>
      <c r="R690" s="341">
        <f>SUM(O690:Q690)</f>
        <v>0</v>
      </c>
      <c r="S690" s="328" t="e">
        <f>R690*$Z690</f>
        <v>#DIV/0!</v>
      </c>
      <c r="T690" s="327">
        <v>0</v>
      </c>
      <c r="U690" s="327">
        <v>0</v>
      </c>
      <c r="V690" s="327">
        <v>0</v>
      </c>
      <c r="W690" s="341">
        <f>SUM(T690:V690)</f>
        <v>0</v>
      </c>
      <c r="X690" s="328" t="e">
        <f>W690*$Z690</f>
        <v>#DIV/0!</v>
      </c>
      <c r="Y690" s="328">
        <f>H690+M690+R690+W690</f>
        <v>0</v>
      </c>
      <c r="Z690" s="329" t="e">
        <f>3500/Y690</f>
        <v>#DIV/0!</v>
      </c>
      <c r="AA690" s="330" t="e">
        <f>Y690*Z690</f>
        <v>#DIV/0!</v>
      </c>
    </row>
    <row r="691" spans="1:27" ht="28.35" customHeight="1">
      <c r="A691" s="325">
        <v>4</v>
      </c>
      <c r="B691" s="299"/>
      <c r="C691" s="326" t="s">
        <v>1147</v>
      </c>
      <c r="D691" s="333" t="s">
        <v>364</v>
      </c>
      <c r="E691" s="327">
        <v>0</v>
      </c>
      <c r="F691" s="327">
        <v>0</v>
      </c>
      <c r="G691" s="327">
        <v>0</v>
      </c>
      <c r="H691" s="341">
        <f>SUM(E691:G691)</f>
        <v>0</v>
      </c>
      <c r="I691" s="328" t="e">
        <f>H691*$Z691</f>
        <v>#DIV/0!</v>
      </c>
      <c r="J691" s="327">
        <v>0</v>
      </c>
      <c r="K691" s="327">
        <v>0</v>
      </c>
      <c r="L691" s="327">
        <v>0</v>
      </c>
      <c r="M691" s="341">
        <f>SUM(J691:L691)</f>
        <v>0</v>
      </c>
      <c r="N691" s="328" t="e">
        <f>M691*$Z691</f>
        <v>#DIV/0!</v>
      </c>
      <c r="O691" s="327">
        <v>0</v>
      </c>
      <c r="P691" s="327">
        <v>0</v>
      </c>
      <c r="Q691" s="327">
        <v>0</v>
      </c>
      <c r="R691" s="341">
        <f>SUM(O691:Q691)</f>
        <v>0</v>
      </c>
      <c r="S691" s="328" t="e">
        <f>R691*$Z691</f>
        <v>#DIV/0!</v>
      </c>
      <c r="T691" s="327">
        <v>0</v>
      </c>
      <c r="U691" s="327">
        <v>0</v>
      </c>
      <c r="V691" s="327">
        <v>0</v>
      </c>
      <c r="W691" s="341">
        <f>SUM(T691:V691)</f>
        <v>0</v>
      </c>
      <c r="X691" s="328" t="e">
        <f>W691*$Z691</f>
        <v>#DIV/0!</v>
      </c>
      <c r="Y691" s="328">
        <f>H691+M691+R691+W691</f>
        <v>0</v>
      </c>
      <c r="Z691" s="329" t="e">
        <f>3800/Y691</f>
        <v>#DIV/0!</v>
      </c>
      <c r="AA691" s="330" t="e">
        <f>Y691*Z691</f>
        <v>#DIV/0!</v>
      </c>
    </row>
    <row r="692" spans="1:27" ht="28.35" customHeight="1">
      <c r="A692" s="331">
        <v>5</v>
      </c>
      <c r="B692" s="299"/>
      <c r="C692" s="326" t="s">
        <v>1148</v>
      </c>
      <c r="D692" s="333" t="s">
        <v>364</v>
      </c>
      <c r="E692" s="327">
        <v>0</v>
      </c>
      <c r="F692" s="327">
        <v>0</v>
      </c>
      <c r="G692" s="327">
        <v>0</v>
      </c>
      <c r="H692" s="341">
        <f>SUM(E692:G692)</f>
        <v>0</v>
      </c>
      <c r="I692" s="328" t="e">
        <f>H692*$Z692</f>
        <v>#DIV/0!</v>
      </c>
      <c r="J692" s="327">
        <v>0</v>
      </c>
      <c r="K692" s="327">
        <v>0</v>
      </c>
      <c r="L692" s="327">
        <v>0</v>
      </c>
      <c r="M692" s="341">
        <f>SUM(J692:L692)</f>
        <v>0</v>
      </c>
      <c r="N692" s="328" t="e">
        <f>M692*$Z692</f>
        <v>#DIV/0!</v>
      </c>
      <c r="O692" s="327">
        <v>0</v>
      </c>
      <c r="P692" s="327">
        <v>0</v>
      </c>
      <c r="Q692" s="327">
        <v>0</v>
      </c>
      <c r="R692" s="341">
        <f>SUM(O692:Q692)</f>
        <v>0</v>
      </c>
      <c r="S692" s="328" t="e">
        <f>R692*$Z692</f>
        <v>#DIV/0!</v>
      </c>
      <c r="T692" s="327">
        <v>0</v>
      </c>
      <c r="U692" s="327">
        <v>0</v>
      </c>
      <c r="V692" s="327">
        <v>0</v>
      </c>
      <c r="W692" s="341">
        <f>SUM(T692:V692)</f>
        <v>0</v>
      </c>
      <c r="X692" s="328" t="e">
        <f>W692*$Z692</f>
        <v>#DIV/0!</v>
      </c>
      <c r="Y692" s="328">
        <f>H692+M692+R692+W692</f>
        <v>0</v>
      </c>
      <c r="Z692" s="329" t="e">
        <f>4500/Y692</f>
        <v>#DIV/0!</v>
      </c>
      <c r="AA692" s="330" t="e">
        <f>Y692*Z692</f>
        <v>#DIV/0!</v>
      </c>
    </row>
    <row r="693" spans="1:27" ht="28.35" customHeight="1" thickBot="1">
      <c r="A693" s="332">
        <v>6</v>
      </c>
      <c r="B693" s="299"/>
      <c r="C693" s="326" t="s">
        <v>1149</v>
      </c>
      <c r="D693" s="333" t="s">
        <v>364</v>
      </c>
      <c r="E693" s="327">
        <v>0</v>
      </c>
      <c r="F693" s="327">
        <v>0</v>
      </c>
      <c r="G693" s="327">
        <v>0</v>
      </c>
      <c r="H693" s="341">
        <f t="shared" ref="H693:H694" si="611">SUM(E693:G693)</f>
        <v>0</v>
      </c>
      <c r="I693" s="328" t="e">
        <f t="shared" ref="I693:I694" si="612">H693*$Z693</f>
        <v>#DIV/0!</v>
      </c>
      <c r="J693" s="327">
        <v>0</v>
      </c>
      <c r="K693" s="327">
        <v>0</v>
      </c>
      <c r="L693" s="327">
        <v>0</v>
      </c>
      <c r="M693" s="341">
        <f t="shared" ref="M693:M694" si="613">SUM(J693:L693)</f>
        <v>0</v>
      </c>
      <c r="N693" s="328" t="e">
        <f t="shared" ref="N693:N694" si="614">M693*$Z693</f>
        <v>#DIV/0!</v>
      </c>
      <c r="O693" s="327">
        <v>0</v>
      </c>
      <c r="P693" s="327">
        <v>0</v>
      </c>
      <c r="Q693" s="327">
        <v>0</v>
      </c>
      <c r="R693" s="341">
        <f>SUM(O693:Q693)</f>
        <v>0</v>
      </c>
      <c r="S693" s="328" t="e">
        <f t="shared" ref="S693:S694" si="615">R693*$Z693</f>
        <v>#DIV/0!</v>
      </c>
      <c r="T693" s="327">
        <v>0</v>
      </c>
      <c r="U693" s="327">
        <v>0</v>
      </c>
      <c r="V693" s="327">
        <v>0</v>
      </c>
      <c r="W693" s="341">
        <f t="shared" ref="W693:W694" si="616">SUM(T693:V693)</f>
        <v>0</v>
      </c>
      <c r="X693" s="328" t="e">
        <f t="shared" ref="X693:X694" si="617">W693*$Z693</f>
        <v>#DIV/0!</v>
      </c>
      <c r="Y693" s="328">
        <f t="shared" ref="Y693:Y694" si="618">H693+M693+R693+W693</f>
        <v>0</v>
      </c>
      <c r="Z693" s="329" t="e">
        <f>5500/Y693</f>
        <v>#DIV/0!</v>
      </c>
      <c r="AA693" s="330" t="e">
        <f t="shared" ref="AA693:AA694" si="619">Y693*Z693</f>
        <v>#DIV/0!</v>
      </c>
    </row>
    <row r="694" spans="1:27" ht="28.35" customHeight="1">
      <c r="A694" s="325">
        <v>7</v>
      </c>
      <c r="B694" s="299"/>
      <c r="C694" s="326" t="s">
        <v>1150</v>
      </c>
      <c r="D694" s="333" t="s">
        <v>420</v>
      </c>
      <c r="E694" s="327">
        <v>0</v>
      </c>
      <c r="F694" s="327">
        <v>0</v>
      </c>
      <c r="G694" s="327">
        <v>0</v>
      </c>
      <c r="H694" s="341">
        <f t="shared" si="611"/>
        <v>0</v>
      </c>
      <c r="I694" s="328" t="e">
        <f t="shared" si="612"/>
        <v>#DIV/0!</v>
      </c>
      <c r="J694" s="327">
        <v>0</v>
      </c>
      <c r="K694" s="327">
        <v>0</v>
      </c>
      <c r="L694" s="327">
        <v>0</v>
      </c>
      <c r="M694" s="341">
        <f t="shared" si="613"/>
        <v>0</v>
      </c>
      <c r="N694" s="328" t="e">
        <f t="shared" si="614"/>
        <v>#DIV/0!</v>
      </c>
      <c r="O694" s="327">
        <v>0</v>
      </c>
      <c r="P694" s="327">
        <v>0</v>
      </c>
      <c r="Q694" s="327">
        <v>0</v>
      </c>
      <c r="R694" s="341">
        <f t="shared" ref="R694" si="620">SUM(O694:Q694)</f>
        <v>0</v>
      </c>
      <c r="S694" s="328" t="e">
        <f t="shared" si="615"/>
        <v>#DIV/0!</v>
      </c>
      <c r="T694" s="327">
        <v>0</v>
      </c>
      <c r="U694" s="327">
        <v>0</v>
      </c>
      <c r="V694" s="327">
        <v>0</v>
      </c>
      <c r="W694" s="341">
        <f t="shared" si="616"/>
        <v>0</v>
      </c>
      <c r="X694" s="328" t="e">
        <f t="shared" si="617"/>
        <v>#DIV/0!</v>
      </c>
      <c r="Y694" s="328">
        <f t="shared" si="618"/>
        <v>0</v>
      </c>
      <c r="Z694" s="329" t="e">
        <f>80000/Y694</f>
        <v>#DIV/0!</v>
      </c>
      <c r="AA694" s="330" t="e">
        <f t="shared" si="619"/>
        <v>#DIV/0!</v>
      </c>
    </row>
    <row r="695" spans="1:27" ht="28.35" customHeight="1">
      <c r="A695" s="331">
        <v>8</v>
      </c>
      <c r="B695" s="299"/>
      <c r="C695" s="326" t="s">
        <v>1151</v>
      </c>
      <c r="D695" s="333" t="s">
        <v>420</v>
      </c>
      <c r="E695" s="327">
        <v>0</v>
      </c>
      <c r="F695" s="327">
        <v>0</v>
      </c>
      <c r="G695" s="327">
        <v>0</v>
      </c>
      <c r="H695" s="341">
        <f t="shared" ref="H695" si="621">SUM(E695:G695)</f>
        <v>0</v>
      </c>
      <c r="I695" s="328">
        <f>H695*$Z695</f>
        <v>0</v>
      </c>
      <c r="J695" s="327">
        <v>0</v>
      </c>
      <c r="K695" s="327">
        <v>0</v>
      </c>
      <c r="L695" s="327">
        <v>0</v>
      </c>
      <c r="M695" s="341">
        <f>SUM(J695:L695)</f>
        <v>0</v>
      </c>
      <c r="N695" s="328">
        <f>M695*$Z695</f>
        <v>0</v>
      </c>
      <c r="O695" s="327">
        <v>0</v>
      </c>
      <c r="P695" s="327">
        <v>0</v>
      </c>
      <c r="Q695" s="327">
        <v>0</v>
      </c>
      <c r="R695" s="341">
        <f>SUM(O695:Q695)</f>
        <v>0</v>
      </c>
      <c r="S695" s="328">
        <f>R695*$Z695</f>
        <v>0</v>
      </c>
      <c r="T695" s="327">
        <v>0</v>
      </c>
      <c r="U695" s="327">
        <v>0</v>
      </c>
      <c r="V695" s="327">
        <v>0</v>
      </c>
      <c r="W695" s="341">
        <f>SUM(T695:V695)</f>
        <v>0</v>
      </c>
      <c r="X695" s="328">
        <f>W695*$Z695</f>
        <v>0</v>
      </c>
      <c r="Y695" s="328">
        <f>H695+M695+R695+W695</f>
        <v>0</v>
      </c>
      <c r="Z695" s="329">
        <f>45000/9</f>
        <v>5000</v>
      </c>
      <c r="AA695" s="330">
        <f>Y695*Z695</f>
        <v>0</v>
      </c>
    </row>
    <row r="696" spans="1:27" ht="28.35" customHeight="1" thickBot="1">
      <c r="A696" s="332">
        <v>9</v>
      </c>
      <c r="B696" s="299"/>
      <c r="C696" s="326" t="s">
        <v>1152</v>
      </c>
      <c r="D696" s="333" t="s">
        <v>420</v>
      </c>
      <c r="E696" s="327">
        <v>0</v>
      </c>
      <c r="F696" s="327">
        <v>0</v>
      </c>
      <c r="G696" s="327">
        <v>8</v>
      </c>
      <c r="H696" s="341">
        <f t="shared" ref="H696" si="622">SUM(E696:G696)</f>
        <v>8</v>
      </c>
      <c r="I696" s="328">
        <f>H696*$Z696</f>
        <v>40000</v>
      </c>
      <c r="J696" s="327">
        <v>0</v>
      </c>
      <c r="K696" s="327">
        <v>0</v>
      </c>
      <c r="L696" s="327">
        <v>0</v>
      </c>
      <c r="M696" s="341">
        <f t="shared" ref="M696:M701" si="623">SUM(J696:L696)</f>
        <v>0</v>
      </c>
      <c r="N696" s="328">
        <f>M696*$Z696</f>
        <v>0</v>
      </c>
      <c r="O696" s="327">
        <v>0</v>
      </c>
      <c r="P696" s="327">
        <v>0</v>
      </c>
      <c r="Q696" s="327">
        <v>0</v>
      </c>
      <c r="R696" s="341">
        <f t="shared" ref="R696:R701" si="624">SUM(O696:Q696)</f>
        <v>0</v>
      </c>
      <c r="S696" s="328">
        <f>R696*$Z696</f>
        <v>0</v>
      </c>
      <c r="T696" s="327">
        <v>0</v>
      </c>
      <c r="U696" s="327">
        <v>0</v>
      </c>
      <c r="V696" s="327">
        <v>0</v>
      </c>
      <c r="W696" s="341">
        <f t="shared" ref="W696:W701" si="625">SUM(T696:V696)</f>
        <v>0</v>
      </c>
      <c r="X696" s="328">
        <f>W696*$Z696</f>
        <v>0</v>
      </c>
      <c r="Y696" s="328">
        <f>H696+M696+R696+W696</f>
        <v>8</v>
      </c>
      <c r="Z696" s="329">
        <f>50000/10</f>
        <v>5000</v>
      </c>
      <c r="AA696" s="330">
        <f>Y696*Z696</f>
        <v>40000</v>
      </c>
    </row>
    <row r="697" spans="1:27" ht="28.35" customHeight="1">
      <c r="A697" s="325">
        <v>10</v>
      </c>
      <c r="B697" s="299"/>
      <c r="C697" s="326" t="s">
        <v>1153</v>
      </c>
      <c r="D697" s="327" t="s">
        <v>420</v>
      </c>
      <c r="E697" s="327">
        <f t="shared" ref="E697:E707" si="626">0+0</f>
        <v>0</v>
      </c>
      <c r="F697" s="327">
        <v>0</v>
      </c>
      <c r="G697" s="327">
        <f>0+0</f>
        <v>0</v>
      </c>
      <c r="H697" s="341">
        <f t="shared" ref="H697:H700" si="627">SUM(E697:G697)</f>
        <v>0</v>
      </c>
      <c r="I697" s="328">
        <f t="shared" ref="I697:I701" si="628">H697*$Z697</f>
        <v>0</v>
      </c>
      <c r="J697" s="327">
        <f t="shared" ref="J697:L725" si="629">0+0</f>
        <v>0</v>
      </c>
      <c r="K697" s="327">
        <f t="shared" si="629"/>
        <v>0</v>
      </c>
      <c r="L697" s="327">
        <f t="shared" si="629"/>
        <v>0</v>
      </c>
      <c r="M697" s="341">
        <f t="shared" si="623"/>
        <v>0</v>
      </c>
      <c r="N697" s="328">
        <f t="shared" ref="N697:N701" si="630">M697*$Z697</f>
        <v>0</v>
      </c>
      <c r="O697" s="327">
        <f t="shared" ref="O697:Q725" si="631">0+0</f>
        <v>0</v>
      </c>
      <c r="P697" s="327">
        <f t="shared" si="631"/>
        <v>0</v>
      </c>
      <c r="Q697" s="327">
        <f t="shared" si="631"/>
        <v>0</v>
      </c>
      <c r="R697" s="341">
        <f t="shared" si="624"/>
        <v>0</v>
      </c>
      <c r="S697" s="328">
        <f t="shared" ref="S697:S701" si="632">R697*$Z697</f>
        <v>0</v>
      </c>
      <c r="T697" s="327">
        <f t="shared" ref="T697:V725" si="633">0+0</f>
        <v>0</v>
      </c>
      <c r="U697" s="327">
        <f t="shared" si="633"/>
        <v>0</v>
      </c>
      <c r="V697" s="327">
        <f t="shared" si="633"/>
        <v>0</v>
      </c>
      <c r="W697" s="341">
        <f t="shared" si="625"/>
        <v>0</v>
      </c>
      <c r="X697" s="328">
        <f t="shared" ref="X697:X701" si="634">W697*$Z697</f>
        <v>0</v>
      </c>
      <c r="Y697" s="328">
        <f t="shared" ref="Y697:Y701" si="635">H697+M697+R697+W697</f>
        <v>0</v>
      </c>
      <c r="Z697" s="329">
        <f>130</f>
        <v>130</v>
      </c>
      <c r="AA697" s="330">
        <f t="shared" ref="AA697:AA701" si="636">Y697*Z697</f>
        <v>0</v>
      </c>
    </row>
    <row r="698" spans="1:27" ht="28.35" customHeight="1">
      <c r="A698" s="331">
        <v>11</v>
      </c>
      <c r="B698" s="299"/>
      <c r="C698" s="326" t="s">
        <v>1154</v>
      </c>
      <c r="D698" s="327" t="s">
        <v>364</v>
      </c>
      <c r="E698" s="327">
        <v>0</v>
      </c>
      <c r="F698" s="327">
        <v>0</v>
      </c>
      <c r="G698" s="327">
        <v>0</v>
      </c>
      <c r="H698" s="341">
        <f>SUM(E698:G698)</f>
        <v>0</v>
      </c>
      <c r="I698" s="328">
        <f>H698*$Z698</f>
        <v>0</v>
      </c>
      <c r="J698" s="327">
        <v>12</v>
      </c>
      <c r="K698" s="327">
        <v>0</v>
      </c>
      <c r="L698" s="327">
        <v>0</v>
      </c>
      <c r="M698" s="341">
        <f>SUM(J698:L698)</f>
        <v>12</v>
      </c>
      <c r="N698" s="328">
        <f>M698*$Z698</f>
        <v>11520</v>
      </c>
      <c r="O698" s="327">
        <v>0</v>
      </c>
      <c r="P698" s="327">
        <v>0</v>
      </c>
      <c r="Q698" s="327">
        <v>0</v>
      </c>
      <c r="R698" s="341">
        <f>SUM(O698:Q698)</f>
        <v>0</v>
      </c>
      <c r="S698" s="328">
        <f>R698*$Z698</f>
        <v>0</v>
      </c>
      <c r="T698" s="327">
        <v>0</v>
      </c>
      <c r="U698" s="327">
        <v>0</v>
      </c>
      <c r="V698" s="327">
        <v>0</v>
      </c>
      <c r="W698" s="341">
        <f>SUM(T698:V698)</f>
        <v>0</v>
      </c>
      <c r="X698" s="328">
        <f>W698*$Z698</f>
        <v>0</v>
      </c>
      <c r="Y698" s="328">
        <f>H698+M698+R698+W698</f>
        <v>12</v>
      </c>
      <c r="Z698" s="329">
        <f>11520/Y698</f>
        <v>960</v>
      </c>
      <c r="AA698" s="330">
        <f>Y698*Z698</f>
        <v>11520</v>
      </c>
    </row>
    <row r="699" spans="1:27" ht="28.35" customHeight="1" thickBot="1">
      <c r="A699" s="332">
        <v>12</v>
      </c>
      <c r="B699" s="299"/>
      <c r="C699" s="326" t="s">
        <v>1155</v>
      </c>
      <c r="D699" s="333" t="s">
        <v>364</v>
      </c>
      <c r="E699" s="327">
        <f t="shared" si="626"/>
        <v>0</v>
      </c>
      <c r="F699" s="327">
        <v>0</v>
      </c>
      <c r="G699" s="327">
        <v>0</v>
      </c>
      <c r="H699" s="341">
        <f>SUM(E699:G699)</f>
        <v>0</v>
      </c>
      <c r="I699" s="328">
        <f>H699*$Z699</f>
        <v>0</v>
      </c>
      <c r="J699" s="327">
        <f t="shared" si="629"/>
        <v>0</v>
      </c>
      <c r="K699" s="327">
        <f t="shared" si="629"/>
        <v>0</v>
      </c>
      <c r="L699" s="327">
        <f t="shared" si="629"/>
        <v>0</v>
      </c>
      <c r="M699" s="341">
        <f>SUM(J699:L699)</f>
        <v>0</v>
      </c>
      <c r="N699" s="328">
        <f>M699*$Z699</f>
        <v>0</v>
      </c>
      <c r="O699" s="327">
        <f t="shared" si="631"/>
        <v>0</v>
      </c>
      <c r="P699" s="327">
        <f t="shared" si="631"/>
        <v>0</v>
      </c>
      <c r="Q699" s="327">
        <f t="shared" si="631"/>
        <v>0</v>
      </c>
      <c r="R699" s="341">
        <f>SUM(O699:Q699)</f>
        <v>0</v>
      </c>
      <c r="S699" s="328">
        <f>R699*$Z699</f>
        <v>0</v>
      </c>
      <c r="T699" s="327">
        <f t="shared" si="633"/>
        <v>0</v>
      </c>
      <c r="U699" s="327">
        <f t="shared" si="633"/>
        <v>0</v>
      </c>
      <c r="V699" s="327">
        <f t="shared" si="633"/>
        <v>0</v>
      </c>
      <c r="W699" s="341">
        <f>SUM(T699:V699)</f>
        <v>0</v>
      </c>
      <c r="X699" s="328">
        <f>W699*$Z699</f>
        <v>0</v>
      </c>
      <c r="Y699" s="328">
        <f>H699+M699+R699+W699</f>
        <v>0</v>
      </c>
      <c r="Z699" s="329">
        <f>12000/12</f>
        <v>1000</v>
      </c>
      <c r="AA699" s="330">
        <f>Y699*Z699</f>
        <v>0</v>
      </c>
    </row>
    <row r="700" spans="1:27" ht="28.35" customHeight="1">
      <c r="A700" s="325">
        <v>13</v>
      </c>
      <c r="B700" s="299"/>
      <c r="C700" s="326" t="s">
        <v>1156</v>
      </c>
      <c r="D700" s="333" t="s">
        <v>364</v>
      </c>
      <c r="E700" s="327">
        <f t="shared" si="626"/>
        <v>0</v>
      </c>
      <c r="F700" s="327">
        <v>0</v>
      </c>
      <c r="G700" s="327">
        <f>0+0</f>
        <v>0</v>
      </c>
      <c r="H700" s="341">
        <f t="shared" si="627"/>
        <v>0</v>
      </c>
      <c r="I700" s="328">
        <f t="shared" si="628"/>
        <v>0</v>
      </c>
      <c r="J700" s="327">
        <f t="shared" si="629"/>
        <v>0</v>
      </c>
      <c r="K700" s="327">
        <f t="shared" si="629"/>
        <v>0</v>
      </c>
      <c r="L700" s="327">
        <f t="shared" si="629"/>
        <v>0</v>
      </c>
      <c r="M700" s="341">
        <f t="shared" si="623"/>
        <v>0</v>
      </c>
      <c r="N700" s="328">
        <f t="shared" si="630"/>
        <v>0</v>
      </c>
      <c r="O700" s="327">
        <f t="shared" si="631"/>
        <v>0</v>
      </c>
      <c r="P700" s="327">
        <f t="shared" si="631"/>
        <v>0</v>
      </c>
      <c r="Q700" s="327">
        <f t="shared" si="631"/>
        <v>0</v>
      </c>
      <c r="R700" s="341">
        <f t="shared" si="624"/>
        <v>0</v>
      </c>
      <c r="S700" s="328">
        <f t="shared" si="632"/>
        <v>0</v>
      </c>
      <c r="T700" s="327">
        <f t="shared" si="633"/>
        <v>0</v>
      </c>
      <c r="U700" s="327">
        <f t="shared" si="633"/>
        <v>0</v>
      </c>
      <c r="V700" s="327">
        <f t="shared" si="633"/>
        <v>0</v>
      </c>
      <c r="W700" s="341">
        <f t="shared" si="625"/>
        <v>0</v>
      </c>
      <c r="X700" s="328">
        <f t="shared" si="634"/>
        <v>0</v>
      </c>
      <c r="Y700" s="328">
        <f t="shared" si="635"/>
        <v>0</v>
      </c>
      <c r="Z700" s="329">
        <f>12000/12</f>
        <v>1000</v>
      </c>
      <c r="AA700" s="330">
        <f t="shared" si="636"/>
        <v>0</v>
      </c>
    </row>
    <row r="701" spans="1:27" ht="28.35" customHeight="1">
      <c r="A701" s="331">
        <v>14</v>
      </c>
      <c r="B701" s="299"/>
      <c r="C701" s="326" t="s">
        <v>1157</v>
      </c>
      <c r="D701" s="333" t="s">
        <v>364</v>
      </c>
      <c r="E701" s="327">
        <v>0</v>
      </c>
      <c r="F701" s="327">
        <v>0</v>
      </c>
      <c r="G701" s="327">
        <v>0</v>
      </c>
      <c r="H701" s="341">
        <f t="shared" ref="H701" si="637">SUM(E701:G701)</f>
        <v>0</v>
      </c>
      <c r="I701" s="328">
        <f t="shared" si="628"/>
        <v>0</v>
      </c>
      <c r="J701" s="327">
        <v>0</v>
      </c>
      <c r="K701" s="327">
        <v>0</v>
      </c>
      <c r="L701" s="327">
        <v>0</v>
      </c>
      <c r="M701" s="341">
        <f t="shared" si="623"/>
        <v>0</v>
      </c>
      <c r="N701" s="328">
        <f t="shared" si="630"/>
        <v>0</v>
      </c>
      <c r="O701" s="327">
        <v>0</v>
      </c>
      <c r="P701" s="327">
        <v>0</v>
      </c>
      <c r="Q701" s="327">
        <v>0</v>
      </c>
      <c r="R701" s="341">
        <f t="shared" si="624"/>
        <v>0</v>
      </c>
      <c r="S701" s="328">
        <f t="shared" si="632"/>
        <v>0</v>
      </c>
      <c r="T701" s="327">
        <v>0</v>
      </c>
      <c r="U701" s="327">
        <v>0</v>
      </c>
      <c r="V701" s="327">
        <v>0</v>
      </c>
      <c r="W701" s="341">
        <f t="shared" si="625"/>
        <v>0</v>
      </c>
      <c r="X701" s="328">
        <f t="shared" si="634"/>
        <v>0</v>
      </c>
      <c r="Y701" s="328">
        <f t="shared" si="635"/>
        <v>0</v>
      </c>
      <c r="Z701" s="329">
        <f>21000/14</f>
        <v>1500</v>
      </c>
      <c r="AA701" s="330">
        <f t="shared" si="636"/>
        <v>0</v>
      </c>
    </row>
    <row r="702" spans="1:27" ht="28.35" customHeight="1" thickBot="1">
      <c r="A702" s="332">
        <v>15</v>
      </c>
      <c r="B702" s="299"/>
      <c r="C702" s="326" t="s">
        <v>1158</v>
      </c>
      <c r="D702" s="333" t="s">
        <v>364</v>
      </c>
      <c r="E702" s="327">
        <v>0</v>
      </c>
      <c r="F702" s="327">
        <v>0</v>
      </c>
      <c r="G702" s="327">
        <v>0</v>
      </c>
      <c r="H702" s="341">
        <f t="shared" ref="H702" si="638">SUM(E702:G702)</f>
        <v>0</v>
      </c>
      <c r="I702" s="328">
        <f>H702*$Z702</f>
        <v>0</v>
      </c>
      <c r="J702" s="327">
        <v>0</v>
      </c>
      <c r="K702" s="327">
        <v>0</v>
      </c>
      <c r="L702" s="327">
        <v>0</v>
      </c>
      <c r="M702" s="341">
        <f>SUM(J702:L702)</f>
        <v>0</v>
      </c>
      <c r="N702" s="328">
        <f>M702*$Z702</f>
        <v>0</v>
      </c>
      <c r="O702" s="327">
        <v>0</v>
      </c>
      <c r="P702" s="327">
        <v>0</v>
      </c>
      <c r="Q702" s="327">
        <v>0</v>
      </c>
      <c r="R702" s="341">
        <f>SUM(O702:Q702)</f>
        <v>0</v>
      </c>
      <c r="S702" s="328">
        <f>R702*$Z702</f>
        <v>0</v>
      </c>
      <c r="T702" s="327">
        <v>0</v>
      </c>
      <c r="U702" s="327">
        <v>0</v>
      </c>
      <c r="V702" s="327">
        <v>0</v>
      </c>
      <c r="W702" s="341">
        <f>SUM(T702:V702)</f>
        <v>0</v>
      </c>
      <c r="X702" s="328">
        <f>W702*$Z702</f>
        <v>0</v>
      </c>
      <c r="Y702" s="328">
        <f>H702+M702+R702+W702</f>
        <v>0</v>
      </c>
      <c r="Z702" s="329">
        <f>22800/6</f>
        <v>3800</v>
      </c>
      <c r="AA702" s="330">
        <f>Y702*Z702</f>
        <v>0</v>
      </c>
    </row>
    <row r="703" spans="1:27" ht="28.35" customHeight="1">
      <c r="A703" s="325">
        <v>16</v>
      </c>
      <c r="B703" s="299"/>
      <c r="C703" s="326" t="s">
        <v>1159</v>
      </c>
      <c r="D703" s="333" t="s">
        <v>420</v>
      </c>
      <c r="E703" s="327">
        <v>0</v>
      </c>
      <c r="F703" s="327">
        <v>2</v>
      </c>
      <c r="G703" s="327">
        <v>0</v>
      </c>
      <c r="H703" s="341">
        <f t="shared" ref="H703" si="639">SUM(E703:G703)</f>
        <v>2</v>
      </c>
      <c r="I703" s="328">
        <f t="shared" ref="I703" si="640">H703*$Z703</f>
        <v>2000</v>
      </c>
      <c r="J703" s="327">
        <v>0</v>
      </c>
      <c r="K703" s="327">
        <v>0</v>
      </c>
      <c r="L703" s="327">
        <v>0</v>
      </c>
      <c r="M703" s="341">
        <f t="shared" ref="M703" si="641">SUM(J703:L703)</f>
        <v>0</v>
      </c>
      <c r="N703" s="328">
        <f t="shared" ref="N703" si="642">M703*$Z703</f>
        <v>0</v>
      </c>
      <c r="O703" s="327">
        <v>0</v>
      </c>
      <c r="P703" s="327">
        <v>0</v>
      </c>
      <c r="Q703" s="327">
        <v>0</v>
      </c>
      <c r="R703" s="341">
        <f t="shared" ref="R703" si="643">SUM(O703:Q703)</f>
        <v>0</v>
      </c>
      <c r="S703" s="328">
        <f t="shared" ref="S703" si="644">R703*$Z703</f>
        <v>0</v>
      </c>
      <c r="T703" s="327">
        <v>0</v>
      </c>
      <c r="U703" s="327">
        <v>0</v>
      </c>
      <c r="V703" s="327">
        <v>0</v>
      </c>
      <c r="W703" s="341">
        <f t="shared" ref="W703" si="645">SUM(T703:V703)</f>
        <v>0</v>
      </c>
      <c r="X703" s="328">
        <f t="shared" ref="X703" si="646">W703*$Z703</f>
        <v>0</v>
      </c>
      <c r="Y703" s="328">
        <f t="shared" ref="Y703" si="647">H703+M703+R703+W703</f>
        <v>2</v>
      </c>
      <c r="Z703" s="329">
        <f>2000/2</f>
        <v>1000</v>
      </c>
      <c r="AA703" s="330">
        <f t="shared" ref="AA703" si="648">Y703*Z703</f>
        <v>2000</v>
      </c>
    </row>
    <row r="704" spans="1:27" ht="28.35" customHeight="1">
      <c r="A704" s="331">
        <v>17</v>
      </c>
      <c r="B704" s="299"/>
      <c r="C704" s="326" t="s">
        <v>1160</v>
      </c>
      <c r="D704" s="333" t="s">
        <v>364</v>
      </c>
      <c r="E704" s="327">
        <v>0</v>
      </c>
      <c r="F704" s="327">
        <v>0</v>
      </c>
      <c r="G704" s="327">
        <v>0</v>
      </c>
      <c r="H704" s="341">
        <f>SUM(E704:G704)</f>
        <v>0</v>
      </c>
      <c r="I704" s="328" t="e">
        <f>H704*$Z704</f>
        <v>#DIV/0!</v>
      </c>
      <c r="J704" s="327">
        <v>0</v>
      </c>
      <c r="K704" s="327">
        <v>0</v>
      </c>
      <c r="L704" s="327">
        <v>0</v>
      </c>
      <c r="M704" s="341">
        <f>SUM(J704:L704)</f>
        <v>0</v>
      </c>
      <c r="N704" s="328" t="e">
        <f>M704*$Z704</f>
        <v>#DIV/0!</v>
      </c>
      <c r="O704" s="327">
        <v>0</v>
      </c>
      <c r="P704" s="327">
        <v>0</v>
      </c>
      <c r="Q704" s="327">
        <v>0</v>
      </c>
      <c r="R704" s="341">
        <f>SUM(O704:Q704)</f>
        <v>0</v>
      </c>
      <c r="S704" s="328" t="e">
        <f>R704*$Z704</f>
        <v>#DIV/0!</v>
      </c>
      <c r="T704" s="327">
        <v>0</v>
      </c>
      <c r="U704" s="327">
        <v>0</v>
      </c>
      <c r="V704" s="327">
        <v>0</v>
      </c>
      <c r="W704" s="341">
        <f>SUM(T704:V704)</f>
        <v>0</v>
      </c>
      <c r="X704" s="328" t="e">
        <f>W704*$Z704</f>
        <v>#DIV/0!</v>
      </c>
      <c r="Y704" s="328">
        <f>H704+M704+R704+W704</f>
        <v>0</v>
      </c>
      <c r="Z704" s="329" t="e">
        <f>700/Y704</f>
        <v>#DIV/0!</v>
      </c>
      <c r="AA704" s="330" t="e">
        <f>Y704*Z704</f>
        <v>#DIV/0!</v>
      </c>
    </row>
    <row r="705" spans="1:27" ht="28.35" customHeight="1" thickBot="1">
      <c r="A705" s="332">
        <v>18</v>
      </c>
      <c r="B705" s="299"/>
      <c r="C705" s="326" t="s">
        <v>1161</v>
      </c>
      <c r="D705" s="333" t="s">
        <v>364</v>
      </c>
      <c r="E705" s="327">
        <v>0</v>
      </c>
      <c r="F705" s="327">
        <v>0</v>
      </c>
      <c r="G705" s="327">
        <v>0</v>
      </c>
      <c r="H705" s="341">
        <f t="shared" ref="H705" si="649">SUM(E705:G705)</f>
        <v>0</v>
      </c>
      <c r="I705" s="328" t="e">
        <f>H705*$Z705</f>
        <v>#DIV/0!</v>
      </c>
      <c r="J705" s="327">
        <v>0</v>
      </c>
      <c r="K705" s="327">
        <v>0</v>
      </c>
      <c r="L705" s="327">
        <v>0</v>
      </c>
      <c r="M705" s="341">
        <f t="shared" ref="M705" si="650">SUM(J705:L705)</f>
        <v>0</v>
      </c>
      <c r="N705" s="328" t="e">
        <f>M705*$Z705</f>
        <v>#DIV/0!</v>
      </c>
      <c r="O705" s="327">
        <v>0</v>
      </c>
      <c r="P705" s="327">
        <v>0</v>
      </c>
      <c r="Q705" s="327">
        <v>0</v>
      </c>
      <c r="R705" s="341">
        <f t="shared" ref="R705" si="651">SUM(O705:Q705)</f>
        <v>0</v>
      </c>
      <c r="S705" s="328" t="e">
        <f>R705*$Z705</f>
        <v>#DIV/0!</v>
      </c>
      <c r="T705" s="327">
        <v>0</v>
      </c>
      <c r="U705" s="327">
        <v>0</v>
      </c>
      <c r="V705" s="327">
        <v>0</v>
      </c>
      <c r="W705" s="341">
        <f t="shared" ref="W705" si="652">SUM(T705:V705)</f>
        <v>0</v>
      </c>
      <c r="X705" s="328" t="e">
        <f>W705*$Z705</f>
        <v>#DIV/0!</v>
      </c>
      <c r="Y705" s="328">
        <f t="shared" ref="Y705" si="653">H705+M705+R705+W705</f>
        <v>0</v>
      </c>
      <c r="Z705" s="329" t="e">
        <f>850/Y705</f>
        <v>#DIV/0!</v>
      </c>
      <c r="AA705" s="330" t="e">
        <f t="shared" ref="AA705" si="654">Y705*Z705</f>
        <v>#DIV/0!</v>
      </c>
    </row>
    <row r="706" spans="1:27" ht="28.35" customHeight="1">
      <c r="A706" s="325">
        <v>19</v>
      </c>
      <c r="B706" s="299"/>
      <c r="C706" s="326" t="s">
        <v>1162</v>
      </c>
      <c r="D706" s="333" t="s">
        <v>364</v>
      </c>
      <c r="E706" s="327">
        <v>0</v>
      </c>
      <c r="F706" s="327">
        <v>0</v>
      </c>
      <c r="G706" s="327">
        <v>0</v>
      </c>
      <c r="H706" s="341">
        <f>SUM(E706:G706)</f>
        <v>0</v>
      </c>
      <c r="I706" s="328">
        <f>H706*$Z706</f>
        <v>0</v>
      </c>
      <c r="J706" s="327">
        <v>0</v>
      </c>
      <c r="K706" s="327">
        <v>0</v>
      </c>
      <c r="L706" s="327">
        <v>0</v>
      </c>
      <c r="M706" s="341">
        <f>SUM(J706:L706)</f>
        <v>0</v>
      </c>
      <c r="N706" s="328">
        <f>M706*$Z706</f>
        <v>0</v>
      </c>
      <c r="O706" s="327">
        <v>0</v>
      </c>
      <c r="P706" s="327">
        <v>0</v>
      </c>
      <c r="Q706" s="327">
        <v>0</v>
      </c>
      <c r="R706" s="341">
        <f>SUM(O706:Q706)</f>
        <v>0</v>
      </c>
      <c r="S706" s="328">
        <f>R706*$Z706</f>
        <v>0</v>
      </c>
      <c r="T706" s="327">
        <v>0</v>
      </c>
      <c r="U706" s="327">
        <v>0</v>
      </c>
      <c r="V706" s="327">
        <v>0</v>
      </c>
      <c r="W706" s="341">
        <f>SUM(T706:V706)</f>
        <v>0</v>
      </c>
      <c r="X706" s="328">
        <f>W706*$Z706</f>
        <v>0</v>
      </c>
      <c r="Y706" s="328">
        <f>H706+M706+R706+W706</f>
        <v>0</v>
      </c>
      <c r="Z706" s="329">
        <f>7500/3</f>
        <v>2500</v>
      </c>
      <c r="AA706" s="330">
        <f>Y706*Z706</f>
        <v>0</v>
      </c>
    </row>
    <row r="707" spans="1:27" ht="28.35" customHeight="1">
      <c r="A707" s="331">
        <v>20</v>
      </c>
      <c r="B707" s="299"/>
      <c r="C707" s="326" t="s">
        <v>1163</v>
      </c>
      <c r="D707" s="333" t="s">
        <v>420</v>
      </c>
      <c r="E707" s="327">
        <f t="shared" si="626"/>
        <v>0</v>
      </c>
      <c r="F707" s="327">
        <v>0</v>
      </c>
      <c r="G707" s="327">
        <f>0+0</f>
        <v>0</v>
      </c>
      <c r="H707" s="341">
        <f t="shared" ref="H707" si="655">SUM(E707:G707)</f>
        <v>0</v>
      </c>
      <c r="I707" s="328">
        <f t="shared" ref="I707:I714" si="656">H707*$Z707</f>
        <v>0</v>
      </c>
      <c r="J707" s="327">
        <f t="shared" si="629"/>
        <v>0</v>
      </c>
      <c r="K707" s="327">
        <f t="shared" si="629"/>
        <v>0</v>
      </c>
      <c r="L707" s="327">
        <f t="shared" si="629"/>
        <v>0</v>
      </c>
      <c r="M707" s="341">
        <f t="shared" ref="M707:M714" si="657">SUM(J707:L707)</f>
        <v>0</v>
      </c>
      <c r="N707" s="328">
        <f t="shared" ref="N707:N714" si="658">M707*$Z707</f>
        <v>0</v>
      </c>
      <c r="O707" s="327">
        <f t="shared" si="631"/>
        <v>0</v>
      </c>
      <c r="P707" s="327">
        <f t="shared" si="631"/>
        <v>0</v>
      </c>
      <c r="Q707" s="327">
        <f t="shared" si="631"/>
        <v>0</v>
      </c>
      <c r="R707" s="341">
        <f t="shared" ref="R707:R714" si="659">SUM(O707:Q707)</f>
        <v>0</v>
      </c>
      <c r="S707" s="328">
        <f t="shared" ref="S707:S714" si="660">R707*$Z707</f>
        <v>0</v>
      </c>
      <c r="T707" s="327">
        <f t="shared" si="633"/>
        <v>0</v>
      </c>
      <c r="U707" s="327">
        <f t="shared" si="633"/>
        <v>0</v>
      </c>
      <c r="V707" s="327">
        <f t="shared" si="633"/>
        <v>0</v>
      </c>
      <c r="W707" s="341">
        <f t="shared" ref="W707:W714" si="661">SUM(T707:V707)</f>
        <v>0</v>
      </c>
      <c r="X707" s="328">
        <f t="shared" ref="X707:X714" si="662">W707*$Z707</f>
        <v>0</v>
      </c>
      <c r="Y707" s="328">
        <f t="shared" ref="Y707:Y714" si="663">H707+M707+R707+W707</f>
        <v>0</v>
      </c>
      <c r="Z707" s="329">
        <f>3000/3</f>
        <v>1000</v>
      </c>
      <c r="AA707" s="330">
        <f t="shared" ref="AA707:AA714" si="664">Y707*Z707</f>
        <v>0</v>
      </c>
    </row>
    <row r="708" spans="1:27" ht="28.35" customHeight="1" thickBot="1">
      <c r="A708" s="332">
        <v>21</v>
      </c>
      <c r="B708" s="299"/>
      <c r="C708" s="326" t="s">
        <v>1164</v>
      </c>
      <c r="D708" s="333" t="s">
        <v>420</v>
      </c>
      <c r="E708" s="327">
        <v>0</v>
      </c>
      <c r="F708" s="327">
        <v>0</v>
      </c>
      <c r="G708" s="327">
        <v>0</v>
      </c>
      <c r="H708" s="341">
        <f t="shared" ref="H708:H714" si="665">SUM(E708:G708)</f>
        <v>0</v>
      </c>
      <c r="I708" s="328" t="e">
        <f t="shared" si="656"/>
        <v>#DIV/0!</v>
      </c>
      <c r="J708" s="327">
        <v>0</v>
      </c>
      <c r="K708" s="327">
        <v>0</v>
      </c>
      <c r="L708" s="327">
        <v>0</v>
      </c>
      <c r="M708" s="341">
        <f t="shared" si="657"/>
        <v>0</v>
      </c>
      <c r="N708" s="328" t="e">
        <f t="shared" si="658"/>
        <v>#DIV/0!</v>
      </c>
      <c r="O708" s="327">
        <v>0</v>
      </c>
      <c r="P708" s="327">
        <v>0</v>
      </c>
      <c r="Q708" s="327">
        <v>0</v>
      </c>
      <c r="R708" s="341">
        <f t="shared" si="659"/>
        <v>0</v>
      </c>
      <c r="S708" s="328" t="e">
        <f t="shared" si="660"/>
        <v>#DIV/0!</v>
      </c>
      <c r="T708" s="327">
        <v>0</v>
      </c>
      <c r="U708" s="327">
        <v>0</v>
      </c>
      <c r="V708" s="327">
        <v>0</v>
      </c>
      <c r="W708" s="341">
        <f t="shared" si="661"/>
        <v>0</v>
      </c>
      <c r="X708" s="328" t="e">
        <f t="shared" si="662"/>
        <v>#DIV/0!</v>
      </c>
      <c r="Y708" s="328">
        <f t="shared" si="663"/>
        <v>0</v>
      </c>
      <c r="Z708" s="329" t="e">
        <f>1200/Y708</f>
        <v>#DIV/0!</v>
      </c>
      <c r="AA708" s="330" t="e">
        <f t="shared" si="664"/>
        <v>#DIV/0!</v>
      </c>
    </row>
    <row r="709" spans="1:27" ht="28.35" customHeight="1">
      <c r="A709" s="325">
        <v>22</v>
      </c>
      <c r="B709" s="299"/>
      <c r="C709" s="326" t="s">
        <v>1165</v>
      </c>
      <c r="D709" s="333" t="s">
        <v>364</v>
      </c>
      <c r="E709" s="327">
        <v>0</v>
      </c>
      <c r="F709" s="327">
        <v>0</v>
      </c>
      <c r="G709" s="327">
        <v>0</v>
      </c>
      <c r="H709" s="341">
        <f t="shared" si="665"/>
        <v>0</v>
      </c>
      <c r="I709" s="328">
        <f t="shared" si="656"/>
        <v>0</v>
      </c>
      <c r="J709" s="327">
        <v>0</v>
      </c>
      <c r="K709" s="327">
        <v>0</v>
      </c>
      <c r="L709" s="327">
        <v>0</v>
      </c>
      <c r="M709" s="341">
        <f t="shared" si="657"/>
        <v>0</v>
      </c>
      <c r="N709" s="328">
        <f t="shared" si="658"/>
        <v>0</v>
      </c>
      <c r="O709" s="327">
        <v>0</v>
      </c>
      <c r="P709" s="327">
        <v>0</v>
      </c>
      <c r="Q709" s="327">
        <v>0</v>
      </c>
      <c r="R709" s="341">
        <f t="shared" si="659"/>
        <v>0</v>
      </c>
      <c r="S709" s="328">
        <f t="shared" si="660"/>
        <v>0</v>
      </c>
      <c r="T709" s="327">
        <v>0</v>
      </c>
      <c r="U709" s="327">
        <v>0</v>
      </c>
      <c r="V709" s="327">
        <v>0</v>
      </c>
      <c r="W709" s="341">
        <f t="shared" si="661"/>
        <v>0</v>
      </c>
      <c r="X709" s="328">
        <f t="shared" si="662"/>
        <v>0</v>
      </c>
      <c r="Y709" s="328">
        <f t="shared" si="663"/>
        <v>0</v>
      </c>
      <c r="Z709" s="329">
        <f>9000/6</f>
        <v>1500</v>
      </c>
      <c r="AA709" s="330">
        <f t="shared" si="664"/>
        <v>0</v>
      </c>
    </row>
    <row r="710" spans="1:27" ht="28.35" customHeight="1">
      <c r="A710" s="331">
        <v>23</v>
      </c>
      <c r="B710" s="299"/>
      <c r="C710" s="326" t="s">
        <v>1166</v>
      </c>
      <c r="D710" s="333" t="s">
        <v>364</v>
      </c>
      <c r="E710" s="327">
        <v>0</v>
      </c>
      <c r="F710" s="327">
        <v>0</v>
      </c>
      <c r="G710" s="327">
        <v>0</v>
      </c>
      <c r="H710" s="341">
        <f t="shared" si="665"/>
        <v>0</v>
      </c>
      <c r="I710" s="328">
        <f t="shared" si="656"/>
        <v>0</v>
      </c>
      <c r="J710" s="327">
        <v>0</v>
      </c>
      <c r="K710" s="327">
        <v>0</v>
      </c>
      <c r="L710" s="327">
        <v>0</v>
      </c>
      <c r="M710" s="341">
        <f t="shared" si="657"/>
        <v>0</v>
      </c>
      <c r="N710" s="328">
        <f t="shared" si="658"/>
        <v>0</v>
      </c>
      <c r="O710" s="327">
        <v>0</v>
      </c>
      <c r="P710" s="327">
        <v>0</v>
      </c>
      <c r="Q710" s="327">
        <v>0</v>
      </c>
      <c r="R710" s="341">
        <f t="shared" si="659"/>
        <v>0</v>
      </c>
      <c r="S710" s="328">
        <f t="shared" si="660"/>
        <v>0</v>
      </c>
      <c r="T710" s="327">
        <v>0</v>
      </c>
      <c r="U710" s="327">
        <v>0</v>
      </c>
      <c r="V710" s="327">
        <v>0</v>
      </c>
      <c r="W710" s="341">
        <f t="shared" si="661"/>
        <v>0</v>
      </c>
      <c r="X710" s="328">
        <f t="shared" si="662"/>
        <v>0</v>
      </c>
      <c r="Y710" s="328">
        <f t="shared" si="663"/>
        <v>0</v>
      </c>
      <c r="Z710" s="329">
        <f>1000/1</f>
        <v>1000</v>
      </c>
      <c r="AA710" s="330">
        <f t="shared" si="664"/>
        <v>0</v>
      </c>
    </row>
    <row r="711" spans="1:27" ht="28.35" customHeight="1" thickBot="1">
      <c r="A711" s="332">
        <v>24</v>
      </c>
      <c r="B711" s="299"/>
      <c r="C711" s="326" t="s">
        <v>1166</v>
      </c>
      <c r="D711" s="333" t="s">
        <v>364</v>
      </c>
      <c r="E711" s="327">
        <v>0</v>
      </c>
      <c r="F711" s="327">
        <v>0</v>
      </c>
      <c r="G711" s="327">
        <v>0</v>
      </c>
      <c r="H711" s="341">
        <f t="shared" si="665"/>
        <v>0</v>
      </c>
      <c r="I711" s="328" t="e">
        <f t="shared" si="656"/>
        <v>#DIV/0!</v>
      </c>
      <c r="J711" s="327">
        <v>0</v>
      </c>
      <c r="K711" s="327">
        <v>0</v>
      </c>
      <c r="L711" s="327">
        <v>0</v>
      </c>
      <c r="M711" s="341">
        <f t="shared" si="657"/>
        <v>0</v>
      </c>
      <c r="N711" s="328" t="e">
        <f t="shared" si="658"/>
        <v>#DIV/0!</v>
      </c>
      <c r="O711" s="327">
        <v>0</v>
      </c>
      <c r="P711" s="327">
        <v>0</v>
      </c>
      <c r="Q711" s="327">
        <v>0</v>
      </c>
      <c r="R711" s="341">
        <f t="shared" si="659"/>
        <v>0</v>
      </c>
      <c r="S711" s="328" t="e">
        <f t="shared" si="660"/>
        <v>#DIV/0!</v>
      </c>
      <c r="T711" s="327">
        <v>0</v>
      </c>
      <c r="U711" s="327">
        <v>0</v>
      </c>
      <c r="V711" s="327">
        <v>0</v>
      </c>
      <c r="W711" s="341">
        <f t="shared" si="661"/>
        <v>0</v>
      </c>
      <c r="X711" s="328" t="e">
        <f t="shared" si="662"/>
        <v>#DIV/0!</v>
      </c>
      <c r="Y711" s="328">
        <f t="shared" si="663"/>
        <v>0</v>
      </c>
      <c r="Z711" s="329" t="e">
        <f>2000/Y711</f>
        <v>#DIV/0!</v>
      </c>
      <c r="AA711" s="330" t="e">
        <f t="shared" si="664"/>
        <v>#DIV/0!</v>
      </c>
    </row>
    <row r="712" spans="1:27" ht="28.35" customHeight="1">
      <c r="A712" s="325">
        <v>25</v>
      </c>
      <c r="B712" s="299"/>
      <c r="C712" s="326" t="s">
        <v>1167</v>
      </c>
      <c r="D712" s="333" t="s">
        <v>420</v>
      </c>
      <c r="E712" s="327">
        <v>0</v>
      </c>
      <c r="F712" s="327">
        <v>0</v>
      </c>
      <c r="G712" s="327">
        <v>0</v>
      </c>
      <c r="H712" s="341">
        <f t="shared" si="665"/>
        <v>0</v>
      </c>
      <c r="I712" s="328" t="e">
        <f t="shared" si="656"/>
        <v>#DIV/0!</v>
      </c>
      <c r="J712" s="327">
        <v>0</v>
      </c>
      <c r="K712" s="327">
        <v>0</v>
      </c>
      <c r="L712" s="327">
        <v>0</v>
      </c>
      <c r="M712" s="341">
        <f t="shared" si="657"/>
        <v>0</v>
      </c>
      <c r="N712" s="328" t="e">
        <f t="shared" si="658"/>
        <v>#DIV/0!</v>
      </c>
      <c r="O712" s="327">
        <v>0</v>
      </c>
      <c r="P712" s="327">
        <v>0</v>
      </c>
      <c r="Q712" s="327">
        <v>0</v>
      </c>
      <c r="R712" s="341">
        <f t="shared" si="659"/>
        <v>0</v>
      </c>
      <c r="S712" s="328" t="e">
        <f t="shared" si="660"/>
        <v>#DIV/0!</v>
      </c>
      <c r="T712" s="327">
        <v>0</v>
      </c>
      <c r="U712" s="327">
        <v>0</v>
      </c>
      <c r="V712" s="327">
        <v>0</v>
      </c>
      <c r="W712" s="341">
        <f t="shared" si="661"/>
        <v>0</v>
      </c>
      <c r="X712" s="328" t="e">
        <f t="shared" si="662"/>
        <v>#DIV/0!</v>
      </c>
      <c r="Y712" s="328">
        <f t="shared" si="663"/>
        <v>0</v>
      </c>
      <c r="Z712" s="329" t="e">
        <f>1500/Y712</f>
        <v>#DIV/0!</v>
      </c>
      <c r="AA712" s="330" t="e">
        <f t="shared" si="664"/>
        <v>#DIV/0!</v>
      </c>
    </row>
    <row r="713" spans="1:27" ht="28.35" customHeight="1">
      <c r="A713" s="331">
        <v>26</v>
      </c>
      <c r="B713" s="299"/>
      <c r="C713" s="326" t="s">
        <v>1168</v>
      </c>
      <c r="D713" s="333" t="s">
        <v>420</v>
      </c>
      <c r="E713" s="327">
        <v>0</v>
      </c>
      <c r="F713" s="327">
        <v>0</v>
      </c>
      <c r="G713" s="327">
        <v>0</v>
      </c>
      <c r="H713" s="341">
        <f t="shared" si="665"/>
        <v>0</v>
      </c>
      <c r="I713" s="328" t="e">
        <f t="shared" si="656"/>
        <v>#DIV/0!</v>
      </c>
      <c r="J713" s="327">
        <v>0</v>
      </c>
      <c r="K713" s="327">
        <v>0</v>
      </c>
      <c r="L713" s="327">
        <v>0</v>
      </c>
      <c r="M713" s="341">
        <f t="shared" si="657"/>
        <v>0</v>
      </c>
      <c r="N713" s="328" t="e">
        <f t="shared" si="658"/>
        <v>#DIV/0!</v>
      </c>
      <c r="O713" s="327">
        <v>0</v>
      </c>
      <c r="P713" s="327">
        <v>0</v>
      </c>
      <c r="Q713" s="327">
        <v>0</v>
      </c>
      <c r="R713" s="341">
        <f t="shared" si="659"/>
        <v>0</v>
      </c>
      <c r="S713" s="328" t="e">
        <f t="shared" si="660"/>
        <v>#DIV/0!</v>
      </c>
      <c r="T713" s="327">
        <v>0</v>
      </c>
      <c r="U713" s="327">
        <v>0</v>
      </c>
      <c r="V713" s="327">
        <v>0</v>
      </c>
      <c r="W713" s="341">
        <f t="shared" si="661"/>
        <v>0</v>
      </c>
      <c r="X713" s="328" t="e">
        <f t="shared" si="662"/>
        <v>#DIV/0!</v>
      </c>
      <c r="Y713" s="328">
        <f t="shared" si="663"/>
        <v>0</v>
      </c>
      <c r="Z713" s="329" t="e">
        <f>6500/Y713</f>
        <v>#DIV/0!</v>
      </c>
      <c r="AA713" s="330" t="e">
        <f t="shared" si="664"/>
        <v>#DIV/0!</v>
      </c>
    </row>
    <row r="714" spans="1:27" ht="28.35" customHeight="1" thickBot="1">
      <c r="A714" s="332">
        <v>27</v>
      </c>
      <c r="B714" s="299"/>
      <c r="C714" s="326" t="s">
        <v>1169</v>
      </c>
      <c r="D714" s="333" t="s">
        <v>420</v>
      </c>
      <c r="E714" s="327">
        <v>0</v>
      </c>
      <c r="F714" s="327">
        <v>0</v>
      </c>
      <c r="G714" s="327">
        <v>0</v>
      </c>
      <c r="H714" s="341">
        <f t="shared" si="665"/>
        <v>0</v>
      </c>
      <c r="I714" s="328" t="e">
        <f t="shared" si="656"/>
        <v>#DIV/0!</v>
      </c>
      <c r="J714" s="327">
        <v>0</v>
      </c>
      <c r="K714" s="327">
        <v>0</v>
      </c>
      <c r="L714" s="327">
        <v>0</v>
      </c>
      <c r="M714" s="341">
        <f t="shared" si="657"/>
        <v>0</v>
      </c>
      <c r="N714" s="328" t="e">
        <f t="shared" si="658"/>
        <v>#DIV/0!</v>
      </c>
      <c r="O714" s="327">
        <v>0</v>
      </c>
      <c r="P714" s="327">
        <v>0</v>
      </c>
      <c r="Q714" s="327">
        <v>0</v>
      </c>
      <c r="R714" s="341">
        <f t="shared" si="659"/>
        <v>0</v>
      </c>
      <c r="S714" s="328" t="e">
        <f t="shared" si="660"/>
        <v>#DIV/0!</v>
      </c>
      <c r="T714" s="327">
        <v>0</v>
      </c>
      <c r="U714" s="327">
        <v>0</v>
      </c>
      <c r="V714" s="327">
        <v>0</v>
      </c>
      <c r="W714" s="341">
        <f t="shared" si="661"/>
        <v>0</v>
      </c>
      <c r="X714" s="328" t="e">
        <f t="shared" si="662"/>
        <v>#DIV/0!</v>
      </c>
      <c r="Y714" s="328">
        <f t="shared" si="663"/>
        <v>0</v>
      </c>
      <c r="Z714" s="329" t="e">
        <f>15000/Y714</f>
        <v>#DIV/0!</v>
      </c>
      <c r="AA714" s="330" t="e">
        <f t="shared" si="664"/>
        <v>#DIV/0!</v>
      </c>
    </row>
    <row r="715" spans="1:27" ht="28.35" customHeight="1">
      <c r="A715" s="325">
        <v>28</v>
      </c>
      <c r="B715" s="299"/>
      <c r="C715" s="326" t="s">
        <v>1170</v>
      </c>
      <c r="D715" s="333" t="s">
        <v>420</v>
      </c>
      <c r="E715" s="327">
        <f>0</f>
        <v>0</v>
      </c>
      <c r="F715" s="327">
        <v>0</v>
      </c>
      <c r="G715" s="327">
        <v>0</v>
      </c>
      <c r="H715" s="341">
        <f>SUM(E715:G715)</f>
        <v>0</v>
      </c>
      <c r="I715" s="328">
        <f>H715*$Z715</f>
        <v>0</v>
      </c>
      <c r="J715" s="327">
        <f>0</f>
        <v>0</v>
      </c>
      <c r="K715" s="327">
        <f>0</f>
        <v>0</v>
      </c>
      <c r="L715" s="327">
        <f>0</f>
        <v>0</v>
      </c>
      <c r="M715" s="341">
        <f>SUM(J715:L715)</f>
        <v>0</v>
      </c>
      <c r="N715" s="328">
        <f>M715*$Z715</f>
        <v>0</v>
      </c>
      <c r="O715" s="327">
        <f>0</f>
        <v>0</v>
      </c>
      <c r="P715" s="327">
        <f>0</f>
        <v>0</v>
      </c>
      <c r="Q715" s="327">
        <f>0</f>
        <v>0</v>
      </c>
      <c r="R715" s="341">
        <f>SUM(O715:Q715)</f>
        <v>0</v>
      </c>
      <c r="S715" s="328">
        <f>R715*$Z715</f>
        <v>0</v>
      </c>
      <c r="T715" s="327">
        <f>0</f>
        <v>0</v>
      </c>
      <c r="U715" s="327">
        <f>0</f>
        <v>0</v>
      </c>
      <c r="V715" s="327">
        <f>0</f>
        <v>0</v>
      </c>
      <c r="W715" s="341">
        <f>SUM(T715:V715)</f>
        <v>0</v>
      </c>
      <c r="X715" s="328">
        <f>W715*$Z715</f>
        <v>0</v>
      </c>
      <c r="Y715" s="328">
        <f>H715+M715+R715+W715</f>
        <v>0</v>
      </c>
      <c r="Z715" s="329">
        <f>10000/2</f>
        <v>5000</v>
      </c>
      <c r="AA715" s="330">
        <f>Y715*Z715</f>
        <v>0</v>
      </c>
    </row>
    <row r="716" spans="1:27" ht="28.35" customHeight="1">
      <c r="A716" s="331">
        <v>29</v>
      </c>
      <c r="B716" s="299"/>
      <c r="C716" s="326" t="s">
        <v>1171</v>
      </c>
      <c r="D716" s="333" t="s">
        <v>364</v>
      </c>
      <c r="E716" s="327">
        <f>0</f>
        <v>0</v>
      </c>
      <c r="F716" s="327">
        <v>0</v>
      </c>
      <c r="G716" s="327">
        <v>0</v>
      </c>
      <c r="H716" s="341">
        <f t="shared" ref="H716:H717" si="666">SUM(E716:G716)</f>
        <v>0</v>
      </c>
      <c r="I716" s="328">
        <f t="shared" ref="I716:I719" si="667">H716*$Z716</f>
        <v>0</v>
      </c>
      <c r="J716" s="327">
        <f>0</f>
        <v>0</v>
      </c>
      <c r="K716" s="327">
        <f>0</f>
        <v>0</v>
      </c>
      <c r="L716" s="327">
        <f>3</f>
        <v>3</v>
      </c>
      <c r="M716" s="341">
        <f t="shared" ref="M716:M719" si="668">SUM(J716:L716)</f>
        <v>3</v>
      </c>
      <c r="N716" s="328">
        <f t="shared" ref="N716:N719" si="669">M716*$Z716</f>
        <v>3000</v>
      </c>
      <c r="O716" s="327">
        <f>0</f>
        <v>0</v>
      </c>
      <c r="P716" s="327">
        <f>0</f>
        <v>0</v>
      </c>
      <c r="Q716" s="327">
        <f>0</f>
        <v>0</v>
      </c>
      <c r="R716" s="341">
        <f t="shared" ref="R716:R719" si="670">SUM(O716:Q716)</f>
        <v>0</v>
      </c>
      <c r="S716" s="328">
        <f t="shared" ref="S716:S719" si="671">R716*$Z716</f>
        <v>0</v>
      </c>
      <c r="T716" s="327">
        <f>0</f>
        <v>0</v>
      </c>
      <c r="U716" s="327">
        <f>0</f>
        <v>0</v>
      </c>
      <c r="V716" s="327">
        <f>0</f>
        <v>0</v>
      </c>
      <c r="W716" s="341">
        <f t="shared" ref="W716:W719" si="672">SUM(T716:V716)</f>
        <v>0</v>
      </c>
      <c r="X716" s="328">
        <f t="shared" ref="X716:X719" si="673">W716*$Z716</f>
        <v>0</v>
      </c>
      <c r="Y716" s="328">
        <f t="shared" ref="Y716:Y719" si="674">H716+M716+R716+W716</f>
        <v>3</v>
      </c>
      <c r="Z716" s="329">
        <f>3000/3</f>
        <v>1000</v>
      </c>
      <c r="AA716" s="330">
        <f t="shared" ref="AA716:AA719" si="675">Y716*Z716</f>
        <v>3000</v>
      </c>
    </row>
    <row r="717" spans="1:27" ht="28.35" customHeight="1">
      <c r="A717" s="332">
        <v>30</v>
      </c>
      <c r="B717" s="299"/>
      <c r="C717" s="326" t="s">
        <v>1171</v>
      </c>
      <c r="D717" s="333" t="s">
        <v>364</v>
      </c>
      <c r="E717" s="327">
        <v>0</v>
      </c>
      <c r="F717" s="327">
        <v>0</v>
      </c>
      <c r="G717" s="327">
        <v>0</v>
      </c>
      <c r="H717" s="341">
        <f t="shared" si="666"/>
        <v>0</v>
      </c>
      <c r="I717" s="328">
        <f t="shared" si="667"/>
        <v>0</v>
      </c>
      <c r="J717" s="327">
        <f>0</f>
        <v>0</v>
      </c>
      <c r="K717" s="327">
        <f>0</f>
        <v>0</v>
      </c>
      <c r="L717" s="327">
        <f>0</f>
        <v>0</v>
      </c>
      <c r="M717" s="341">
        <f t="shared" si="668"/>
        <v>0</v>
      </c>
      <c r="N717" s="328">
        <f t="shared" si="669"/>
        <v>0</v>
      </c>
      <c r="O717" s="327">
        <f>0</f>
        <v>0</v>
      </c>
      <c r="P717" s="327">
        <f>0</f>
        <v>0</v>
      </c>
      <c r="Q717" s="327">
        <f>0</f>
        <v>0</v>
      </c>
      <c r="R717" s="341">
        <f t="shared" si="670"/>
        <v>0</v>
      </c>
      <c r="S717" s="328">
        <f t="shared" si="671"/>
        <v>0</v>
      </c>
      <c r="T717" s="327">
        <f>0</f>
        <v>0</v>
      </c>
      <c r="U717" s="327">
        <f>0</f>
        <v>0</v>
      </c>
      <c r="V717" s="327">
        <f>0</f>
        <v>0</v>
      </c>
      <c r="W717" s="341">
        <f t="shared" si="672"/>
        <v>0</v>
      </c>
      <c r="X717" s="328">
        <f t="shared" si="673"/>
        <v>0</v>
      </c>
      <c r="Y717" s="328">
        <f t="shared" si="674"/>
        <v>0</v>
      </c>
      <c r="Z717" s="329">
        <f>28000/8</f>
        <v>3500</v>
      </c>
      <c r="AA717" s="330">
        <f t="shared" si="675"/>
        <v>0</v>
      </c>
    </row>
    <row r="718" spans="1:27" ht="28.35" customHeight="1" thickBot="1">
      <c r="A718" s="332">
        <v>30</v>
      </c>
      <c r="B718" s="299"/>
      <c r="C718" s="655" t="s">
        <v>1171</v>
      </c>
      <c r="D718" s="333" t="s">
        <v>364</v>
      </c>
      <c r="E718" s="327">
        <v>0</v>
      </c>
      <c r="F718" s="327">
        <v>0</v>
      </c>
      <c r="G718" s="327">
        <f>8</f>
        <v>8</v>
      </c>
      <c r="H718" s="341">
        <f t="shared" ref="H718" si="676">SUM(E718:G718)</f>
        <v>8</v>
      </c>
      <c r="I718" s="328">
        <f t="shared" ref="I718" si="677">H718*$Z718</f>
        <v>28000</v>
      </c>
      <c r="J718" s="327">
        <f>0</f>
        <v>0</v>
      </c>
      <c r="K718" s="327">
        <f>0</f>
        <v>0</v>
      </c>
      <c r="L718" s="327">
        <f>0</f>
        <v>0</v>
      </c>
      <c r="M718" s="341">
        <f t="shared" ref="M718" si="678">SUM(J718:L718)</f>
        <v>0</v>
      </c>
      <c r="N718" s="328">
        <f t="shared" ref="N718" si="679">M718*$Z718</f>
        <v>0</v>
      </c>
      <c r="O718" s="327">
        <f>0</f>
        <v>0</v>
      </c>
      <c r="P718" s="327">
        <f>0</f>
        <v>0</v>
      </c>
      <c r="Q718" s="327">
        <f>0</f>
        <v>0</v>
      </c>
      <c r="R718" s="341">
        <f t="shared" ref="R718" si="680">SUM(O718:Q718)</f>
        <v>0</v>
      </c>
      <c r="S718" s="328">
        <f t="shared" ref="S718" si="681">R718*$Z718</f>
        <v>0</v>
      </c>
      <c r="T718" s="327">
        <f>0</f>
        <v>0</v>
      </c>
      <c r="U718" s="327">
        <f>0</f>
        <v>0</v>
      </c>
      <c r="V718" s="327">
        <f>0</f>
        <v>0</v>
      </c>
      <c r="W718" s="341">
        <f t="shared" ref="W718" si="682">SUM(T718:V718)</f>
        <v>0</v>
      </c>
      <c r="X718" s="328">
        <f t="shared" ref="X718" si="683">W718*$Z718</f>
        <v>0</v>
      </c>
      <c r="Y718" s="328">
        <f t="shared" ref="Y718" si="684">H718+M718+R718+W718</f>
        <v>8</v>
      </c>
      <c r="Z718" s="329">
        <f>28000/8</f>
        <v>3500</v>
      </c>
      <c r="AA718" s="330">
        <f t="shared" ref="AA718" si="685">Y718*Z718</f>
        <v>28000</v>
      </c>
    </row>
    <row r="719" spans="1:27" ht="28.35" customHeight="1">
      <c r="A719" s="325">
        <v>31</v>
      </c>
      <c r="B719" s="299"/>
      <c r="C719" s="326" t="s">
        <v>1172</v>
      </c>
      <c r="D719" s="333" t="s">
        <v>420</v>
      </c>
      <c r="E719" s="327">
        <v>0</v>
      </c>
      <c r="F719" s="327">
        <v>0</v>
      </c>
      <c r="G719" s="327">
        <v>0</v>
      </c>
      <c r="H719" s="341">
        <f t="shared" ref="H719" si="686">SUM(E719:G719)</f>
        <v>0</v>
      </c>
      <c r="I719" s="328" t="e">
        <f t="shared" si="667"/>
        <v>#DIV/0!</v>
      </c>
      <c r="J719" s="327">
        <v>0</v>
      </c>
      <c r="K719" s="327">
        <v>0</v>
      </c>
      <c r="L719" s="327">
        <v>0</v>
      </c>
      <c r="M719" s="341">
        <f t="shared" si="668"/>
        <v>0</v>
      </c>
      <c r="N719" s="328" t="e">
        <f t="shared" si="669"/>
        <v>#DIV/0!</v>
      </c>
      <c r="O719" s="327">
        <v>0</v>
      </c>
      <c r="P719" s="327">
        <v>0</v>
      </c>
      <c r="Q719" s="327">
        <v>0</v>
      </c>
      <c r="R719" s="341">
        <f t="shared" si="670"/>
        <v>0</v>
      </c>
      <c r="S719" s="328" t="e">
        <f t="shared" si="671"/>
        <v>#DIV/0!</v>
      </c>
      <c r="T719" s="327">
        <v>0</v>
      </c>
      <c r="U719" s="327">
        <v>0</v>
      </c>
      <c r="V719" s="327">
        <v>0</v>
      </c>
      <c r="W719" s="341">
        <f t="shared" si="672"/>
        <v>0</v>
      </c>
      <c r="X719" s="328" t="e">
        <f t="shared" si="673"/>
        <v>#DIV/0!</v>
      </c>
      <c r="Y719" s="328">
        <f t="shared" si="674"/>
        <v>0</v>
      </c>
      <c r="Z719" s="329" t="e">
        <f>10500/Y719</f>
        <v>#DIV/0!</v>
      </c>
      <c r="AA719" s="330" t="e">
        <f t="shared" si="675"/>
        <v>#DIV/0!</v>
      </c>
    </row>
    <row r="720" spans="1:27" ht="28.35" customHeight="1">
      <c r="A720" s="331">
        <v>32</v>
      </c>
      <c r="B720" s="299"/>
      <c r="C720" s="326" t="s">
        <v>1173</v>
      </c>
      <c r="D720" s="333" t="s">
        <v>364</v>
      </c>
      <c r="E720" s="327">
        <v>0</v>
      </c>
      <c r="F720" s="327">
        <v>0</v>
      </c>
      <c r="G720" s="327">
        <v>0</v>
      </c>
      <c r="H720" s="341">
        <f>SUM(E720:G720)</f>
        <v>0</v>
      </c>
      <c r="I720" s="328">
        <f>H720*$Z720</f>
        <v>0</v>
      </c>
      <c r="J720" s="327">
        <v>0</v>
      </c>
      <c r="K720" s="327">
        <v>0</v>
      </c>
      <c r="L720" s="327">
        <v>0</v>
      </c>
      <c r="M720" s="341">
        <f>SUM(J720:L720)</f>
        <v>0</v>
      </c>
      <c r="N720" s="328">
        <f>M720*$Z720</f>
        <v>0</v>
      </c>
      <c r="O720" s="327">
        <v>0</v>
      </c>
      <c r="P720" s="327">
        <v>0</v>
      </c>
      <c r="Q720" s="327">
        <v>0</v>
      </c>
      <c r="R720" s="341">
        <f>SUM(O720:Q720)</f>
        <v>0</v>
      </c>
      <c r="S720" s="328">
        <f>R720*$Z720</f>
        <v>0</v>
      </c>
      <c r="T720" s="327">
        <v>0</v>
      </c>
      <c r="U720" s="327">
        <v>0</v>
      </c>
      <c r="V720" s="327">
        <v>0</v>
      </c>
      <c r="W720" s="341">
        <f>SUM(T720:V720)</f>
        <v>0</v>
      </c>
      <c r="X720" s="328">
        <f>W720*$Z720</f>
        <v>0</v>
      </c>
      <c r="Y720" s="328">
        <f>H720+M720+R720+W720</f>
        <v>0</v>
      </c>
      <c r="Z720" s="329">
        <f>1200/1</f>
        <v>1200</v>
      </c>
      <c r="AA720" s="330">
        <f>Y720*Z720</f>
        <v>0</v>
      </c>
    </row>
    <row r="721" spans="1:27" ht="28.35" customHeight="1" thickBot="1">
      <c r="A721" s="332">
        <v>33</v>
      </c>
      <c r="B721" s="299"/>
      <c r="C721" s="326" t="s">
        <v>1174</v>
      </c>
      <c r="D721" s="333" t="s">
        <v>364</v>
      </c>
      <c r="E721" s="327">
        <v>0</v>
      </c>
      <c r="F721" s="327">
        <v>0</v>
      </c>
      <c r="G721" s="327">
        <v>0</v>
      </c>
      <c r="H721" s="341">
        <f t="shared" ref="H721" si="687">SUM(E721:G721)</f>
        <v>0</v>
      </c>
      <c r="I721" s="328">
        <f t="shared" ref="I721" si="688">H721*$Z721</f>
        <v>0</v>
      </c>
      <c r="J721" s="327">
        <v>0</v>
      </c>
      <c r="K721" s="327">
        <v>0</v>
      </c>
      <c r="L721" s="327">
        <v>0</v>
      </c>
      <c r="M721" s="341">
        <f t="shared" ref="M721" si="689">SUM(J721:L721)</f>
        <v>0</v>
      </c>
      <c r="N721" s="328">
        <f t="shared" ref="N721" si="690">M721*$Z721</f>
        <v>0</v>
      </c>
      <c r="O721" s="327">
        <v>0</v>
      </c>
      <c r="P721" s="327">
        <v>0</v>
      </c>
      <c r="Q721" s="327">
        <v>0</v>
      </c>
      <c r="R721" s="341">
        <f t="shared" ref="R721" si="691">SUM(O721:Q721)</f>
        <v>0</v>
      </c>
      <c r="S721" s="328">
        <f t="shared" ref="S721" si="692">R721*$Z721</f>
        <v>0</v>
      </c>
      <c r="T721" s="327">
        <v>0</v>
      </c>
      <c r="U721" s="327">
        <v>0</v>
      </c>
      <c r="V721" s="327">
        <v>0</v>
      </c>
      <c r="W721" s="341">
        <f t="shared" ref="W721" si="693">SUM(T721:V721)</f>
        <v>0</v>
      </c>
      <c r="X721" s="328">
        <f t="shared" ref="X721" si="694">W721*$Z721</f>
        <v>0</v>
      </c>
      <c r="Y721" s="328">
        <f t="shared" ref="Y721:Y722" si="695">H721+M721+R721+W721</f>
        <v>0</v>
      </c>
      <c r="Z721" s="329">
        <f>1500/1</f>
        <v>1500</v>
      </c>
      <c r="AA721" s="330">
        <f t="shared" ref="AA721:AA722" si="696">Y721*Z721</f>
        <v>0</v>
      </c>
    </row>
    <row r="722" spans="1:27" ht="28.35" customHeight="1">
      <c r="A722" s="325">
        <v>34</v>
      </c>
      <c r="B722" s="299"/>
      <c r="C722" s="326" t="s">
        <v>1175</v>
      </c>
      <c r="D722" s="333" t="s">
        <v>420</v>
      </c>
      <c r="E722" s="327">
        <v>0</v>
      </c>
      <c r="F722" s="327">
        <v>0</v>
      </c>
      <c r="G722" s="327">
        <v>0</v>
      </c>
      <c r="H722" s="341">
        <f t="shared" ref="H722" si="697">SUM(E722:G722)</f>
        <v>0</v>
      </c>
      <c r="I722" s="328" t="e">
        <f>H722*$Z722</f>
        <v>#DIV/0!</v>
      </c>
      <c r="J722" s="327">
        <v>0</v>
      </c>
      <c r="K722" s="327">
        <v>0</v>
      </c>
      <c r="L722" s="327">
        <v>0</v>
      </c>
      <c r="M722" s="341">
        <f t="shared" ref="M722" si="698">SUM(J722:L722)</f>
        <v>0</v>
      </c>
      <c r="N722" s="328" t="e">
        <f>M722*$Z722</f>
        <v>#DIV/0!</v>
      </c>
      <c r="O722" s="327">
        <v>0</v>
      </c>
      <c r="P722" s="327">
        <v>0</v>
      </c>
      <c r="Q722" s="327">
        <v>0</v>
      </c>
      <c r="R722" s="341">
        <f t="shared" ref="R722" si="699">SUM(O722:Q722)</f>
        <v>0</v>
      </c>
      <c r="S722" s="328" t="e">
        <f>R722*$Z722</f>
        <v>#DIV/0!</v>
      </c>
      <c r="T722" s="327">
        <v>0</v>
      </c>
      <c r="U722" s="327">
        <v>0</v>
      </c>
      <c r="V722" s="327">
        <v>0</v>
      </c>
      <c r="W722" s="341">
        <f t="shared" ref="W722" si="700">SUM(T722:V722)</f>
        <v>0</v>
      </c>
      <c r="X722" s="328" t="e">
        <f>W722*$Z722</f>
        <v>#DIV/0!</v>
      </c>
      <c r="Y722" s="328">
        <f t="shared" si="695"/>
        <v>0</v>
      </c>
      <c r="Z722" s="329" t="e">
        <f>12700/Y722</f>
        <v>#DIV/0!</v>
      </c>
      <c r="AA722" s="330" t="e">
        <f t="shared" si="696"/>
        <v>#DIV/0!</v>
      </c>
    </row>
    <row r="723" spans="1:27" ht="28.35" customHeight="1">
      <c r="A723" s="331">
        <v>35</v>
      </c>
      <c r="B723" s="299"/>
      <c r="C723" s="326" t="s">
        <v>1176</v>
      </c>
      <c r="D723" s="333" t="s">
        <v>420</v>
      </c>
      <c r="E723" s="327">
        <v>0</v>
      </c>
      <c r="F723" s="327">
        <v>0</v>
      </c>
      <c r="G723" s="327">
        <v>0</v>
      </c>
      <c r="H723" s="341">
        <f>SUM(E723:G723)</f>
        <v>0</v>
      </c>
      <c r="I723" s="328">
        <f>H723*$Z723</f>
        <v>0</v>
      </c>
      <c r="J723" s="327">
        <f t="shared" si="629"/>
        <v>0</v>
      </c>
      <c r="K723" s="327">
        <f t="shared" si="629"/>
        <v>0</v>
      </c>
      <c r="L723" s="327">
        <f t="shared" si="629"/>
        <v>0</v>
      </c>
      <c r="M723" s="341">
        <f>SUM(J723:L723)</f>
        <v>0</v>
      </c>
      <c r="N723" s="328">
        <f>M723*$Z723</f>
        <v>0</v>
      </c>
      <c r="O723" s="327">
        <f t="shared" si="631"/>
        <v>0</v>
      </c>
      <c r="P723" s="327">
        <f t="shared" si="631"/>
        <v>0</v>
      </c>
      <c r="Q723" s="327">
        <f t="shared" si="631"/>
        <v>0</v>
      </c>
      <c r="R723" s="341">
        <f>SUM(O723:Q723)</f>
        <v>0</v>
      </c>
      <c r="S723" s="328">
        <f>R723*$Z723</f>
        <v>0</v>
      </c>
      <c r="T723" s="327">
        <f t="shared" si="633"/>
        <v>0</v>
      </c>
      <c r="U723" s="327">
        <f t="shared" si="633"/>
        <v>0</v>
      </c>
      <c r="V723" s="327">
        <f t="shared" si="633"/>
        <v>0</v>
      </c>
      <c r="W723" s="341">
        <f>SUM(T723:V723)</f>
        <v>0</v>
      </c>
      <c r="X723" s="328">
        <f>W723*$Z723</f>
        <v>0</v>
      </c>
      <c r="Y723" s="328">
        <f>H723+M723+R723+W723</f>
        <v>0</v>
      </c>
      <c r="Z723" s="329">
        <f>9000/3</f>
        <v>3000</v>
      </c>
      <c r="AA723" s="330">
        <f>Y723*Z723</f>
        <v>0</v>
      </c>
    </row>
    <row r="724" spans="1:27" ht="28.35" customHeight="1">
      <c r="A724" s="332">
        <v>36</v>
      </c>
      <c r="B724" s="299"/>
      <c r="C724" s="326" t="s">
        <v>1177</v>
      </c>
      <c r="D724" s="333" t="s">
        <v>420</v>
      </c>
      <c r="E724" s="327">
        <v>0</v>
      </c>
      <c r="F724" s="327">
        <v>0</v>
      </c>
      <c r="G724" s="327">
        <v>8</v>
      </c>
      <c r="H724" s="341">
        <f t="shared" ref="H724" si="701">SUM(E724:G724)</f>
        <v>8</v>
      </c>
      <c r="I724" s="328">
        <f t="shared" ref="I724:I728" si="702">H724*$Z724</f>
        <v>32000</v>
      </c>
      <c r="J724" s="327">
        <f t="shared" si="629"/>
        <v>0</v>
      </c>
      <c r="K724" s="327">
        <f t="shared" si="629"/>
        <v>0</v>
      </c>
      <c r="L724" s="327">
        <f t="shared" si="629"/>
        <v>0</v>
      </c>
      <c r="M724" s="341">
        <f t="shared" ref="M724:M728" si="703">SUM(J724:L724)</f>
        <v>0</v>
      </c>
      <c r="N724" s="328">
        <f t="shared" ref="N724:N728" si="704">M724*$Z724</f>
        <v>0</v>
      </c>
      <c r="O724" s="327">
        <f t="shared" si="631"/>
        <v>0</v>
      </c>
      <c r="P724" s="327">
        <f t="shared" si="631"/>
        <v>0</v>
      </c>
      <c r="Q724" s="327">
        <f t="shared" si="631"/>
        <v>0</v>
      </c>
      <c r="R724" s="341">
        <f t="shared" ref="R724:R728" si="705">SUM(O724:Q724)</f>
        <v>0</v>
      </c>
      <c r="S724" s="328">
        <f t="shared" ref="S724:S728" si="706">R724*$Z724</f>
        <v>0</v>
      </c>
      <c r="T724" s="327">
        <f t="shared" si="633"/>
        <v>0</v>
      </c>
      <c r="U724" s="327">
        <f t="shared" si="633"/>
        <v>0</v>
      </c>
      <c r="V724" s="327">
        <f t="shared" si="633"/>
        <v>0</v>
      </c>
      <c r="W724" s="341">
        <f t="shared" ref="W724:W728" si="707">SUM(T724:V724)</f>
        <v>0</v>
      </c>
      <c r="X724" s="328">
        <f t="shared" ref="X724:X728" si="708">W724*$Z724</f>
        <v>0</v>
      </c>
      <c r="Y724" s="328">
        <f t="shared" ref="Y724:Y728" si="709">H724+M724+R724+W724</f>
        <v>8</v>
      </c>
      <c r="Z724" s="329">
        <v>4000</v>
      </c>
      <c r="AA724" s="330">
        <f t="shared" ref="AA724:AA728" si="710">Y724*Z724</f>
        <v>32000</v>
      </c>
    </row>
    <row r="725" spans="1:27" ht="28.35" customHeight="1" thickBot="1">
      <c r="A725" s="332">
        <v>36</v>
      </c>
      <c r="B725" s="299"/>
      <c r="C725" s="326" t="s">
        <v>1643</v>
      </c>
      <c r="D725" s="333" t="s">
        <v>420</v>
      </c>
      <c r="E725" s="327">
        <v>0</v>
      </c>
      <c r="F725" s="327">
        <v>0</v>
      </c>
      <c r="G725" s="327">
        <v>4</v>
      </c>
      <c r="H725" s="341">
        <f t="shared" ref="H725" si="711">SUM(E725:G725)</f>
        <v>4</v>
      </c>
      <c r="I725" s="328">
        <f t="shared" ref="I725" si="712">H725*$Z725</f>
        <v>120000</v>
      </c>
      <c r="J725" s="327">
        <f t="shared" si="629"/>
        <v>0</v>
      </c>
      <c r="K725" s="327">
        <f t="shared" si="629"/>
        <v>0</v>
      </c>
      <c r="L725" s="327">
        <f t="shared" si="629"/>
        <v>0</v>
      </c>
      <c r="M725" s="341">
        <f t="shared" ref="M725" si="713">SUM(J725:L725)</f>
        <v>0</v>
      </c>
      <c r="N725" s="328">
        <f t="shared" ref="N725" si="714">M725*$Z725</f>
        <v>0</v>
      </c>
      <c r="O725" s="327">
        <f t="shared" si="631"/>
        <v>0</v>
      </c>
      <c r="P725" s="327">
        <f t="shared" si="631"/>
        <v>0</v>
      </c>
      <c r="Q725" s="327">
        <f t="shared" si="631"/>
        <v>0</v>
      </c>
      <c r="R725" s="341">
        <f t="shared" ref="R725" si="715">SUM(O725:Q725)</f>
        <v>0</v>
      </c>
      <c r="S725" s="328">
        <f t="shared" ref="S725" si="716">R725*$Z725</f>
        <v>0</v>
      </c>
      <c r="T725" s="327">
        <f t="shared" si="633"/>
        <v>0</v>
      </c>
      <c r="U725" s="327">
        <f t="shared" si="633"/>
        <v>0</v>
      </c>
      <c r="V725" s="327">
        <f t="shared" si="633"/>
        <v>0</v>
      </c>
      <c r="W725" s="341">
        <f t="shared" ref="W725" si="717">SUM(T725:V725)</f>
        <v>0</v>
      </c>
      <c r="X725" s="328">
        <f t="shared" ref="X725" si="718">W725*$Z725</f>
        <v>0</v>
      </c>
      <c r="Y725" s="328">
        <f t="shared" ref="Y725" si="719">H725+M725+R725+W725</f>
        <v>4</v>
      </c>
      <c r="Z725" s="329">
        <v>30000</v>
      </c>
      <c r="AA725" s="330">
        <f t="shared" ref="AA725" si="720">Y725*Z725</f>
        <v>120000</v>
      </c>
    </row>
    <row r="726" spans="1:27" ht="28.35" customHeight="1">
      <c r="A726" s="325">
        <v>37</v>
      </c>
      <c r="B726" s="299"/>
      <c r="C726" s="326" t="s">
        <v>1178</v>
      </c>
      <c r="D726" s="333" t="s">
        <v>331</v>
      </c>
      <c r="E726" s="327">
        <v>0</v>
      </c>
      <c r="F726" s="327">
        <v>0</v>
      </c>
      <c r="G726" s="327">
        <v>2</v>
      </c>
      <c r="H726" s="341">
        <f t="shared" ref="H726:H728" si="721">SUM(E726:G726)</f>
        <v>2</v>
      </c>
      <c r="I726" s="328">
        <f t="shared" si="702"/>
        <v>10000</v>
      </c>
      <c r="J726" s="327">
        <v>0</v>
      </c>
      <c r="K726" s="327">
        <v>0</v>
      </c>
      <c r="L726" s="327">
        <v>0</v>
      </c>
      <c r="M726" s="341">
        <f t="shared" si="703"/>
        <v>0</v>
      </c>
      <c r="N726" s="328">
        <f t="shared" si="704"/>
        <v>0</v>
      </c>
      <c r="O726" s="327">
        <v>0</v>
      </c>
      <c r="P726" s="327">
        <v>0</v>
      </c>
      <c r="Q726" s="327">
        <v>0</v>
      </c>
      <c r="R726" s="341">
        <f t="shared" si="705"/>
        <v>0</v>
      </c>
      <c r="S726" s="328">
        <f t="shared" si="706"/>
        <v>0</v>
      </c>
      <c r="T726" s="327">
        <v>0</v>
      </c>
      <c r="U726" s="327">
        <v>0</v>
      </c>
      <c r="V726" s="327">
        <v>0</v>
      </c>
      <c r="W726" s="341">
        <f t="shared" si="707"/>
        <v>0</v>
      </c>
      <c r="X726" s="328">
        <f t="shared" si="708"/>
        <v>0</v>
      </c>
      <c r="Y726" s="328">
        <f t="shared" si="709"/>
        <v>2</v>
      </c>
      <c r="Z726" s="329">
        <f>10000/Y726</f>
        <v>5000</v>
      </c>
      <c r="AA726" s="330">
        <f t="shared" si="710"/>
        <v>10000</v>
      </c>
    </row>
    <row r="727" spans="1:27" ht="28.35" customHeight="1">
      <c r="A727" s="331">
        <v>38</v>
      </c>
      <c r="B727" s="299"/>
      <c r="C727" s="326" t="s">
        <v>1179</v>
      </c>
      <c r="D727" s="333" t="s">
        <v>364</v>
      </c>
      <c r="E727" s="327">
        <v>0</v>
      </c>
      <c r="F727" s="327">
        <v>0</v>
      </c>
      <c r="G727" s="327">
        <v>0</v>
      </c>
      <c r="H727" s="341">
        <f t="shared" si="721"/>
        <v>0</v>
      </c>
      <c r="I727" s="328" t="e">
        <f t="shared" si="702"/>
        <v>#DIV/0!</v>
      </c>
      <c r="J727" s="327">
        <v>0</v>
      </c>
      <c r="K727" s="327">
        <v>0</v>
      </c>
      <c r="L727" s="327">
        <v>0</v>
      </c>
      <c r="M727" s="341">
        <f t="shared" si="703"/>
        <v>0</v>
      </c>
      <c r="N727" s="328" t="e">
        <f t="shared" si="704"/>
        <v>#DIV/0!</v>
      </c>
      <c r="O727" s="327">
        <v>0</v>
      </c>
      <c r="P727" s="327">
        <v>0</v>
      </c>
      <c r="Q727" s="327">
        <v>0</v>
      </c>
      <c r="R727" s="341">
        <f t="shared" si="705"/>
        <v>0</v>
      </c>
      <c r="S727" s="328" t="e">
        <f t="shared" si="706"/>
        <v>#DIV/0!</v>
      </c>
      <c r="T727" s="327">
        <v>0</v>
      </c>
      <c r="U727" s="327">
        <v>0</v>
      </c>
      <c r="V727" s="327">
        <v>0</v>
      </c>
      <c r="W727" s="341">
        <f t="shared" si="707"/>
        <v>0</v>
      </c>
      <c r="X727" s="328" t="e">
        <f t="shared" si="708"/>
        <v>#DIV/0!</v>
      </c>
      <c r="Y727" s="328">
        <f t="shared" si="709"/>
        <v>0</v>
      </c>
      <c r="Z727" s="329" t="e">
        <f>1000/Y727</f>
        <v>#DIV/0!</v>
      </c>
      <c r="AA727" s="330" t="e">
        <f t="shared" si="710"/>
        <v>#DIV/0!</v>
      </c>
    </row>
    <row r="728" spans="1:27" ht="28.35" customHeight="1" thickBot="1">
      <c r="A728" s="332">
        <v>39</v>
      </c>
      <c r="B728" s="299"/>
      <c r="C728" s="326" t="s">
        <v>1180</v>
      </c>
      <c r="D728" s="333" t="s">
        <v>364</v>
      </c>
      <c r="E728" s="327">
        <v>0</v>
      </c>
      <c r="F728" s="327">
        <v>0</v>
      </c>
      <c r="G728" s="327">
        <v>0</v>
      </c>
      <c r="H728" s="341">
        <f t="shared" si="721"/>
        <v>0</v>
      </c>
      <c r="I728" s="328" t="e">
        <f t="shared" si="702"/>
        <v>#DIV/0!</v>
      </c>
      <c r="J728" s="327">
        <v>0</v>
      </c>
      <c r="K728" s="327">
        <v>0</v>
      </c>
      <c r="L728" s="327">
        <v>0</v>
      </c>
      <c r="M728" s="341">
        <f t="shared" si="703"/>
        <v>0</v>
      </c>
      <c r="N728" s="328" t="e">
        <f t="shared" si="704"/>
        <v>#DIV/0!</v>
      </c>
      <c r="O728" s="327">
        <v>0</v>
      </c>
      <c r="P728" s="327">
        <v>0</v>
      </c>
      <c r="Q728" s="327">
        <v>0</v>
      </c>
      <c r="R728" s="341">
        <f t="shared" si="705"/>
        <v>0</v>
      </c>
      <c r="S728" s="328" t="e">
        <f t="shared" si="706"/>
        <v>#DIV/0!</v>
      </c>
      <c r="T728" s="327">
        <v>0</v>
      </c>
      <c r="U728" s="327">
        <v>0</v>
      </c>
      <c r="V728" s="327">
        <v>0</v>
      </c>
      <c r="W728" s="341">
        <f t="shared" si="707"/>
        <v>0</v>
      </c>
      <c r="X728" s="328" t="e">
        <f t="shared" si="708"/>
        <v>#DIV/0!</v>
      </c>
      <c r="Y728" s="328">
        <f t="shared" si="709"/>
        <v>0</v>
      </c>
      <c r="Z728" s="329" t="e">
        <f>1000/Y728</f>
        <v>#DIV/0!</v>
      </c>
      <c r="AA728" s="330" t="e">
        <f t="shared" si="710"/>
        <v>#DIV/0!</v>
      </c>
    </row>
    <row r="729" spans="1:27" ht="28.35" customHeight="1">
      <c r="A729" s="325">
        <v>40</v>
      </c>
      <c r="B729" s="299"/>
      <c r="C729" s="326" t="s">
        <v>1181</v>
      </c>
      <c r="D729" s="333" t="s">
        <v>364</v>
      </c>
      <c r="E729" s="327">
        <v>0</v>
      </c>
      <c r="F729" s="327">
        <v>0</v>
      </c>
      <c r="G729" s="327">
        <v>0</v>
      </c>
      <c r="H729" s="341">
        <f>SUM(E729:G729)</f>
        <v>0</v>
      </c>
      <c r="I729" s="328">
        <f>H729*$Z729</f>
        <v>0</v>
      </c>
      <c r="J729" s="327">
        <v>0</v>
      </c>
      <c r="K729" s="327">
        <v>0</v>
      </c>
      <c r="L729" s="327">
        <v>0</v>
      </c>
      <c r="M729" s="341">
        <f>SUM(J729:L729)</f>
        <v>0</v>
      </c>
      <c r="N729" s="328">
        <f>M729*$Z729</f>
        <v>0</v>
      </c>
      <c r="O729" s="327">
        <v>0</v>
      </c>
      <c r="P729" s="327">
        <v>0</v>
      </c>
      <c r="Q729" s="327">
        <v>0</v>
      </c>
      <c r="R729" s="341">
        <f>SUM(O729:Q729)</f>
        <v>0</v>
      </c>
      <c r="S729" s="328">
        <f>R729*$Z729</f>
        <v>0</v>
      </c>
      <c r="T729" s="327">
        <v>0</v>
      </c>
      <c r="U729" s="327">
        <v>0</v>
      </c>
      <c r="V729" s="327">
        <v>0</v>
      </c>
      <c r="W729" s="341">
        <f>SUM(T729:V729)</f>
        <v>0</v>
      </c>
      <c r="X729" s="328">
        <f>W729*$Z729</f>
        <v>0</v>
      </c>
      <c r="Y729" s="328">
        <f>H729+M729+R729+W729</f>
        <v>0</v>
      </c>
      <c r="Z729" s="329">
        <f>7500/3</f>
        <v>2500</v>
      </c>
      <c r="AA729" s="330">
        <f>Y729*Z729</f>
        <v>0</v>
      </c>
    </row>
    <row r="730" spans="1:27" ht="28.35" customHeight="1">
      <c r="A730" s="331">
        <v>41</v>
      </c>
      <c r="B730" s="299"/>
      <c r="C730" s="326" t="s">
        <v>1182</v>
      </c>
      <c r="D730" s="333" t="s">
        <v>364</v>
      </c>
      <c r="E730" s="327">
        <v>0</v>
      </c>
      <c r="F730" s="327">
        <v>0</v>
      </c>
      <c r="G730" s="327">
        <v>0</v>
      </c>
      <c r="H730" s="341">
        <f t="shared" ref="H730" si="722">SUM(E730:G730)</f>
        <v>0</v>
      </c>
      <c r="I730" s="328" t="e">
        <f t="shared" ref="I730:I732" si="723">H730*$Z730</f>
        <v>#DIV/0!</v>
      </c>
      <c r="J730" s="327">
        <v>0</v>
      </c>
      <c r="K730" s="327">
        <v>0</v>
      </c>
      <c r="L730" s="327">
        <v>0</v>
      </c>
      <c r="M730" s="341">
        <f t="shared" ref="M730:M732" si="724">SUM(J730:L730)</f>
        <v>0</v>
      </c>
      <c r="N730" s="328" t="e">
        <f t="shared" ref="N730:N732" si="725">M730*$Z730</f>
        <v>#DIV/0!</v>
      </c>
      <c r="O730" s="327">
        <v>0</v>
      </c>
      <c r="P730" s="327">
        <v>0</v>
      </c>
      <c r="Q730" s="327">
        <v>0</v>
      </c>
      <c r="R730" s="341">
        <f t="shared" ref="R730:R732" si="726">SUM(O730:Q730)</f>
        <v>0</v>
      </c>
      <c r="S730" s="328" t="e">
        <f t="shared" ref="S730:S732" si="727">R730*$Z730</f>
        <v>#DIV/0!</v>
      </c>
      <c r="T730" s="327">
        <v>0</v>
      </c>
      <c r="U730" s="327">
        <v>0</v>
      </c>
      <c r="V730" s="327">
        <v>0</v>
      </c>
      <c r="W730" s="341">
        <f t="shared" ref="W730:W732" si="728">SUM(T730:V730)</f>
        <v>0</v>
      </c>
      <c r="X730" s="328" t="e">
        <f t="shared" ref="X730:X732" si="729">W730*$Z730</f>
        <v>#DIV/0!</v>
      </c>
      <c r="Y730" s="328">
        <f t="shared" ref="Y730:Y732" si="730">H730+M730+R730+W730</f>
        <v>0</v>
      </c>
      <c r="Z730" s="329" t="e">
        <f>2500/Y730</f>
        <v>#DIV/0!</v>
      </c>
      <c r="AA730" s="330" t="e">
        <f t="shared" ref="AA730:AA732" si="731">Y730*Z730</f>
        <v>#DIV/0!</v>
      </c>
    </row>
    <row r="731" spans="1:27" ht="28.35" customHeight="1" thickBot="1">
      <c r="A731" s="332">
        <v>42</v>
      </c>
      <c r="B731" s="299"/>
      <c r="C731" s="326" t="s">
        <v>1183</v>
      </c>
      <c r="D731" s="333" t="s">
        <v>364</v>
      </c>
      <c r="E731" s="327">
        <v>0</v>
      </c>
      <c r="F731" s="327">
        <v>0</v>
      </c>
      <c r="G731" s="327">
        <v>0</v>
      </c>
      <c r="H731" s="341">
        <f t="shared" ref="H731:H732" si="732">SUM(E731:G731)</f>
        <v>0</v>
      </c>
      <c r="I731" s="328">
        <f t="shared" si="723"/>
        <v>0</v>
      </c>
      <c r="J731" s="327">
        <v>0</v>
      </c>
      <c r="K731" s="327">
        <v>0</v>
      </c>
      <c r="L731" s="327">
        <v>0</v>
      </c>
      <c r="M731" s="341">
        <f t="shared" si="724"/>
        <v>0</v>
      </c>
      <c r="N731" s="328">
        <f t="shared" si="725"/>
        <v>0</v>
      </c>
      <c r="O731" s="327">
        <v>0</v>
      </c>
      <c r="P731" s="327">
        <v>0</v>
      </c>
      <c r="Q731" s="327">
        <v>0</v>
      </c>
      <c r="R731" s="341">
        <f t="shared" si="726"/>
        <v>0</v>
      </c>
      <c r="S731" s="328">
        <f t="shared" si="727"/>
        <v>0</v>
      </c>
      <c r="T731" s="327">
        <v>0</v>
      </c>
      <c r="U731" s="327">
        <v>0</v>
      </c>
      <c r="V731" s="327">
        <v>0</v>
      </c>
      <c r="W731" s="341">
        <f t="shared" si="728"/>
        <v>0</v>
      </c>
      <c r="X731" s="328">
        <f t="shared" si="729"/>
        <v>0</v>
      </c>
      <c r="Y731" s="328">
        <f t="shared" si="730"/>
        <v>0</v>
      </c>
      <c r="Z731" s="329">
        <v>3000</v>
      </c>
      <c r="AA731" s="330">
        <f t="shared" si="731"/>
        <v>0</v>
      </c>
    </row>
    <row r="732" spans="1:27" ht="28.35" customHeight="1" thickBot="1">
      <c r="A732" s="325">
        <v>43</v>
      </c>
      <c r="B732" s="299"/>
      <c r="C732" s="326" t="s">
        <v>1184</v>
      </c>
      <c r="D732" s="333" t="s">
        <v>364</v>
      </c>
      <c r="E732" s="327">
        <v>0</v>
      </c>
      <c r="F732" s="327">
        <v>0</v>
      </c>
      <c r="G732" s="327">
        <v>0</v>
      </c>
      <c r="H732" s="341">
        <f t="shared" si="732"/>
        <v>0</v>
      </c>
      <c r="I732" s="328">
        <f t="shared" si="723"/>
        <v>0</v>
      </c>
      <c r="J732" s="327">
        <v>0</v>
      </c>
      <c r="K732" s="327">
        <v>0</v>
      </c>
      <c r="L732" s="327">
        <v>0</v>
      </c>
      <c r="M732" s="341">
        <f t="shared" si="724"/>
        <v>0</v>
      </c>
      <c r="N732" s="328">
        <f t="shared" si="725"/>
        <v>0</v>
      </c>
      <c r="O732" s="327">
        <v>0</v>
      </c>
      <c r="P732" s="327">
        <v>0</v>
      </c>
      <c r="Q732" s="327">
        <v>0</v>
      </c>
      <c r="R732" s="341">
        <f t="shared" si="726"/>
        <v>0</v>
      </c>
      <c r="S732" s="328">
        <f t="shared" si="727"/>
        <v>0</v>
      </c>
      <c r="T732" s="327">
        <v>0</v>
      </c>
      <c r="U732" s="327">
        <v>0</v>
      </c>
      <c r="V732" s="327">
        <v>0</v>
      </c>
      <c r="W732" s="341">
        <f t="shared" si="728"/>
        <v>0</v>
      </c>
      <c r="X732" s="328">
        <f t="shared" si="729"/>
        <v>0</v>
      </c>
      <c r="Y732" s="328">
        <f t="shared" si="730"/>
        <v>0</v>
      </c>
      <c r="Z732" s="329">
        <f>11000/1</f>
        <v>11000</v>
      </c>
      <c r="AA732" s="330">
        <f t="shared" si="731"/>
        <v>0</v>
      </c>
    </row>
    <row r="733" spans="1:27" ht="28.35" customHeight="1">
      <c r="A733" s="325">
        <v>44</v>
      </c>
      <c r="B733" s="299"/>
      <c r="C733" s="326"/>
      <c r="D733" s="333"/>
      <c r="E733" s="327"/>
      <c r="F733" s="327"/>
      <c r="G733" s="327"/>
      <c r="H733" s="341"/>
      <c r="I733" s="328"/>
      <c r="J733" s="327"/>
      <c r="K733" s="327"/>
      <c r="L733" s="327"/>
      <c r="M733" s="341"/>
      <c r="N733" s="328"/>
      <c r="O733" s="327"/>
      <c r="P733" s="327"/>
      <c r="Q733" s="327"/>
      <c r="R733" s="341"/>
      <c r="S733" s="328"/>
      <c r="T733" s="327"/>
      <c r="U733" s="327"/>
      <c r="V733" s="327"/>
      <c r="W733" s="341"/>
      <c r="X733" s="328"/>
      <c r="Y733" s="328"/>
      <c r="Z733" s="329"/>
      <c r="AA733" s="330"/>
    </row>
    <row r="734" spans="1:27" ht="28.35" customHeight="1">
      <c r="A734" s="332"/>
      <c r="B734" s="299"/>
      <c r="C734" s="299"/>
      <c r="D734" s="300"/>
      <c r="E734" s="334"/>
      <c r="F734" s="334"/>
      <c r="G734" s="334"/>
      <c r="H734" s="335"/>
      <c r="I734" s="301"/>
      <c r="J734" s="334"/>
      <c r="K734" s="334"/>
      <c r="L734" s="334"/>
      <c r="M734" s="335"/>
      <c r="N734" s="301"/>
      <c r="O734" s="334"/>
      <c r="P734" s="334"/>
      <c r="Q734" s="334"/>
      <c r="R734" s="335"/>
      <c r="S734" s="301"/>
      <c r="T734" s="334"/>
      <c r="U734" s="334"/>
      <c r="V734" s="334"/>
      <c r="W734" s="335"/>
      <c r="X734" s="301"/>
      <c r="Y734" s="301"/>
      <c r="Z734" s="274"/>
      <c r="AA734" s="346"/>
    </row>
    <row r="735" spans="1:27" ht="30" customHeight="1" thickBot="1">
      <c r="A735" s="331"/>
      <c r="B735" s="299"/>
      <c r="C735" s="299"/>
      <c r="D735" s="300"/>
      <c r="E735" s="334"/>
      <c r="F735" s="334"/>
      <c r="G735" s="334"/>
      <c r="H735" s="335"/>
      <c r="I735" s="301"/>
      <c r="J735" s="334"/>
      <c r="K735" s="334"/>
      <c r="L735" s="334"/>
      <c r="M735" s="335"/>
      <c r="N735" s="301"/>
      <c r="O735" s="334"/>
      <c r="P735" s="334"/>
      <c r="Q735" s="334"/>
      <c r="R735" s="335"/>
      <c r="S735" s="301"/>
      <c r="T735" s="334"/>
      <c r="U735" s="334"/>
      <c r="V735" s="334"/>
      <c r="W735" s="335"/>
      <c r="X735" s="301"/>
      <c r="Y735" s="301"/>
      <c r="Z735" s="274"/>
      <c r="AA735" s="302"/>
    </row>
    <row r="736" spans="1:27" ht="28.35" customHeight="1" thickBot="1">
      <c r="A736" s="256" t="s">
        <v>1185</v>
      </c>
      <c r="B736" s="336"/>
      <c r="C736" s="336"/>
      <c r="D736" s="337"/>
      <c r="E736" s="337"/>
      <c r="F736" s="337"/>
      <c r="G736" s="337"/>
      <c r="H736" s="337"/>
      <c r="I736" s="338"/>
      <c r="J736" s="337"/>
      <c r="K736" s="337"/>
      <c r="L736" s="337"/>
      <c r="M736" s="337"/>
      <c r="N736" s="338"/>
      <c r="O736" s="337"/>
      <c r="P736" s="337"/>
      <c r="Q736" s="337"/>
      <c r="R736" s="337"/>
      <c r="S736" s="338"/>
      <c r="T736" s="337"/>
      <c r="U736" s="337"/>
      <c r="V736" s="337"/>
      <c r="W736" s="337"/>
      <c r="X736" s="338"/>
      <c r="Y736" s="338"/>
      <c r="Z736" s="339"/>
      <c r="AA736" s="340"/>
    </row>
    <row r="737" spans="1:27" ht="28.35" customHeight="1">
      <c r="A737" s="325">
        <v>1</v>
      </c>
      <c r="B737" s="294"/>
      <c r="C737" s="326" t="s">
        <v>1186</v>
      </c>
      <c r="D737" s="333" t="s">
        <v>364</v>
      </c>
      <c r="E737" s="327">
        <v>0</v>
      </c>
      <c r="F737" s="327">
        <f>0</f>
        <v>0</v>
      </c>
      <c r="G737" s="327">
        <v>0</v>
      </c>
      <c r="H737" s="341">
        <f>SUM(E737:G737)</f>
        <v>0</v>
      </c>
      <c r="I737" s="328">
        <f>H737*$Z737</f>
        <v>0</v>
      </c>
      <c r="J737" s="327">
        <f>0</f>
        <v>0</v>
      </c>
      <c r="K737" s="327">
        <f>0</f>
        <v>0</v>
      </c>
      <c r="L737" s="327">
        <f>0</f>
        <v>0</v>
      </c>
      <c r="M737" s="341">
        <f>SUM(J737:L737)</f>
        <v>0</v>
      </c>
      <c r="N737" s="328">
        <f>M737*$Z737</f>
        <v>0</v>
      </c>
      <c r="O737" s="327">
        <f>10</f>
        <v>10</v>
      </c>
      <c r="P737" s="327">
        <f>0</f>
        <v>0</v>
      </c>
      <c r="Q737" s="327">
        <f>0</f>
        <v>0</v>
      </c>
      <c r="R737" s="341">
        <f>SUM(O737:Q737)</f>
        <v>10</v>
      </c>
      <c r="S737" s="328">
        <f>R737*$Z737</f>
        <v>30000</v>
      </c>
      <c r="T737" s="327">
        <f>0</f>
        <v>0</v>
      </c>
      <c r="U737" s="327">
        <f>0</f>
        <v>0</v>
      </c>
      <c r="V737" s="327">
        <f>0</f>
        <v>0</v>
      </c>
      <c r="W737" s="341">
        <f>SUM(T737:V737)</f>
        <v>0</v>
      </c>
      <c r="X737" s="328">
        <f>W737*$Z737</f>
        <v>0</v>
      </c>
      <c r="Y737" s="328">
        <f>H737+M737+R737+W737</f>
        <v>10</v>
      </c>
      <c r="Z737" s="329">
        <f>30000/10</f>
        <v>3000</v>
      </c>
      <c r="AA737" s="330">
        <f>Y737*Z737</f>
        <v>30000</v>
      </c>
    </row>
    <row r="738" spans="1:27" ht="28.35" customHeight="1">
      <c r="A738" s="331">
        <v>2</v>
      </c>
      <c r="B738" s="299"/>
      <c r="C738" s="326" t="s">
        <v>1187</v>
      </c>
      <c r="D738" s="333" t="s">
        <v>364</v>
      </c>
      <c r="E738" s="327">
        <v>0</v>
      </c>
      <c r="F738" s="327">
        <v>0</v>
      </c>
      <c r="G738" s="327">
        <v>0</v>
      </c>
      <c r="H738" s="341">
        <f t="shared" ref="H738" si="733">SUM(E738:G738)</f>
        <v>0</v>
      </c>
      <c r="I738" s="328">
        <f t="shared" ref="I738" si="734">H738*$Z738</f>
        <v>0</v>
      </c>
      <c r="J738" s="327">
        <v>0</v>
      </c>
      <c r="K738" s="327">
        <v>0</v>
      </c>
      <c r="L738" s="327">
        <v>0</v>
      </c>
      <c r="M738" s="341">
        <f t="shared" ref="M738" si="735">SUM(J738:L738)</f>
        <v>0</v>
      </c>
      <c r="N738" s="328">
        <f t="shared" ref="N738" si="736">M738*$Z738</f>
        <v>0</v>
      </c>
      <c r="O738" s="327">
        <v>0</v>
      </c>
      <c r="P738" s="327">
        <v>0</v>
      </c>
      <c r="Q738" s="327">
        <v>0</v>
      </c>
      <c r="R738" s="341">
        <f t="shared" ref="R738" si="737">SUM(O738:Q738)</f>
        <v>0</v>
      </c>
      <c r="S738" s="328">
        <f t="shared" ref="S738" si="738">R738*$Z738</f>
        <v>0</v>
      </c>
      <c r="T738" s="327">
        <v>0</v>
      </c>
      <c r="U738" s="327">
        <v>0</v>
      </c>
      <c r="V738" s="327">
        <v>0</v>
      </c>
      <c r="W738" s="341">
        <f t="shared" ref="W738" si="739">SUM(T738:V738)</f>
        <v>0</v>
      </c>
      <c r="X738" s="328">
        <f t="shared" ref="X738" si="740">W738*$Z738</f>
        <v>0</v>
      </c>
      <c r="Y738" s="328">
        <f t="shared" ref="Y738" si="741">H738+M738+R738+W738</f>
        <v>0</v>
      </c>
      <c r="Z738" s="329">
        <f>5000/1</f>
        <v>5000</v>
      </c>
      <c r="AA738" s="330">
        <f t="shared" ref="AA738" si="742">Y738*Z738</f>
        <v>0</v>
      </c>
    </row>
    <row r="739" spans="1:27" ht="28.35" customHeight="1" thickBot="1">
      <c r="A739" s="332">
        <v>3</v>
      </c>
      <c r="B739" s="299"/>
      <c r="C739" s="326" t="s">
        <v>1188</v>
      </c>
      <c r="D739" s="333" t="s">
        <v>334</v>
      </c>
      <c r="E739" s="327">
        <v>0</v>
      </c>
      <c r="F739" s="327">
        <v>0</v>
      </c>
      <c r="G739" s="327">
        <v>0</v>
      </c>
      <c r="H739" s="341">
        <f>SUM(E739:G739)</f>
        <v>0</v>
      </c>
      <c r="I739" s="328">
        <f>H739*$Z739</f>
        <v>0</v>
      </c>
      <c r="J739" s="327">
        <v>0</v>
      </c>
      <c r="K739" s="327">
        <v>0</v>
      </c>
      <c r="L739" s="327">
        <v>0</v>
      </c>
      <c r="M739" s="341">
        <f>SUM(J739:L739)</f>
        <v>0</v>
      </c>
      <c r="N739" s="328">
        <f>M739*$Z739</f>
        <v>0</v>
      </c>
      <c r="O739" s="327">
        <v>0</v>
      </c>
      <c r="P739" s="327">
        <v>0</v>
      </c>
      <c r="Q739" s="327">
        <v>0</v>
      </c>
      <c r="R739" s="341">
        <f>SUM(O739:Q739)</f>
        <v>0</v>
      </c>
      <c r="S739" s="328">
        <f>R739*$Z739</f>
        <v>0</v>
      </c>
      <c r="T739" s="327">
        <v>0</v>
      </c>
      <c r="U739" s="327">
        <v>0</v>
      </c>
      <c r="V739" s="327">
        <v>0</v>
      </c>
      <c r="W739" s="341">
        <f>SUM(T739:V739)</f>
        <v>0</v>
      </c>
      <c r="X739" s="328">
        <f>W739*$Z739</f>
        <v>0</v>
      </c>
      <c r="Y739" s="328">
        <f>H739+M739+R739+W739</f>
        <v>0</v>
      </c>
      <c r="Z739" s="329">
        <f>1000/2</f>
        <v>500</v>
      </c>
      <c r="AA739" s="330">
        <f>Y739*Z739</f>
        <v>0</v>
      </c>
    </row>
    <row r="740" spans="1:27" ht="28.35" customHeight="1">
      <c r="A740" s="325">
        <v>4</v>
      </c>
      <c r="B740" s="299"/>
      <c r="C740" s="326" t="s">
        <v>1189</v>
      </c>
      <c r="D740" s="333" t="s">
        <v>364</v>
      </c>
      <c r="E740" s="327">
        <v>0</v>
      </c>
      <c r="F740" s="327">
        <f>0</f>
        <v>0</v>
      </c>
      <c r="G740" s="327">
        <v>0</v>
      </c>
      <c r="H740" s="341">
        <f>SUM(E740:G740)</f>
        <v>0</v>
      </c>
      <c r="I740" s="328">
        <f>H740*$Z740</f>
        <v>0</v>
      </c>
      <c r="J740" s="327">
        <f>0</f>
        <v>0</v>
      </c>
      <c r="K740" s="327">
        <f>0</f>
        <v>0</v>
      </c>
      <c r="L740" s="327">
        <f>0</f>
        <v>0</v>
      </c>
      <c r="M740" s="341">
        <f>SUM(J740:L740)</f>
        <v>0</v>
      </c>
      <c r="N740" s="328">
        <f>M740*$Z740</f>
        <v>0</v>
      </c>
      <c r="O740" s="327">
        <f>0</f>
        <v>0</v>
      </c>
      <c r="P740" s="327">
        <f>0</f>
        <v>0</v>
      </c>
      <c r="Q740" s="327">
        <f>0</f>
        <v>0</v>
      </c>
      <c r="R740" s="341">
        <f>SUM(O740:Q740)</f>
        <v>0</v>
      </c>
      <c r="S740" s="328">
        <f>R740*$Z740</f>
        <v>0</v>
      </c>
      <c r="T740" s="327">
        <f>0</f>
        <v>0</v>
      </c>
      <c r="U740" s="327">
        <f>0</f>
        <v>0</v>
      </c>
      <c r="V740" s="327">
        <f>0</f>
        <v>0</v>
      </c>
      <c r="W740" s="341">
        <f>SUM(T740:V740)</f>
        <v>0</v>
      </c>
      <c r="X740" s="328">
        <f>W740*$Z740</f>
        <v>0</v>
      </c>
      <c r="Y740" s="328">
        <f>H740+M740+R740+W740</f>
        <v>0</v>
      </c>
      <c r="Z740" s="329">
        <f>120000/12</f>
        <v>10000</v>
      </c>
      <c r="AA740" s="330">
        <f>Y740*Z740</f>
        <v>0</v>
      </c>
    </row>
    <row r="741" spans="1:27" ht="28.35" customHeight="1">
      <c r="A741" s="331">
        <v>5</v>
      </c>
      <c r="B741" s="299"/>
      <c r="C741" s="326" t="s">
        <v>1190</v>
      </c>
      <c r="D741" s="333" t="s">
        <v>420</v>
      </c>
      <c r="E741" s="327">
        <v>0</v>
      </c>
      <c r="F741" s="327">
        <v>0</v>
      </c>
      <c r="G741" s="327">
        <v>0</v>
      </c>
      <c r="H741" s="341">
        <f t="shared" ref="H741" si="743">SUM(E741:G741)</f>
        <v>0</v>
      </c>
      <c r="I741" s="328">
        <f t="shared" ref="I741:I742" si="744">H741*$Z741</f>
        <v>0</v>
      </c>
      <c r="J741" s="327">
        <v>0</v>
      </c>
      <c r="K741" s="327">
        <v>0</v>
      </c>
      <c r="L741" s="327">
        <v>0</v>
      </c>
      <c r="M741" s="341">
        <f t="shared" ref="M741" si="745">SUM(J741:L741)</f>
        <v>0</v>
      </c>
      <c r="N741" s="328">
        <f t="shared" ref="N741:N742" si="746">M741*$Z741</f>
        <v>0</v>
      </c>
      <c r="O741" s="327">
        <v>0</v>
      </c>
      <c r="P741" s="327">
        <v>0</v>
      </c>
      <c r="Q741" s="327">
        <v>0</v>
      </c>
      <c r="R741" s="341">
        <f t="shared" ref="R741" si="747">SUM(O741:Q741)</f>
        <v>0</v>
      </c>
      <c r="S741" s="328">
        <f t="shared" ref="S741:S742" si="748">R741*$Z741</f>
        <v>0</v>
      </c>
      <c r="T741" s="327">
        <v>0</v>
      </c>
      <c r="U741" s="327">
        <v>0</v>
      </c>
      <c r="V741" s="327">
        <v>0</v>
      </c>
      <c r="W741" s="341">
        <f t="shared" ref="W741" si="749">SUM(T741:V741)</f>
        <v>0</v>
      </c>
      <c r="X741" s="328">
        <f t="shared" ref="X741:X742" si="750">W741*$Z741</f>
        <v>0</v>
      </c>
      <c r="Y741" s="328">
        <f t="shared" ref="Y741" si="751">H741+M741+R741+W741</f>
        <v>0</v>
      </c>
      <c r="Z741" s="329">
        <f>180000/40</f>
        <v>4500</v>
      </c>
      <c r="AA741" s="330">
        <f t="shared" ref="AA741" si="752">Y741*Z741</f>
        <v>0</v>
      </c>
    </row>
    <row r="742" spans="1:27" ht="28.35" customHeight="1" thickBot="1">
      <c r="A742" s="332">
        <v>6</v>
      </c>
      <c r="B742" s="299"/>
      <c r="C742" s="326" t="s">
        <v>1191</v>
      </c>
      <c r="D742" s="333" t="s">
        <v>364</v>
      </c>
      <c r="E742" s="327">
        <v>0</v>
      </c>
      <c r="F742" s="327">
        <v>0</v>
      </c>
      <c r="G742" s="327">
        <f>0</f>
        <v>0</v>
      </c>
      <c r="H742" s="341">
        <f>SUM(E742:G742)</f>
        <v>0</v>
      </c>
      <c r="I742" s="328">
        <f t="shared" si="744"/>
        <v>0</v>
      </c>
      <c r="J742" s="327">
        <f>0</f>
        <v>0</v>
      </c>
      <c r="K742" s="327">
        <f>0</f>
        <v>0</v>
      </c>
      <c r="L742" s="327">
        <f>0</f>
        <v>0</v>
      </c>
      <c r="M742" s="341">
        <f>SUM(J742:L742)</f>
        <v>0</v>
      </c>
      <c r="N742" s="328">
        <f t="shared" si="746"/>
        <v>0</v>
      </c>
      <c r="O742" s="327">
        <f>0</f>
        <v>0</v>
      </c>
      <c r="P742" s="327">
        <f>0</f>
        <v>0</v>
      </c>
      <c r="Q742" s="327">
        <f>0</f>
        <v>0</v>
      </c>
      <c r="R742" s="341">
        <f>SUM(O742:Q742)</f>
        <v>0</v>
      </c>
      <c r="S742" s="328">
        <f t="shared" si="748"/>
        <v>0</v>
      </c>
      <c r="T742" s="327">
        <f>0</f>
        <v>0</v>
      </c>
      <c r="U742" s="327">
        <f>0</f>
        <v>0</v>
      </c>
      <c r="V742" s="327">
        <f>0</f>
        <v>0</v>
      </c>
      <c r="W742" s="341">
        <f>SUM(T742:V742)</f>
        <v>0</v>
      </c>
      <c r="X742" s="328">
        <f t="shared" si="750"/>
        <v>0</v>
      </c>
      <c r="Y742" s="328">
        <f>H742+M742+R742+W742</f>
        <v>0</v>
      </c>
      <c r="Z742" s="329">
        <f>10000/5</f>
        <v>2000</v>
      </c>
      <c r="AA742" s="330">
        <f>Y742*Z742</f>
        <v>0</v>
      </c>
    </row>
    <row r="743" spans="1:27" ht="28.35" customHeight="1">
      <c r="A743" s="325">
        <v>7</v>
      </c>
      <c r="B743" s="299"/>
      <c r="C743" s="326" t="s">
        <v>1192</v>
      </c>
      <c r="D743" s="333" t="s">
        <v>364</v>
      </c>
      <c r="E743" s="327">
        <v>0</v>
      </c>
      <c r="F743" s="327">
        <v>0</v>
      </c>
      <c r="G743" s="327">
        <v>0</v>
      </c>
      <c r="H743" s="341">
        <f>SUM(E743:G743)</f>
        <v>0</v>
      </c>
      <c r="I743" s="328">
        <f>H743*$Z743</f>
        <v>0</v>
      </c>
      <c r="J743" s="327">
        <v>0</v>
      </c>
      <c r="K743" s="327">
        <v>0</v>
      </c>
      <c r="L743" s="327">
        <v>0</v>
      </c>
      <c r="M743" s="341">
        <f>SUM(J743:L743)</f>
        <v>0</v>
      </c>
      <c r="N743" s="328">
        <f>M743*$Z743</f>
        <v>0</v>
      </c>
      <c r="O743" s="327">
        <v>0</v>
      </c>
      <c r="P743" s="327">
        <v>0</v>
      </c>
      <c r="Q743" s="327">
        <v>0</v>
      </c>
      <c r="R743" s="341">
        <f>SUM(O743:Q743)</f>
        <v>0</v>
      </c>
      <c r="S743" s="328">
        <f>R743*$Z743</f>
        <v>0</v>
      </c>
      <c r="T743" s="327">
        <v>0</v>
      </c>
      <c r="U743" s="327">
        <v>0</v>
      </c>
      <c r="V743" s="327">
        <v>0</v>
      </c>
      <c r="W743" s="341">
        <f>SUM(T743:V743)</f>
        <v>0</v>
      </c>
      <c r="X743" s="328">
        <f>W743*$Z743</f>
        <v>0</v>
      </c>
      <c r="Y743" s="328">
        <f>H743+M743+R743+W743</f>
        <v>0</v>
      </c>
      <c r="Z743" s="329">
        <f>25000/5</f>
        <v>5000</v>
      </c>
      <c r="AA743" s="330">
        <f>Y743*Z743</f>
        <v>0</v>
      </c>
    </row>
    <row r="744" spans="1:27" ht="28.35" customHeight="1">
      <c r="A744" s="331">
        <v>8</v>
      </c>
      <c r="B744" s="299"/>
      <c r="C744" s="326" t="s">
        <v>1193</v>
      </c>
      <c r="D744" s="333" t="s">
        <v>364</v>
      </c>
      <c r="E744" s="327">
        <v>0</v>
      </c>
      <c r="F744" s="327">
        <f>0</f>
        <v>0</v>
      </c>
      <c r="G744" s="327">
        <f>0</f>
        <v>0</v>
      </c>
      <c r="H744" s="341">
        <f>SUM(E744:G744)</f>
        <v>0</v>
      </c>
      <c r="I744" s="328">
        <f>H744*$Z744</f>
        <v>0</v>
      </c>
      <c r="J744" s="327">
        <f>0</f>
        <v>0</v>
      </c>
      <c r="K744" s="327">
        <f>0</f>
        <v>0</v>
      </c>
      <c r="L744" s="327">
        <f>0</f>
        <v>0</v>
      </c>
      <c r="M744" s="341">
        <f>SUM(J744:L744)</f>
        <v>0</v>
      </c>
      <c r="N744" s="328">
        <f>M744*$Z744</f>
        <v>0</v>
      </c>
      <c r="O744" s="327">
        <f>0</f>
        <v>0</v>
      </c>
      <c r="P744" s="327">
        <f>0</f>
        <v>0</v>
      </c>
      <c r="Q744" s="327">
        <f>0</f>
        <v>0</v>
      </c>
      <c r="R744" s="341">
        <f>SUM(O744:Q744)</f>
        <v>0</v>
      </c>
      <c r="S744" s="328">
        <f>R744*$Z744</f>
        <v>0</v>
      </c>
      <c r="T744" s="327">
        <f>0</f>
        <v>0</v>
      </c>
      <c r="U744" s="327">
        <f>0</f>
        <v>0</v>
      </c>
      <c r="V744" s="327">
        <f>0</f>
        <v>0</v>
      </c>
      <c r="W744" s="341">
        <f>SUM(T744:V744)</f>
        <v>0</v>
      </c>
      <c r="X744" s="328">
        <f>W744*$Z744</f>
        <v>0</v>
      </c>
      <c r="Y744" s="328">
        <f>H744+M744+R744+W744</f>
        <v>0</v>
      </c>
      <c r="Z744" s="329">
        <f>25000/5</f>
        <v>5000</v>
      </c>
      <c r="AA744" s="330">
        <f>Y744*Z744</f>
        <v>0</v>
      </c>
    </row>
    <row r="745" spans="1:27" ht="28.35" customHeight="1" thickBot="1">
      <c r="A745" s="332">
        <v>9</v>
      </c>
      <c r="B745" s="299"/>
      <c r="C745" s="326" t="s">
        <v>1194</v>
      </c>
      <c r="D745" s="333" t="s">
        <v>364</v>
      </c>
      <c r="E745" s="327">
        <v>0</v>
      </c>
      <c r="F745" s="327">
        <f>0</f>
        <v>0</v>
      </c>
      <c r="G745" s="327">
        <f>0</f>
        <v>0</v>
      </c>
      <c r="H745" s="341">
        <f t="shared" ref="H745" si="753">SUM(E745:G745)</f>
        <v>0</v>
      </c>
      <c r="I745" s="328">
        <f t="shared" ref="I745" si="754">H745*$Z745</f>
        <v>0</v>
      </c>
      <c r="J745" s="327">
        <f>0</f>
        <v>0</v>
      </c>
      <c r="K745" s="327">
        <f>0</f>
        <v>0</v>
      </c>
      <c r="L745" s="327">
        <f>0</f>
        <v>0</v>
      </c>
      <c r="M745" s="341">
        <f t="shared" ref="M745" si="755">SUM(J745:L745)</f>
        <v>0</v>
      </c>
      <c r="N745" s="328">
        <f t="shared" ref="N745" si="756">M745*$Z745</f>
        <v>0</v>
      </c>
      <c r="O745" s="327">
        <f>0</f>
        <v>0</v>
      </c>
      <c r="P745" s="327">
        <f>0</f>
        <v>0</v>
      </c>
      <c r="Q745" s="327">
        <f>0</f>
        <v>0</v>
      </c>
      <c r="R745" s="341">
        <f t="shared" ref="R745" si="757">SUM(O745:Q745)</f>
        <v>0</v>
      </c>
      <c r="S745" s="328">
        <f t="shared" ref="S745" si="758">R745*$Z745</f>
        <v>0</v>
      </c>
      <c r="T745" s="327">
        <f>0</f>
        <v>0</v>
      </c>
      <c r="U745" s="327">
        <f>0</f>
        <v>0</v>
      </c>
      <c r="V745" s="327">
        <f>0</f>
        <v>0</v>
      </c>
      <c r="W745" s="341">
        <f t="shared" ref="W745" si="759">SUM(T745:V745)</f>
        <v>0</v>
      </c>
      <c r="X745" s="328">
        <f t="shared" ref="X745" si="760">W745*$Z745</f>
        <v>0</v>
      </c>
      <c r="Y745" s="328">
        <f t="shared" ref="Y745" si="761">H745+M745+R745+W745</f>
        <v>0</v>
      </c>
      <c r="Z745" s="329">
        <f>40000/20</f>
        <v>2000</v>
      </c>
      <c r="AA745" s="330">
        <f t="shared" ref="AA745" si="762">Y745*Z745</f>
        <v>0</v>
      </c>
    </row>
    <row r="746" spans="1:27" ht="28.35" customHeight="1">
      <c r="A746" s="325">
        <v>10</v>
      </c>
      <c r="B746" s="299"/>
      <c r="C746" s="326" t="s">
        <v>1195</v>
      </c>
      <c r="D746" s="333" t="s">
        <v>364</v>
      </c>
      <c r="E746" s="327">
        <v>0</v>
      </c>
      <c r="F746" s="327">
        <f>0</f>
        <v>0</v>
      </c>
      <c r="G746" s="327">
        <v>0</v>
      </c>
      <c r="H746" s="341">
        <f>SUM(E746:G746)</f>
        <v>0</v>
      </c>
      <c r="I746" s="328">
        <f>H746*$Z746</f>
        <v>0</v>
      </c>
      <c r="J746" s="327">
        <f>0</f>
        <v>0</v>
      </c>
      <c r="K746" s="327">
        <f>0</f>
        <v>0</v>
      </c>
      <c r="L746" s="327">
        <f>0</f>
        <v>0</v>
      </c>
      <c r="M746" s="341">
        <f>SUM(J746:L746)</f>
        <v>0</v>
      </c>
      <c r="N746" s="328">
        <f>M746*$Z746</f>
        <v>0</v>
      </c>
      <c r="O746" s="327">
        <f>0</f>
        <v>0</v>
      </c>
      <c r="P746" s="327">
        <f>0</f>
        <v>0</v>
      </c>
      <c r="Q746" s="327">
        <f>0</f>
        <v>0</v>
      </c>
      <c r="R746" s="341">
        <f>SUM(O746:Q746)</f>
        <v>0</v>
      </c>
      <c r="S746" s="328">
        <f>R746*$Z746</f>
        <v>0</v>
      </c>
      <c r="T746" s="327">
        <f>0</f>
        <v>0</v>
      </c>
      <c r="U746" s="327">
        <f>0</f>
        <v>0</v>
      </c>
      <c r="V746" s="327">
        <f>0</f>
        <v>0</v>
      </c>
      <c r="W746" s="341">
        <f>SUM(T746:V746)</f>
        <v>0</v>
      </c>
      <c r="X746" s="328">
        <f>W746*$Z746</f>
        <v>0</v>
      </c>
      <c r="Y746" s="328">
        <f>H746+M746+R746+W746</f>
        <v>0</v>
      </c>
      <c r="Z746" s="329">
        <f>50000/10</f>
        <v>5000</v>
      </c>
      <c r="AA746" s="330">
        <f>Y746*Z746</f>
        <v>0</v>
      </c>
    </row>
    <row r="747" spans="1:27" ht="28.35" customHeight="1">
      <c r="A747" s="331">
        <v>11</v>
      </c>
      <c r="B747" s="299"/>
      <c r="C747" s="326" t="s">
        <v>1196</v>
      </c>
      <c r="D747" s="333" t="s">
        <v>420</v>
      </c>
      <c r="E747" s="327">
        <v>0</v>
      </c>
      <c r="F747" s="327">
        <v>0</v>
      </c>
      <c r="G747" s="327">
        <v>0</v>
      </c>
      <c r="H747" s="341">
        <f t="shared" ref="H747" si="763">SUM(E747:G747)</f>
        <v>0</v>
      </c>
      <c r="I747" s="328">
        <f t="shared" ref="I747:I751" si="764">H747*$Z747</f>
        <v>0</v>
      </c>
      <c r="J747" s="327">
        <v>0</v>
      </c>
      <c r="K747" s="327">
        <v>0</v>
      </c>
      <c r="L747" s="327">
        <v>0</v>
      </c>
      <c r="M747" s="341">
        <f t="shared" ref="M747" si="765">SUM(J747:L747)</f>
        <v>0</v>
      </c>
      <c r="N747" s="328">
        <f t="shared" ref="N747:N751" si="766">M747*$Z747</f>
        <v>0</v>
      </c>
      <c r="O747" s="327">
        <v>0</v>
      </c>
      <c r="P747" s="327">
        <v>0</v>
      </c>
      <c r="Q747" s="327">
        <v>0</v>
      </c>
      <c r="R747" s="341">
        <f t="shared" ref="R747" si="767">SUM(O747:Q747)</f>
        <v>0</v>
      </c>
      <c r="S747" s="328">
        <f t="shared" ref="S747:S751" si="768">R747*$Z747</f>
        <v>0</v>
      </c>
      <c r="T747" s="327">
        <v>0</v>
      </c>
      <c r="U747" s="327">
        <v>0</v>
      </c>
      <c r="V747" s="327">
        <v>0</v>
      </c>
      <c r="W747" s="341">
        <f t="shared" ref="W747" si="769">SUM(T747:V747)</f>
        <v>0</v>
      </c>
      <c r="X747" s="328">
        <f t="shared" ref="X747:X751" si="770">W747*$Z747</f>
        <v>0</v>
      </c>
      <c r="Y747" s="328">
        <f t="shared" ref="Y747" si="771">H747+M747+R747+W747</f>
        <v>0</v>
      </c>
      <c r="Z747" s="329">
        <f>13000/2</f>
        <v>6500</v>
      </c>
      <c r="AA747" s="330">
        <f t="shared" ref="AA747" si="772">Y747*Z747</f>
        <v>0</v>
      </c>
    </row>
    <row r="748" spans="1:27" ht="28.35" customHeight="1" thickBot="1">
      <c r="A748" s="332">
        <v>12</v>
      </c>
      <c r="B748" s="299"/>
      <c r="C748" s="326" t="s">
        <v>1197</v>
      </c>
      <c r="D748" s="333" t="s">
        <v>420</v>
      </c>
      <c r="E748" s="327">
        <f>0+0</f>
        <v>0</v>
      </c>
      <c r="F748" s="327">
        <v>0</v>
      </c>
      <c r="G748" s="327">
        <v>0</v>
      </c>
      <c r="H748" s="341">
        <f>SUM(E748:G748)</f>
        <v>0</v>
      </c>
      <c r="I748" s="328">
        <f t="shared" si="764"/>
        <v>0</v>
      </c>
      <c r="J748" s="327">
        <f t="shared" ref="J748:L748" si="773">0+0</f>
        <v>0</v>
      </c>
      <c r="K748" s="327">
        <f t="shared" si="773"/>
        <v>0</v>
      </c>
      <c r="L748" s="327">
        <f t="shared" si="773"/>
        <v>0</v>
      </c>
      <c r="M748" s="341">
        <f>SUM(J748:L748)</f>
        <v>0</v>
      </c>
      <c r="N748" s="328">
        <f t="shared" si="766"/>
        <v>0</v>
      </c>
      <c r="O748" s="327">
        <f t="shared" ref="O748:Q748" si="774">0+0</f>
        <v>0</v>
      </c>
      <c r="P748" s="327">
        <f t="shared" si="774"/>
        <v>0</v>
      </c>
      <c r="Q748" s="327">
        <f t="shared" si="774"/>
        <v>0</v>
      </c>
      <c r="R748" s="341">
        <f>SUM(O748:Q748)</f>
        <v>0</v>
      </c>
      <c r="S748" s="328">
        <f t="shared" si="768"/>
        <v>0</v>
      </c>
      <c r="T748" s="327">
        <f t="shared" ref="T748:V748" si="775">0+0</f>
        <v>0</v>
      </c>
      <c r="U748" s="327">
        <f t="shared" si="775"/>
        <v>0</v>
      </c>
      <c r="V748" s="327">
        <f t="shared" si="775"/>
        <v>0</v>
      </c>
      <c r="W748" s="341">
        <f>SUM(T748:V748)</f>
        <v>0</v>
      </c>
      <c r="X748" s="328">
        <f t="shared" si="770"/>
        <v>0</v>
      </c>
      <c r="Y748" s="328">
        <f>H748+M748+R748+W748</f>
        <v>0</v>
      </c>
      <c r="Z748" s="329">
        <v>1000</v>
      </c>
      <c r="AA748" s="330">
        <f>Y748*Z748</f>
        <v>0</v>
      </c>
    </row>
    <row r="749" spans="1:27" ht="28.35" customHeight="1">
      <c r="A749" s="325">
        <v>13</v>
      </c>
      <c r="B749" s="299"/>
      <c r="C749" s="326" t="s">
        <v>1198</v>
      </c>
      <c r="D749" s="333" t="s">
        <v>364</v>
      </c>
      <c r="E749" s="327">
        <v>0</v>
      </c>
      <c r="F749" s="327">
        <v>0</v>
      </c>
      <c r="G749" s="327">
        <v>0</v>
      </c>
      <c r="H749" s="341">
        <f t="shared" ref="H749" si="776">SUM(E749:G749)</f>
        <v>0</v>
      </c>
      <c r="I749" s="328">
        <f t="shared" si="764"/>
        <v>0</v>
      </c>
      <c r="J749" s="327">
        <v>0</v>
      </c>
      <c r="K749" s="327">
        <v>0</v>
      </c>
      <c r="L749" s="327">
        <v>0</v>
      </c>
      <c r="M749" s="341">
        <f>SUM(J749:L749)</f>
        <v>0</v>
      </c>
      <c r="N749" s="328">
        <f t="shared" si="766"/>
        <v>0</v>
      </c>
      <c r="O749" s="327">
        <v>0</v>
      </c>
      <c r="P749" s="327">
        <v>0</v>
      </c>
      <c r="Q749" s="327">
        <v>0</v>
      </c>
      <c r="R749" s="341">
        <f>SUM(O749:Q749)</f>
        <v>0</v>
      </c>
      <c r="S749" s="328">
        <f t="shared" si="768"/>
        <v>0</v>
      </c>
      <c r="T749" s="327">
        <v>0</v>
      </c>
      <c r="U749" s="327">
        <v>0</v>
      </c>
      <c r="V749" s="327">
        <v>0</v>
      </c>
      <c r="W749" s="341">
        <f>SUM(T749:V749)</f>
        <v>0</v>
      </c>
      <c r="X749" s="328">
        <f t="shared" si="770"/>
        <v>0</v>
      </c>
      <c r="Y749" s="328">
        <f>H749+M749+R749+W749</f>
        <v>0</v>
      </c>
      <c r="Z749" s="329">
        <f>3000/3</f>
        <v>1000</v>
      </c>
      <c r="AA749" s="330">
        <f>Y749*Z749</f>
        <v>0</v>
      </c>
    </row>
    <row r="750" spans="1:27" ht="33.75">
      <c r="A750" s="331">
        <v>14</v>
      </c>
      <c r="B750" s="299"/>
      <c r="C750" s="347" t="s">
        <v>1199</v>
      </c>
      <c r="D750" s="333" t="s">
        <v>364</v>
      </c>
      <c r="E750" s="327">
        <v>0</v>
      </c>
      <c r="F750" s="327">
        <f>0</f>
        <v>0</v>
      </c>
      <c r="G750" s="327">
        <f>0</f>
        <v>0</v>
      </c>
      <c r="H750" s="341">
        <f t="shared" ref="H750" si="777">SUM(E750:G750)</f>
        <v>0</v>
      </c>
      <c r="I750" s="328">
        <f t="shared" si="764"/>
        <v>0</v>
      </c>
      <c r="J750" s="327">
        <f>0</f>
        <v>0</v>
      </c>
      <c r="K750" s="327">
        <f>0</f>
        <v>0</v>
      </c>
      <c r="L750" s="327">
        <f>0</f>
        <v>0</v>
      </c>
      <c r="M750" s="341">
        <f t="shared" ref="M750:M751" si="778">SUM(J750:L750)</f>
        <v>0</v>
      </c>
      <c r="N750" s="328">
        <f t="shared" si="766"/>
        <v>0</v>
      </c>
      <c r="O750" s="327">
        <f>0</f>
        <v>0</v>
      </c>
      <c r="P750" s="327">
        <f>0</f>
        <v>0</v>
      </c>
      <c r="Q750" s="327">
        <f>0</f>
        <v>0</v>
      </c>
      <c r="R750" s="341">
        <f t="shared" ref="R750:R751" si="779">SUM(O750:Q750)</f>
        <v>0</v>
      </c>
      <c r="S750" s="328">
        <f t="shared" si="768"/>
        <v>0</v>
      </c>
      <c r="T750" s="327">
        <f>0</f>
        <v>0</v>
      </c>
      <c r="U750" s="327">
        <f>0</f>
        <v>0</v>
      </c>
      <c r="V750" s="327">
        <f>0</f>
        <v>0</v>
      </c>
      <c r="W750" s="341">
        <f t="shared" ref="W750:W751" si="780">SUM(T750:V750)</f>
        <v>0</v>
      </c>
      <c r="X750" s="328">
        <f t="shared" si="770"/>
        <v>0</v>
      </c>
      <c r="Y750" s="328">
        <f t="shared" ref="Y750:Y751" si="781">H750+M750+R750+W750</f>
        <v>0</v>
      </c>
      <c r="Z750" s="329">
        <f>80000/10</f>
        <v>8000</v>
      </c>
      <c r="AA750" s="330">
        <f t="shared" ref="AA750:AA751" si="782">Y750*Z750</f>
        <v>0</v>
      </c>
    </row>
    <row r="751" spans="1:27" ht="28.35" customHeight="1" thickBot="1">
      <c r="A751" s="332">
        <v>15</v>
      </c>
      <c r="B751" s="299"/>
      <c r="C751" s="326" t="s">
        <v>1200</v>
      </c>
      <c r="D751" s="333" t="s">
        <v>364</v>
      </c>
      <c r="E751" s="327">
        <v>0</v>
      </c>
      <c r="F751" s="327">
        <v>0</v>
      </c>
      <c r="G751" s="327">
        <v>0</v>
      </c>
      <c r="H751" s="341">
        <f t="shared" ref="H751" si="783">SUM(E751:G751)</f>
        <v>0</v>
      </c>
      <c r="I751" s="328">
        <f t="shared" si="764"/>
        <v>0</v>
      </c>
      <c r="J751" s="327">
        <v>0</v>
      </c>
      <c r="K751" s="327">
        <v>0</v>
      </c>
      <c r="L751" s="327">
        <v>0</v>
      </c>
      <c r="M751" s="341">
        <f t="shared" si="778"/>
        <v>0</v>
      </c>
      <c r="N751" s="328">
        <f t="shared" si="766"/>
        <v>0</v>
      </c>
      <c r="O751" s="327">
        <v>0</v>
      </c>
      <c r="P751" s="327">
        <v>0</v>
      </c>
      <c r="Q751" s="327">
        <v>0</v>
      </c>
      <c r="R751" s="341">
        <f t="shared" si="779"/>
        <v>0</v>
      </c>
      <c r="S751" s="328">
        <f t="shared" si="768"/>
        <v>0</v>
      </c>
      <c r="T751" s="327">
        <v>0</v>
      </c>
      <c r="U751" s="327">
        <v>0</v>
      </c>
      <c r="V751" s="327">
        <v>0</v>
      </c>
      <c r="W751" s="341">
        <f t="shared" si="780"/>
        <v>0</v>
      </c>
      <c r="X751" s="328">
        <f t="shared" si="770"/>
        <v>0</v>
      </c>
      <c r="Y751" s="328">
        <f t="shared" si="781"/>
        <v>0</v>
      </c>
      <c r="Z751" s="329">
        <f>7200/4</f>
        <v>1800</v>
      </c>
      <c r="AA751" s="330">
        <f t="shared" si="782"/>
        <v>0</v>
      </c>
    </row>
    <row r="752" spans="1:27" ht="28.35" customHeight="1">
      <c r="A752" s="325">
        <v>16</v>
      </c>
      <c r="B752" s="299"/>
      <c r="C752" s="348" t="s">
        <v>1201</v>
      </c>
      <c r="D752" s="349" t="s">
        <v>364</v>
      </c>
      <c r="E752" s="191">
        <v>0</v>
      </c>
      <c r="F752" s="191">
        <v>0</v>
      </c>
      <c r="G752" s="191">
        <v>0</v>
      </c>
      <c r="H752" s="350">
        <f>SUM(E752:G752)</f>
        <v>0</v>
      </c>
      <c r="I752" s="328" t="e">
        <f>H752*Z752</f>
        <v>#REF!</v>
      </c>
      <c r="J752" s="191" t="e">
        <f>'[2]ACE(R)'!J86+'[2]WCM+EZ(R)'!J86+[2]Group!J86</f>
        <v>#REF!</v>
      </c>
      <c r="K752" s="191" t="e">
        <f>'[2]ACE(R)'!K86+'[2]WCM+EZ(R)'!K86+[2]Group!K86</f>
        <v>#REF!</v>
      </c>
      <c r="L752" s="191" t="e">
        <f>'[2]ACE(R)'!L86+'[2]WCM+EZ(R)'!L86+[2]Group!L86</f>
        <v>#REF!</v>
      </c>
      <c r="M752" s="349" t="e">
        <f>SUM(J752:L752)</f>
        <v>#REF!</v>
      </c>
      <c r="N752" s="328" t="e">
        <f>M752*Z752</f>
        <v>#REF!</v>
      </c>
      <c r="O752" s="191" t="e">
        <f>'[2]ACE(R)'!O86+'[2]WCM+EZ(R)'!O86+[2]Group!O86</f>
        <v>#REF!</v>
      </c>
      <c r="P752" s="191" t="e">
        <f>'[2]ACE(R)'!P86+'[2]WCM+EZ(R)'!P86+[2]Group!P86</f>
        <v>#REF!</v>
      </c>
      <c r="Q752" s="191" t="e">
        <f>'[2]ACE(R)'!Q86+'[2]WCM+EZ(R)'!Q86+[2]Group!Q86</f>
        <v>#REF!</v>
      </c>
      <c r="R752" s="349" t="e">
        <f>SUM(O752:Q752)</f>
        <v>#REF!</v>
      </c>
      <c r="S752" s="328" t="e">
        <f>R752*Z752</f>
        <v>#REF!</v>
      </c>
      <c r="T752" s="191" t="e">
        <f>'[2]ACE(R)'!T86+'[2]WCM+EZ(R)'!T86+[2]Group!T86</f>
        <v>#REF!</v>
      </c>
      <c r="U752" s="191" t="e">
        <f>'[2]ACE(R)'!U86+'[2]WCM+EZ(R)'!U86+[2]Group!U86</f>
        <v>#REF!</v>
      </c>
      <c r="V752" s="191" t="e">
        <f>'[2]ACE(R)'!V86+'[2]WCM+EZ(R)'!V86+[2]Group!V86</f>
        <v>#REF!</v>
      </c>
      <c r="W752" s="349" t="e">
        <f>SUM(T752:V752)</f>
        <v>#REF!</v>
      </c>
      <c r="X752" s="328" t="e">
        <f>W752*Z752</f>
        <v>#REF!</v>
      </c>
      <c r="Y752" s="328" t="e">
        <f>H752+M752+R752+W752</f>
        <v>#REF!</v>
      </c>
      <c r="Z752" s="200" t="e">
        <f>1400/Y752</f>
        <v>#REF!</v>
      </c>
      <c r="AA752" s="330" t="e">
        <f>Y752*Z752</f>
        <v>#REF!</v>
      </c>
    </row>
    <row r="753" spans="1:28" ht="28.35" customHeight="1">
      <c r="A753" s="331">
        <v>17</v>
      </c>
      <c r="B753" s="299"/>
      <c r="C753" s="348" t="s">
        <v>1202</v>
      </c>
      <c r="D753" s="349" t="s">
        <v>364</v>
      </c>
      <c r="E753" s="191">
        <v>0</v>
      </c>
      <c r="F753" s="191">
        <v>0</v>
      </c>
      <c r="G753" s="191">
        <v>0</v>
      </c>
      <c r="H753" s="350">
        <f t="shared" ref="H753" si="784">SUM(E753:G753)</f>
        <v>0</v>
      </c>
      <c r="I753" s="328" t="e">
        <f t="shared" ref="I753" si="785">H753*Z753</f>
        <v>#REF!</v>
      </c>
      <c r="J753" s="191" t="e">
        <f>'[2]ACE(R)'!J87+'[2]WCM+EZ(R)'!J87+[2]Group!J87</f>
        <v>#REF!</v>
      </c>
      <c r="K753" s="191" t="e">
        <f>'[2]ACE(R)'!K87+'[2]WCM+EZ(R)'!K87+[2]Group!K87</f>
        <v>#REF!</v>
      </c>
      <c r="L753" s="191" t="e">
        <f>'[2]ACE(R)'!L87+'[2]WCM+EZ(R)'!L87+[2]Group!L87</f>
        <v>#REF!</v>
      </c>
      <c r="M753" s="349" t="e">
        <f t="shared" ref="M753" si="786">SUM(J753:L753)</f>
        <v>#REF!</v>
      </c>
      <c r="N753" s="328" t="e">
        <f t="shared" ref="N753" si="787">M753*Z753</f>
        <v>#REF!</v>
      </c>
      <c r="O753" s="191" t="e">
        <f>'[2]ACE(R)'!O87+'[2]WCM+EZ(R)'!O87+[2]Group!O87</f>
        <v>#REF!</v>
      </c>
      <c r="P753" s="191" t="e">
        <f>'[2]ACE(R)'!P87+'[2]WCM+EZ(R)'!P87+[2]Group!P87</f>
        <v>#REF!</v>
      </c>
      <c r="Q753" s="191" t="e">
        <f>'[2]ACE(R)'!Q87+'[2]WCM+EZ(R)'!Q87+[2]Group!Q87</f>
        <v>#REF!</v>
      </c>
      <c r="R753" s="349" t="e">
        <f t="shared" ref="R753" si="788">SUM(O753:Q753)</f>
        <v>#REF!</v>
      </c>
      <c r="S753" s="328" t="e">
        <f t="shared" ref="S753" si="789">R753*Z753</f>
        <v>#REF!</v>
      </c>
      <c r="T753" s="191" t="e">
        <f>'[2]ACE(R)'!T87+'[2]WCM+EZ(R)'!T87+[2]Group!T87</f>
        <v>#REF!</v>
      </c>
      <c r="U753" s="191" t="e">
        <f>'[2]ACE(R)'!U87+'[2]WCM+EZ(R)'!U87+[2]Group!U87</f>
        <v>#REF!</v>
      </c>
      <c r="V753" s="191" t="e">
        <f>'[2]ACE(R)'!V87+'[2]WCM+EZ(R)'!V87+[2]Group!V87</f>
        <v>#REF!</v>
      </c>
      <c r="W753" s="349" t="e">
        <f t="shared" ref="W753" si="790">SUM(T753:V753)</f>
        <v>#REF!</v>
      </c>
      <c r="X753" s="328" t="e">
        <f t="shared" ref="X753" si="791">W753*Z753</f>
        <v>#REF!</v>
      </c>
      <c r="Y753" s="328" t="e">
        <f t="shared" ref="Y753:Y755" si="792">H753+M753+R753+W753</f>
        <v>#REF!</v>
      </c>
      <c r="Z753" s="200" t="e">
        <f>1500/Y753</f>
        <v>#REF!</v>
      </c>
      <c r="AA753" s="330" t="e">
        <f t="shared" ref="AA753:AA755" si="793">Y753*Z753</f>
        <v>#REF!</v>
      </c>
    </row>
    <row r="754" spans="1:28" ht="28.35" customHeight="1" thickBot="1">
      <c r="A754" s="332">
        <v>18</v>
      </c>
      <c r="B754" s="299"/>
      <c r="C754" s="326" t="s">
        <v>1203</v>
      </c>
      <c r="D754" s="333" t="s">
        <v>420</v>
      </c>
      <c r="E754" s="327">
        <v>0</v>
      </c>
      <c r="F754" s="327">
        <v>0</v>
      </c>
      <c r="G754" s="327">
        <v>0</v>
      </c>
      <c r="H754" s="341">
        <f t="shared" ref="H754:H755" si="794">SUM(E754:G754)</f>
        <v>0</v>
      </c>
      <c r="I754" s="328" t="e">
        <f t="shared" ref="I754:I755" si="795">H754*$Z754</f>
        <v>#DIV/0!</v>
      </c>
      <c r="J754" s="327">
        <v>0</v>
      </c>
      <c r="K754" s="327">
        <v>0</v>
      </c>
      <c r="L754" s="327">
        <v>0</v>
      </c>
      <c r="M754" s="341">
        <f t="shared" ref="M754:M755" si="796">SUM(J754:L754)</f>
        <v>0</v>
      </c>
      <c r="N754" s="328" t="e">
        <f t="shared" ref="N754:N755" si="797">M754*$Z754</f>
        <v>#DIV/0!</v>
      </c>
      <c r="O754" s="327">
        <v>0</v>
      </c>
      <c r="P754" s="327">
        <v>0</v>
      </c>
      <c r="Q754" s="327">
        <v>0</v>
      </c>
      <c r="R754" s="341">
        <f t="shared" ref="R754:R755" si="798">SUM(O754:Q754)</f>
        <v>0</v>
      </c>
      <c r="S754" s="328" t="e">
        <f t="shared" ref="S754:S755" si="799">R754*$Z754</f>
        <v>#DIV/0!</v>
      </c>
      <c r="T754" s="327">
        <v>0</v>
      </c>
      <c r="U754" s="327">
        <v>0</v>
      </c>
      <c r="V754" s="327">
        <v>0</v>
      </c>
      <c r="W754" s="341">
        <f t="shared" ref="W754:W755" si="800">SUM(T754:V754)</f>
        <v>0</v>
      </c>
      <c r="X754" s="328" t="e">
        <f t="shared" ref="X754:X755" si="801">W754*$Z754</f>
        <v>#DIV/0!</v>
      </c>
      <c r="Y754" s="328">
        <f t="shared" si="792"/>
        <v>0</v>
      </c>
      <c r="Z754" s="329" t="e">
        <f>14000/Y754</f>
        <v>#DIV/0!</v>
      </c>
      <c r="AA754" s="330" t="e">
        <f t="shared" si="793"/>
        <v>#DIV/0!</v>
      </c>
    </row>
    <row r="755" spans="1:28" ht="28.35" customHeight="1">
      <c r="A755" s="325">
        <v>19</v>
      </c>
      <c r="B755" s="299"/>
      <c r="C755" s="326" t="s">
        <v>1204</v>
      </c>
      <c r="D755" s="333" t="s">
        <v>420</v>
      </c>
      <c r="E755" s="327">
        <v>0</v>
      </c>
      <c r="F755" s="327">
        <v>0</v>
      </c>
      <c r="G755" s="327">
        <v>0</v>
      </c>
      <c r="H755" s="341">
        <f t="shared" si="794"/>
        <v>0</v>
      </c>
      <c r="I755" s="328" t="e">
        <f t="shared" si="795"/>
        <v>#DIV/0!</v>
      </c>
      <c r="J755" s="327">
        <v>0</v>
      </c>
      <c r="K755" s="327">
        <v>0</v>
      </c>
      <c r="L755" s="327">
        <v>0</v>
      </c>
      <c r="M755" s="341">
        <f t="shared" si="796"/>
        <v>0</v>
      </c>
      <c r="N755" s="328" t="e">
        <f t="shared" si="797"/>
        <v>#DIV/0!</v>
      </c>
      <c r="O755" s="327">
        <v>0</v>
      </c>
      <c r="P755" s="327">
        <v>0</v>
      </c>
      <c r="Q755" s="327">
        <v>0</v>
      </c>
      <c r="R755" s="341">
        <f t="shared" si="798"/>
        <v>0</v>
      </c>
      <c r="S755" s="328" t="e">
        <f t="shared" si="799"/>
        <v>#DIV/0!</v>
      </c>
      <c r="T755" s="327">
        <v>0</v>
      </c>
      <c r="U755" s="327">
        <v>0</v>
      </c>
      <c r="V755" s="327">
        <v>0</v>
      </c>
      <c r="W755" s="341">
        <f t="shared" si="800"/>
        <v>0</v>
      </c>
      <c r="X755" s="328" t="e">
        <f t="shared" si="801"/>
        <v>#DIV/0!</v>
      </c>
      <c r="Y755" s="328">
        <f t="shared" si="792"/>
        <v>0</v>
      </c>
      <c r="Z755" s="329" t="e">
        <f>10000/Y755</f>
        <v>#DIV/0!</v>
      </c>
      <c r="AA755" s="330" t="e">
        <f t="shared" si="793"/>
        <v>#DIV/0!</v>
      </c>
    </row>
    <row r="756" spans="1:28" ht="28.35" customHeight="1">
      <c r="A756" s="331">
        <v>20</v>
      </c>
      <c r="B756" s="299"/>
      <c r="C756" s="326" t="s">
        <v>1205</v>
      </c>
      <c r="D756" s="333" t="s">
        <v>364</v>
      </c>
      <c r="E756" s="327">
        <v>0</v>
      </c>
      <c r="F756" s="327">
        <v>0</v>
      </c>
      <c r="G756" s="327">
        <v>0</v>
      </c>
      <c r="H756" s="341">
        <f>SUM(E756:G756)</f>
        <v>0</v>
      </c>
      <c r="I756" s="328" t="e">
        <f>H756*$Z756</f>
        <v>#DIV/0!</v>
      </c>
      <c r="J756" s="327">
        <v>0</v>
      </c>
      <c r="K756" s="327">
        <v>0</v>
      </c>
      <c r="L756" s="327">
        <v>0</v>
      </c>
      <c r="M756" s="341">
        <f>SUM(J756:L756)</f>
        <v>0</v>
      </c>
      <c r="N756" s="328" t="e">
        <f>M756*$Z756</f>
        <v>#DIV/0!</v>
      </c>
      <c r="O756" s="327">
        <v>0</v>
      </c>
      <c r="P756" s="327">
        <v>0</v>
      </c>
      <c r="Q756" s="327">
        <v>0</v>
      </c>
      <c r="R756" s="341">
        <f>SUM(O756:Q756)</f>
        <v>0</v>
      </c>
      <c r="S756" s="328" t="e">
        <f>R756*$Z756</f>
        <v>#DIV/0!</v>
      </c>
      <c r="T756" s="327">
        <v>0</v>
      </c>
      <c r="U756" s="327">
        <v>0</v>
      </c>
      <c r="V756" s="327">
        <v>0</v>
      </c>
      <c r="W756" s="341">
        <f>SUM(T756:V756)</f>
        <v>0</v>
      </c>
      <c r="X756" s="328" t="e">
        <f>W756*$Z756</f>
        <v>#DIV/0!</v>
      </c>
      <c r="Y756" s="328">
        <f>H756+M756+R756+W756</f>
        <v>0</v>
      </c>
      <c r="Z756" s="329" t="e">
        <f>16800/Y756</f>
        <v>#DIV/0!</v>
      </c>
      <c r="AA756" s="330" t="e">
        <f>Y756*Z756</f>
        <v>#DIV/0!</v>
      </c>
    </row>
    <row r="757" spans="1:28" ht="28.35" customHeight="1" thickBot="1">
      <c r="A757" s="332">
        <v>21</v>
      </c>
      <c r="B757" s="299"/>
      <c r="C757" s="326" t="s">
        <v>1206</v>
      </c>
      <c r="D757" s="333" t="s">
        <v>364</v>
      </c>
      <c r="E757" s="327">
        <v>0</v>
      </c>
      <c r="F757" s="327">
        <f>0</f>
        <v>0</v>
      </c>
      <c r="G757" s="327">
        <f>0</f>
        <v>0</v>
      </c>
      <c r="H757" s="341">
        <f t="shared" ref="H757" si="802">SUM(E757:G757)</f>
        <v>0</v>
      </c>
      <c r="I757" s="328">
        <f t="shared" ref="I757" si="803">H757*$Z757</f>
        <v>0</v>
      </c>
      <c r="J757" s="327">
        <f>0</f>
        <v>0</v>
      </c>
      <c r="K757" s="327">
        <f>0</f>
        <v>0</v>
      </c>
      <c r="L757" s="327">
        <f>0</f>
        <v>0</v>
      </c>
      <c r="M757" s="341">
        <f t="shared" ref="M757" si="804">SUM(J757:L757)</f>
        <v>0</v>
      </c>
      <c r="N757" s="328">
        <f t="shared" ref="N757" si="805">M757*$Z757</f>
        <v>0</v>
      </c>
      <c r="O757" s="327">
        <f>0</f>
        <v>0</v>
      </c>
      <c r="P757" s="327">
        <f>0</f>
        <v>0</v>
      </c>
      <c r="Q757" s="327">
        <f>0</f>
        <v>0</v>
      </c>
      <c r="R757" s="341">
        <f t="shared" ref="R757" si="806">SUM(O757:Q757)</f>
        <v>0</v>
      </c>
      <c r="S757" s="328">
        <f t="shared" ref="S757" si="807">R757*$Z757</f>
        <v>0</v>
      </c>
      <c r="T757" s="327">
        <f>0</f>
        <v>0</v>
      </c>
      <c r="U757" s="327">
        <f>0</f>
        <v>0</v>
      </c>
      <c r="V757" s="327">
        <f>0</f>
        <v>0</v>
      </c>
      <c r="W757" s="341">
        <f t="shared" ref="W757" si="808">SUM(T757:V757)</f>
        <v>0</v>
      </c>
      <c r="X757" s="328">
        <f t="shared" ref="X757" si="809">W757*$Z757</f>
        <v>0</v>
      </c>
      <c r="Y757" s="328">
        <f t="shared" ref="Y757" si="810">H757+M757+R757+W757</f>
        <v>0</v>
      </c>
      <c r="Z757" s="329">
        <f>30000/6</f>
        <v>5000</v>
      </c>
      <c r="AA757" s="330">
        <f t="shared" ref="AA757" si="811">Y757*Z757</f>
        <v>0</v>
      </c>
    </row>
    <row r="758" spans="1:28" ht="28.35" customHeight="1">
      <c r="A758" s="325">
        <v>22</v>
      </c>
      <c r="B758" s="299"/>
      <c r="C758" s="326" t="s">
        <v>1207</v>
      </c>
      <c r="D758" s="333" t="s">
        <v>364</v>
      </c>
      <c r="E758" s="327">
        <v>0</v>
      </c>
      <c r="F758" s="327">
        <f>0</f>
        <v>0</v>
      </c>
      <c r="G758" s="327">
        <f>0</f>
        <v>0</v>
      </c>
      <c r="H758" s="341">
        <f>SUM(E758:G758)</f>
        <v>0</v>
      </c>
      <c r="I758" s="328">
        <f>H758*$Z758</f>
        <v>0</v>
      </c>
      <c r="J758" s="327">
        <f>0</f>
        <v>0</v>
      </c>
      <c r="K758" s="327">
        <f>0</f>
        <v>0</v>
      </c>
      <c r="L758" s="327">
        <f>0</f>
        <v>0</v>
      </c>
      <c r="M758" s="341">
        <f>SUM(J758:L758)</f>
        <v>0</v>
      </c>
      <c r="N758" s="328">
        <f>M758*$Z758</f>
        <v>0</v>
      </c>
      <c r="O758" s="327">
        <f>0</f>
        <v>0</v>
      </c>
      <c r="P758" s="327">
        <f>0</f>
        <v>0</v>
      </c>
      <c r="Q758" s="327">
        <f>0</f>
        <v>0</v>
      </c>
      <c r="R758" s="341">
        <f>SUM(O758:Q758)</f>
        <v>0</v>
      </c>
      <c r="S758" s="328">
        <f>R758*$Z758</f>
        <v>0</v>
      </c>
      <c r="T758" s="327">
        <f>0</f>
        <v>0</v>
      </c>
      <c r="U758" s="327">
        <f>0</f>
        <v>0</v>
      </c>
      <c r="V758" s="327">
        <f>0</f>
        <v>0</v>
      </c>
      <c r="W758" s="341">
        <f>SUM(T758:V758)</f>
        <v>0</v>
      </c>
      <c r="X758" s="328">
        <f>W758*$Z758</f>
        <v>0</v>
      </c>
      <c r="Y758" s="328">
        <f>H758+M758+R758+W758</f>
        <v>0</v>
      </c>
      <c r="Z758" s="329">
        <f>75000/15</f>
        <v>5000</v>
      </c>
      <c r="AA758" s="330">
        <f>Y758*Z758</f>
        <v>0</v>
      </c>
    </row>
    <row r="759" spans="1:28" ht="28.35" customHeight="1">
      <c r="A759" s="331">
        <v>23</v>
      </c>
      <c r="B759" s="299"/>
      <c r="C759" s="351" t="s">
        <v>1208</v>
      </c>
      <c r="D759" s="192" t="s">
        <v>364</v>
      </c>
      <c r="E759" s="191">
        <v>0</v>
      </c>
      <c r="F759" s="191">
        <v>0</v>
      </c>
      <c r="G759" s="191">
        <v>0</v>
      </c>
      <c r="H759" s="350">
        <f t="shared" ref="H759" si="812">SUM(E759:G759)</f>
        <v>0</v>
      </c>
      <c r="I759" s="328" t="e">
        <f t="shared" ref="I759" si="813">H759*Z759</f>
        <v>#REF!</v>
      </c>
      <c r="J759" s="191" t="e">
        <f>'[2]ACE(R)'!J84+'[2]WCM+EZ(R)'!J84+[2]Group!J84</f>
        <v>#REF!</v>
      </c>
      <c r="K759" s="191" t="e">
        <f>'[2]ACE(R)'!K84+'[2]WCM+EZ(R)'!K84+[2]Group!K84</f>
        <v>#REF!</v>
      </c>
      <c r="L759" s="191" t="e">
        <f>'[2]ACE(R)'!L84+'[2]WCM+EZ(R)'!L84+[2]Group!L84</f>
        <v>#REF!</v>
      </c>
      <c r="M759" s="349" t="e">
        <f t="shared" ref="M759" si="814">SUM(J759:L759)</f>
        <v>#REF!</v>
      </c>
      <c r="N759" s="328" t="e">
        <f t="shared" ref="N759" si="815">M759*Z759</f>
        <v>#REF!</v>
      </c>
      <c r="O759" s="191" t="e">
        <f>'[2]ACE(R)'!O84+'[2]WCM+EZ(R)'!O84+[2]Group!O84</f>
        <v>#REF!</v>
      </c>
      <c r="P759" s="191" t="e">
        <f>'[2]ACE(R)'!P84+'[2]WCM+EZ(R)'!P84+[2]Group!P84</f>
        <v>#REF!</v>
      </c>
      <c r="Q759" s="191" t="e">
        <f>'[2]ACE(R)'!Q84+'[2]WCM+EZ(R)'!Q84+[2]Group!Q84</f>
        <v>#REF!</v>
      </c>
      <c r="R759" s="349" t="e">
        <f t="shared" ref="R759" si="816">SUM(O759:Q759)</f>
        <v>#REF!</v>
      </c>
      <c r="S759" s="328" t="e">
        <f t="shared" ref="S759" si="817">R759*Z759</f>
        <v>#REF!</v>
      </c>
      <c r="T759" s="191" t="e">
        <f>'[2]ACE(R)'!T84+'[2]WCM+EZ(R)'!T84+[2]Group!T84</f>
        <v>#REF!</v>
      </c>
      <c r="U759" s="191" t="e">
        <f>'[2]ACE(R)'!U84+'[2]WCM+EZ(R)'!U84+[2]Group!U84</f>
        <v>#REF!</v>
      </c>
      <c r="V759" s="191" t="e">
        <f>'[2]ACE(R)'!V84+'[2]WCM+EZ(R)'!V84+[2]Group!V84</f>
        <v>#REF!</v>
      </c>
      <c r="W759" s="349" t="e">
        <f t="shared" ref="W759" si="818">SUM(T759:V759)</f>
        <v>#REF!</v>
      </c>
      <c r="X759" s="328" t="e">
        <f t="shared" ref="X759" si="819">W759*Z759</f>
        <v>#REF!</v>
      </c>
      <c r="Y759" s="328" t="e">
        <f t="shared" ref="Y759" si="820">H759+M759+R759+W759</f>
        <v>#REF!</v>
      </c>
      <c r="Z759" s="200" t="e">
        <f>15000/Y759</f>
        <v>#REF!</v>
      </c>
      <c r="AA759" s="330" t="e">
        <f t="shared" ref="AA759" si="821">Y759*Z759</f>
        <v>#REF!</v>
      </c>
    </row>
    <row r="760" spans="1:28" ht="28.35" customHeight="1" thickBot="1">
      <c r="A760" s="332">
        <v>24</v>
      </c>
      <c r="B760" s="299"/>
      <c r="C760" s="326" t="s">
        <v>1209</v>
      </c>
      <c r="D760" s="333" t="s">
        <v>364</v>
      </c>
      <c r="E760" s="327">
        <v>0</v>
      </c>
      <c r="F760" s="327">
        <v>0</v>
      </c>
      <c r="G760" s="327">
        <v>0</v>
      </c>
      <c r="H760" s="341">
        <f>SUM(E760:G760)</f>
        <v>0</v>
      </c>
      <c r="I760" s="328">
        <f>H760*$Z760</f>
        <v>0</v>
      </c>
      <c r="J760" s="327">
        <v>0</v>
      </c>
      <c r="K760" s="327">
        <v>0</v>
      </c>
      <c r="L760" s="327">
        <v>0</v>
      </c>
      <c r="M760" s="341">
        <f>SUM(J760:L760)</f>
        <v>0</v>
      </c>
      <c r="N760" s="328">
        <f>M760*$Z760</f>
        <v>0</v>
      </c>
      <c r="O760" s="327">
        <v>0</v>
      </c>
      <c r="P760" s="327">
        <v>0</v>
      </c>
      <c r="Q760" s="327">
        <v>0</v>
      </c>
      <c r="R760" s="341">
        <f>SUM(O760:Q760)</f>
        <v>0</v>
      </c>
      <c r="S760" s="328">
        <f>R760*$Z760</f>
        <v>0</v>
      </c>
      <c r="T760" s="327">
        <v>0</v>
      </c>
      <c r="U760" s="327">
        <v>0</v>
      </c>
      <c r="V760" s="327">
        <v>0</v>
      </c>
      <c r="W760" s="341">
        <f>SUM(T760:V760)</f>
        <v>0</v>
      </c>
      <c r="X760" s="328">
        <f>W760*$Z760</f>
        <v>0</v>
      </c>
      <c r="Y760" s="328">
        <f>H760+M760+R760+W760</f>
        <v>0</v>
      </c>
      <c r="Z760" s="329">
        <f>5000/1</f>
        <v>5000</v>
      </c>
      <c r="AA760" s="330">
        <f>Y760*Z760</f>
        <v>0</v>
      </c>
    </row>
    <row r="761" spans="1:28" ht="28.35" customHeight="1">
      <c r="A761" s="325">
        <v>25</v>
      </c>
      <c r="B761" s="299"/>
      <c r="C761" s="326" t="s">
        <v>1210</v>
      </c>
      <c r="D761" s="333" t="s">
        <v>420</v>
      </c>
      <c r="E761" s="327">
        <v>0</v>
      </c>
      <c r="F761" s="327">
        <v>0</v>
      </c>
      <c r="G761" s="327">
        <v>0</v>
      </c>
      <c r="H761" s="341">
        <f>SUM(E761:G761)</f>
        <v>0</v>
      </c>
      <c r="I761" s="328">
        <f t="shared" ref="I761" si="822">H761*$Z761</f>
        <v>0</v>
      </c>
      <c r="J761" s="327">
        <f t="shared" ref="J761:L764" si="823">0+0</f>
        <v>0</v>
      </c>
      <c r="K761" s="327">
        <f t="shared" si="823"/>
        <v>0</v>
      </c>
      <c r="L761" s="327">
        <f t="shared" si="823"/>
        <v>0</v>
      </c>
      <c r="M761" s="341">
        <f>SUM(J761:L761)</f>
        <v>0</v>
      </c>
      <c r="N761" s="328">
        <f t="shared" ref="N761" si="824">M761*$Z761</f>
        <v>0</v>
      </c>
      <c r="O761" s="327">
        <f t="shared" ref="O761:Q764" si="825">0+0</f>
        <v>0</v>
      </c>
      <c r="P761" s="327">
        <f t="shared" si="825"/>
        <v>0</v>
      </c>
      <c r="Q761" s="327">
        <f t="shared" si="825"/>
        <v>0</v>
      </c>
      <c r="R761" s="341">
        <f>SUM(O761:Q761)</f>
        <v>0</v>
      </c>
      <c r="S761" s="328">
        <f t="shared" ref="S761" si="826">R761*$Z761</f>
        <v>0</v>
      </c>
      <c r="T761" s="327">
        <f t="shared" ref="T761:V764" si="827">0+0</f>
        <v>0</v>
      </c>
      <c r="U761" s="327">
        <f t="shared" si="827"/>
        <v>0</v>
      </c>
      <c r="V761" s="327">
        <f t="shared" si="827"/>
        <v>0</v>
      </c>
      <c r="W761" s="341">
        <f>SUM(T761:V761)</f>
        <v>0</v>
      </c>
      <c r="X761" s="328">
        <f t="shared" ref="X761" si="828">W761*$Z761</f>
        <v>0</v>
      </c>
      <c r="Y761" s="328">
        <f>H761+M761+R761+W761</f>
        <v>0</v>
      </c>
      <c r="Z761" s="329">
        <f>10000</f>
        <v>10000</v>
      </c>
      <c r="AA761" s="330">
        <f>Y761*Z761</f>
        <v>0</v>
      </c>
    </row>
    <row r="762" spans="1:28" s="650" customFormat="1" ht="28.35" customHeight="1" thickBot="1">
      <c r="A762" s="641">
        <v>26</v>
      </c>
      <c r="B762" s="642"/>
      <c r="C762" s="643"/>
      <c r="D762" s="644"/>
      <c r="E762" s="645"/>
      <c r="F762" s="645"/>
      <c r="G762" s="645"/>
      <c r="H762" s="645"/>
      <c r="I762" s="646"/>
      <c r="J762" s="645"/>
      <c r="K762" s="645"/>
      <c r="L762" s="645"/>
      <c r="M762" s="645"/>
      <c r="N762" s="646"/>
      <c r="O762" s="645"/>
      <c r="P762" s="645"/>
      <c r="Q762" s="645"/>
      <c r="R762" s="645"/>
      <c r="S762" s="646"/>
      <c r="T762" s="645"/>
      <c r="U762" s="645"/>
      <c r="V762" s="645"/>
      <c r="W762" s="645"/>
      <c r="X762" s="646"/>
      <c r="Y762" s="646"/>
      <c r="Z762" s="647"/>
      <c r="AA762" s="648"/>
      <c r="AB762" s="649"/>
    </row>
    <row r="763" spans="1:28" ht="28.35" customHeight="1" thickBot="1">
      <c r="A763" s="325">
        <v>25</v>
      </c>
      <c r="B763" s="299"/>
      <c r="C763" s="654" t="s">
        <v>1438</v>
      </c>
      <c r="D763" s="333" t="s">
        <v>420</v>
      </c>
      <c r="E763" s="327">
        <v>0</v>
      </c>
      <c r="F763" s="327">
        <v>0</v>
      </c>
      <c r="G763" s="327">
        <v>4</v>
      </c>
      <c r="H763" s="341">
        <f>SUM(E763:G763)</f>
        <v>4</v>
      </c>
      <c r="I763" s="328">
        <f t="shared" ref="I763" si="829">H763*$Z763</f>
        <v>72000</v>
      </c>
      <c r="J763" s="327">
        <f t="shared" si="823"/>
        <v>0</v>
      </c>
      <c r="K763" s="327">
        <f t="shared" si="823"/>
        <v>0</v>
      </c>
      <c r="L763" s="327">
        <f t="shared" si="823"/>
        <v>0</v>
      </c>
      <c r="M763" s="341">
        <f>SUM(J763:L763)</f>
        <v>0</v>
      </c>
      <c r="N763" s="328">
        <f t="shared" ref="N763" si="830">M763*$Z763</f>
        <v>0</v>
      </c>
      <c r="O763" s="327">
        <f t="shared" si="825"/>
        <v>0</v>
      </c>
      <c r="P763" s="327">
        <f t="shared" si="825"/>
        <v>0</v>
      </c>
      <c r="Q763" s="327">
        <f t="shared" si="825"/>
        <v>0</v>
      </c>
      <c r="R763" s="341">
        <f>SUM(O763:Q763)</f>
        <v>0</v>
      </c>
      <c r="S763" s="328">
        <f t="shared" ref="S763" si="831">R763*$Z763</f>
        <v>0</v>
      </c>
      <c r="T763" s="327">
        <f t="shared" si="827"/>
        <v>0</v>
      </c>
      <c r="U763" s="327">
        <f t="shared" si="827"/>
        <v>0</v>
      </c>
      <c r="V763" s="327">
        <f t="shared" si="827"/>
        <v>0</v>
      </c>
      <c r="W763" s="341">
        <f>SUM(T763:V763)</f>
        <v>0</v>
      </c>
      <c r="X763" s="328">
        <f t="shared" ref="X763" si="832">W763*$Z763</f>
        <v>0</v>
      </c>
      <c r="Y763" s="328">
        <f>H763+M763+R763+W763</f>
        <v>4</v>
      </c>
      <c r="Z763" s="329">
        <f>18000</f>
        <v>18000</v>
      </c>
      <c r="AA763" s="330">
        <f>Y763*Z763</f>
        <v>72000</v>
      </c>
    </row>
    <row r="764" spans="1:28" ht="28.35" customHeight="1">
      <c r="A764" s="325">
        <v>28</v>
      </c>
      <c r="B764" s="299"/>
      <c r="C764" s="654" t="s">
        <v>1637</v>
      </c>
      <c r="D764" s="333" t="s">
        <v>420</v>
      </c>
      <c r="E764" s="327">
        <v>0</v>
      </c>
      <c r="F764" s="327">
        <v>0</v>
      </c>
      <c r="G764" s="327">
        <v>1</v>
      </c>
      <c r="H764" s="341">
        <f>SUM(E764:G764)</f>
        <v>1</v>
      </c>
      <c r="I764" s="328">
        <f t="shared" ref="I764" si="833">H764*$Z764</f>
        <v>12000</v>
      </c>
      <c r="J764" s="327">
        <f t="shared" si="823"/>
        <v>0</v>
      </c>
      <c r="K764" s="327">
        <f t="shared" si="823"/>
        <v>0</v>
      </c>
      <c r="L764" s="327">
        <f t="shared" si="823"/>
        <v>0</v>
      </c>
      <c r="M764" s="341">
        <f>SUM(J764:L764)</f>
        <v>0</v>
      </c>
      <c r="N764" s="328">
        <f t="shared" ref="N764" si="834">M764*$Z764</f>
        <v>0</v>
      </c>
      <c r="O764" s="327">
        <f t="shared" si="825"/>
        <v>0</v>
      </c>
      <c r="P764" s="327">
        <f t="shared" si="825"/>
        <v>0</v>
      </c>
      <c r="Q764" s="327">
        <f t="shared" si="825"/>
        <v>0</v>
      </c>
      <c r="R764" s="341">
        <f>SUM(O764:Q764)</f>
        <v>0</v>
      </c>
      <c r="S764" s="328">
        <f t="shared" ref="S764" si="835">R764*$Z764</f>
        <v>0</v>
      </c>
      <c r="T764" s="327">
        <f t="shared" si="827"/>
        <v>0</v>
      </c>
      <c r="U764" s="327">
        <f t="shared" si="827"/>
        <v>0</v>
      </c>
      <c r="V764" s="327">
        <f t="shared" si="827"/>
        <v>0</v>
      </c>
      <c r="W764" s="341">
        <f>SUM(T764:V764)</f>
        <v>0</v>
      </c>
      <c r="X764" s="328">
        <f t="shared" ref="X764" si="836">W764*$Z764</f>
        <v>0</v>
      </c>
      <c r="Y764" s="328">
        <f>H764+M764+R764+W764</f>
        <v>1</v>
      </c>
      <c r="Z764" s="329">
        <v>12000</v>
      </c>
      <c r="AA764" s="330">
        <f>Y764*Z764</f>
        <v>12000</v>
      </c>
    </row>
    <row r="765" spans="1:28" ht="28.35" customHeight="1">
      <c r="A765" s="331">
        <v>29</v>
      </c>
      <c r="B765" s="299"/>
      <c r="C765" s="326"/>
      <c r="D765" s="333"/>
      <c r="E765" s="327"/>
      <c r="F765" s="327"/>
      <c r="G765" s="327"/>
      <c r="H765" s="341"/>
      <c r="I765" s="328"/>
      <c r="J765" s="327"/>
      <c r="K765" s="327"/>
      <c r="L765" s="327"/>
      <c r="M765" s="341"/>
      <c r="N765" s="328"/>
      <c r="O765" s="327"/>
      <c r="P765" s="327"/>
      <c r="Q765" s="327"/>
      <c r="R765" s="341"/>
      <c r="S765" s="328"/>
      <c r="T765" s="327"/>
      <c r="U765" s="327"/>
      <c r="V765" s="327"/>
      <c r="W765" s="341"/>
      <c r="X765" s="328"/>
      <c r="Y765" s="328"/>
      <c r="Z765" s="329"/>
      <c r="AA765" s="330"/>
    </row>
    <row r="766" spans="1:28" ht="28.35" customHeight="1" thickBot="1">
      <c r="A766" s="332">
        <v>30</v>
      </c>
      <c r="B766" s="299"/>
      <c r="C766" s="326"/>
      <c r="D766" s="333"/>
      <c r="E766" s="327"/>
      <c r="F766" s="327"/>
      <c r="G766" s="327"/>
      <c r="H766" s="341"/>
      <c r="I766" s="328"/>
      <c r="J766" s="327"/>
      <c r="K766" s="327"/>
      <c r="L766" s="327"/>
      <c r="M766" s="341"/>
      <c r="N766" s="328"/>
      <c r="O766" s="327"/>
      <c r="P766" s="327"/>
      <c r="Q766" s="327"/>
      <c r="R766" s="341"/>
      <c r="S766" s="328"/>
      <c r="T766" s="327"/>
      <c r="U766" s="327"/>
      <c r="V766" s="327"/>
      <c r="W766" s="341"/>
      <c r="X766" s="328"/>
      <c r="Y766" s="328"/>
      <c r="Z766" s="329"/>
      <c r="AA766" s="330"/>
    </row>
    <row r="767" spans="1:28" ht="28.35" customHeight="1">
      <c r="A767" s="325">
        <v>31</v>
      </c>
      <c r="B767" s="299"/>
      <c r="C767" s="326"/>
      <c r="D767" s="333"/>
      <c r="E767" s="327"/>
      <c r="F767" s="327"/>
      <c r="G767" s="327"/>
      <c r="H767" s="341"/>
      <c r="I767" s="328"/>
      <c r="J767" s="327"/>
      <c r="K767" s="327"/>
      <c r="L767" s="327"/>
      <c r="M767" s="341"/>
      <c r="N767" s="328"/>
      <c r="O767" s="327"/>
      <c r="P767" s="327"/>
      <c r="Q767" s="327"/>
      <c r="R767" s="341"/>
      <c r="S767" s="328"/>
      <c r="T767" s="327"/>
      <c r="U767" s="327"/>
      <c r="V767" s="327"/>
      <c r="W767" s="341"/>
      <c r="X767" s="328"/>
      <c r="Y767" s="328"/>
      <c r="Z767" s="329"/>
      <c r="AA767" s="330"/>
    </row>
    <row r="768" spans="1:28" ht="28.35" customHeight="1">
      <c r="A768" s="331">
        <v>32</v>
      </c>
      <c r="B768" s="299"/>
      <c r="C768" s="326"/>
      <c r="D768" s="333"/>
      <c r="E768" s="327"/>
      <c r="F768" s="327"/>
      <c r="G768" s="327"/>
      <c r="H768" s="341"/>
      <c r="I768" s="328"/>
      <c r="J768" s="327"/>
      <c r="K768" s="327"/>
      <c r="L768" s="327"/>
      <c r="M768" s="341"/>
      <c r="N768" s="328"/>
      <c r="O768" s="327"/>
      <c r="P768" s="327"/>
      <c r="Q768" s="327"/>
      <c r="R768" s="341"/>
      <c r="S768" s="328"/>
      <c r="T768" s="327"/>
      <c r="U768" s="327"/>
      <c r="V768" s="327"/>
      <c r="W768" s="341"/>
      <c r="X768" s="328"/>
      <c r="Y768" s="328"/>
      <c r="Z768" s="329"/>
      <c r="AA768" s="330"/>
    </row>
    <row r="769" spans="1:27" ht="28.35" customHeight="1" thickBot="1">
      <c r="A769" s="332">
        <v>33</v>
      </c>
      <c r="B769" s="299"/>
      <c r="C769" s="326"/>
      <c r="D769" s="333"/>
      <c r="E769" s="327"/>
      <c r="F769" s="327"/>
      <c r="G769" s="327"/>
      <c r="H769" s="341"/>
      <c r="I769" s="328"/>
      <c r="J769" s="327"/>
      <c r="K769" s="327"/>
      <c r="L769" s="327"/>
      <c r="M769" s="341"/>
      <c r="N769" s="328"/>
      <c r="O769" s="327"/>
      <c r="P769" s="327"/>
      <c r="Q769" s="327"/>
      <c r="R769" s="341"/>
      <c r="S769" s="328"/>
      <c r="T769" s="327"/>
      <c r="U769" s="327"/>
      <c r="V769" s="327"/>
      <c r="W769" s="341"/>
      <c r="X769" s="328"/>
      <c r="Y769" s="328"/>
      <c r="Z769" s="329"/>
      <c r="AA769" s="330"/>
    </row>
    <row r="770" spans="1:27" ht="28.35" customHeight="1">
      <c r="A770" s="325">
        <v>34</v>
      </c>
      <c r="B770" s="299"/>
      <c r="C770" s="326"/>
      <c r="D770" s="333"/>
      <c r="E770" s="327"/>
      <c r="F770" s="327"/>
      <c r="G770" s="327"/>
      <c r="H770" s="341"/>
      <c r="I770" s="328"/>
      <c r="J770" s="327"/>
      <c r="K770" s="327"/>
      <c r="L770" s="327"/>
      <c r="M770" s="341"/>
      <c r="N770" s="328"/>
      <c r="O770" s="327"/>
      <c r="P770" s="327"/>
      <c r="Q770" s="327"/>
      <c r="R770" s="341"/>
      <c r="S770" s="328"/>
      <c r="T770" s="327"/>
      <c r="U770" s="327"/>
      <c r="V770" s="327"/>
      <c r="W770" s="341"/>
      <c r="X770" s="328"/>
      <c r="Y770" s="328"/>
      <c r="Z770" s="329"/>
      <c r="AA770" s="330"/>
    </row>
    <row r="771" spans="1:27" ht="28.35" customHeight="1">
      <c r="A771" s="331">
        <v>35</v>
      </c>
      <c r="B771" s="299"/>
      <c r="C771" s="326"/>
      <c r="D771" s="333"/>
      <c r="E771" s="327"/>
      <c r="F771" s="327"/>
      <c r="G771" s="327"/>
      <c r="H771" s="341"/>
      <c r="I771" s="328"/>
      <c r="J771" s="327"/>
      <c r="K771" s="327"/>
      <c r="L771" s="327"/>
      <c r="M771" s="341"/>
      <c r="N771" s="328"/>
      <c r="O771" s="327"/>
      <c r="P771" s="327"/>
      <c r="Q771" s="327"/>
      <c r="R771" s="341"/>
      <c r="S771" s="328"/>
      <c r="T771" s="327"/>
      <c r="U771" s="327"/>
      <c r="V771" s="327"/>
      <c r="W771" s="341"/>
      <c r="X771" s="328"/>
      <c r="Y771" s="328"/>
      <c r="Z771" s="329"/>
      <c r="AA771" s="330"/>
    </row>
    <row r="772" spans="1:27" ht="28.35" customHeight="1" thickBot="1">
      <c r="A772" s="332">
        <v>36</v>
      </c>
      <c r="B772" s="299"/>
      <c r="C772" s="326"/>
      <c r="D772" s="333"/>
      <c r="E772" s="327"/>
      <c r="F772" s="327"/>
      <c r="G772" s="327"/>
      <c r="H772" s="341"/>
      <c r="I772" s="328"/>
      <c r="J772" s="327"/>
      <c r="K772" s="327"/>
      <c r="L772" s="327"/>
      <c r="M772" s="341"/>
      <c r="N772" s="328"/>
      <c r="O772" s="327"/>
      <c r="P772" s="327"/>
      <c r="Q772" s="327"/>
      <c r="R772" s="341"/>
      <c r="S772" s="328"/>
      <c r="T772" s="327"/>
      <c r="U772" s="327"/>
      <c r="V772" s="327"/>
      <c r="W772" s="341"/>
      <c r="X772" s="328"/>
      <c r="Y772" s="328"/>
      <c r="Z772" s="329"/>
      <c r="AA772" s="330"/>
    </row>
    <row r="773" spans="1:27" ht="28.35" customHeight="1">
      <c r="A773" s="325">
        <v>37</v>
      </c>
      <c r="B773" s="299"/>
      <c r="C773" s="326"/>
      <c r="D773" s="333"/>
      <c r="E773" s="327"/>
      <c r="F773" s="327"/>
      <c r="G773" s="327"/>
      <c r="H773" s="341"/>
      <c r="I773" s="328"/>
      <c r="J773" s="327"/>
      <c r="K773" s="327"/>
      <c r="L773" s="327"/>
      <c r="M773" s="341"/>
      <c r="N773" s="328"/>
      <c r="O773" s="327"/>
      <c r="P773" s="327"/>
      <c r="Q773" s="327"/>
      <c r="R773" s="341"/>
      <c r="S773" s="328"/>
      <c r="T773" s="327"/>
      <c r="U773" s="327"/>
      <c r="V773" s="327"/>
      <c r="W773" s="341"/>
      <c r="X773" s="328"/>
      <c r="Y773" s="328"/>
      <c r="Z773" s="329"/>
      <c r="AA773" s="330"/>
    </row>
    <row r="774" spans="1:27" ht="28.35" customHeight="1">
      <c r="A774" s="331">
        <v>38</v>
      </c>
      <c r="B774" s="299"/>
      <c r="C774" s="326"/>
      <c r="D774" s="333"/>
      <c r="E774" s="327"/>
      <c r="F774" s="327"/>
      <c r="G774" s="327"/>
      <c r="H774" s="341"/>
      <c r="I774" s="328"/>
      <c r="J774" s="327"/>
      <c r="K774" s="327"/>
      <c r="L774" s="327"/>
      <c r="M774" s="341"/>
      <c r="N774" s="328"/>
      <c r="O774" s="327"/>
      <c r="P774" s="327"/>
      <c r="Q774" s="327"/>
      <c r="R774" s="341"/>
      <c r="S774" s="328"/>
      <c r="T774" s="327"/>
      <c r="U774" s="327"/>
      <c r="V774" s="327"/>
      <c r="W774" s="341"/>
      <c r="X774" s="328"/>
      <c r="Y774" s="328"/>
      <c r="Z774" s="329"/>
      <c r="AA774" s="330"/>
    </row>
    <row r="775" spans="1:27" ht="28.35" customHeight="1" thickBot="1">
      <c r="A775" s="332">
        <v>39</v>
      </c>
      <c r="B775" s="299"/>
      <c r="C775" s="326"/>
      <c r="D775" s="333"/>
      <c r="E775" s="327"/>
      <c r="F775" s="327"/>
      <c r="G775" s="327"/>
      <c r="H775" s="341"/>
      <c r="I775" s="328"/>
      <c r="J775" s="327"/>
      <c r="K775" s="327"/>
      <c r="L775" s="327"/>
      <c r="M775" s="341"/>
      <c r="N775" s="328"/>
      <c r="O775" s="327"/>
      <c r="P775" s="327"/>
      <c r="Q775" s="327"/>
      <c r="R775" s="341"/>
      <c r="S775" s="328"/>
      <c r="T775" s="327"/>
      <c r="U775" s="327"/>
      <c r="V775" s="327"/>
      <c r="W775" s="341"/>
      <c r="X775" s="328"/>
      <c r="Y775" s="328"/>
      <c r="Z775" s="329"/>
      <c r="AA775" s="330"/>
    </row>
    <row r="776" spans="1:27" ht="28.35" customHeight="1">
      <c r="A776" s="325">
        <v>40</v>
      </c>
      <c r="B776" s="299"/>
      <c r="C776" s="326"/>
      <c r="D776" s="333"/>
      <c r="E776" s="327"/>
      <c r="F776" s="327"/>
      <c r="G776" s="327"/>
      <c r="H776" s="341"/>
      <c r="I776" s="328"/>
      <c r="J776" s="327"/>
      <c r="K776" s="327"/>
      <c r="L776" s="327"/>
      <c r="M776" s="341"/>
      <c r="N776" s="328"/>
      <c r="O776" s="327"/>
      <c r="P776" s="327"/>
      <c r="Q776" s="327"/>
      <c r="R776" s="341"/>
      <c r="S776" s="328"/>
      <c r="T776" s="327"/>
      <c r="U776" s="327"/>
      <c r="V776" s="327"/>
      <c r="W776" s="341"/>
      <c r="X776" s="328"/>
      <c r="Y776" s="328"/>
      <c r="Z776" s="329"/>
      <c r="AA776" s="330"/>
    </row>
    <row r="777" spans="1:27" ht="28.35" customHeight="1">
      <c r="A777" s="331">
        <v>41</v>
      </c>
      <c r="B777" s="299"/>
      <c r="C777" s="326"/>
      <c r="D777" s="333"/>
      <c r="E777" s="327"/>
      <c r="F777" s="327"/>
      <c r="G777" s="327"/>
      <c r="H777" s="341"/>
      <c r="I777" s="328"/>
      <c r="J777" s="327"/>
      <c r="K777" s="327"/>
      <c r="L777" s="327"/>
      <c r="M777" s="341"/>
      <c r="N777" s="328"/>
      <c r="O777" s="327"/>
      <c r="P777" s="327"/>
      <c r="Q777" s="327"/>
      <c r="R777" s="341"/>
      <c r="S777" s="328"/>
      <c r="T777" s="327"/>
      <c r="U777" s="327"/>
      <c r="V777" s="327"/>
      <c r="W777" s="341"/>
      <c r="X777" s="328"/>
      <c r="Y777" s="328"/>
      <c r="Z777" s="329"/>
      <c r="AA777" s="330"/>
    </row>
    <row r="778" spans="1:27" ht="28.35" customHeight="1" thickBot="1">
      <c r="A778" s="332">
        <v>42</v>
      </c>
      <c r="B778" s="299"/>
      <c r="C778" s="326"/>
      <c r="D778" s="333"/>
      <c r="E778" s="327"/>
      <c r="F778" s="327"/>
      <c r="G778" s="327"/>
      <c r="H778" s="341"/>
      <c r="I778" s="328"/>
      <c r="J778" s="327"/>
      <c r="K778" s="327"/>
      <c r="L778" s="327"/>
      <c r="M778" s="341"/>
      <c r="N778" s="328"/>
      <c r="O778" s="327"/>
      <c r="P778" s="327"/>
      <c r="Q778" s="327"/>
      <c r="R778" s="341"/>
      <c r="S778" s="328"/>
      <c r="T778" s="327"/>
      <c r="U778" s="327"/>
      <c r="V778" s="327"/>
      <c r="W778" s="341"/>
      <c r="X778" s="328"/>
      <c r="Y778" s="328"/>
      <c r="Z778" s="329"/>
      <c r="AA778" s="330"/>
    </row>
    <row r="779" spans="1:27" ht="28.35" customHeight="1">
      <c r="A779" s="325">
        <v>43</v>
      </c>
      <c r="B779" s="299"/>
      <c r="C779" s="326"/>
      <c r="D779" s="333"/>
      <c r="E779" s="327"/>
      <c r="F779" s="327"/>
      <c r="G779" s="327"/>
      <c r="H779" s="341"/>
      <c r="I779" s="328"/>
      <c r="J779" s="327"/>
      <c r="K779" s="327"/>
      <c r="L779" s="327"/>
      <c r="M779" s="341"/>
      <c r="N779" s="328"/>
      <c r="O779" s="327"/>
      <c r="P779" s="327"/>
      <c r="Q779" s="327"/>
      <c r="R779" s="341"/>
      <c r="S779" s="328"/>
      <c r="T779" s="327"/>
      <c r="U779" s="327"/>
      <c r="V779" s="327"/>
      <c r="W779" s="341"/>
      <c r="X779" s="328"/>
      <c r="Y779" s="328"/>
      <c r="Z779" s="329"/>
      <c r="AA779" s="330"/>
    </row>
    <row r="780" spans="1:27" ht="28.35" customHeight="1">
      <c r="A780" s="331">
        <v>44</v>
      </c>
      <c r="B780" s="299"/>
      <c r="C780" s="326"/>
      <c r="D780" s="333"/>
      <c r="E780" s="327"/>
      <c r="F780" s="327"/>
      <c r="G780" s="327"/>
      <c r="H780" s="341"/>
      <c r="I780" s="328"/>
      <c r="J780" s="327"/>
      <c r="K780" s="327"/>
      <c r="L780" s="327"/>
      <c r="M780" s="341"/>
      <c r="N780" s="328"/>
      <c r="O780" s="327"/>
      <c r="P780" s="327"/>
      <c r="Q780" s="327"/>
      <c r="R780" s="341"/>
      <c r="S780" s="328"/>
      <c r="T780" s="327"/>
      <c r="U780" s="327"/>
      <c r="V780" s="327"/>
      <c r="W780" s="341"/>
      <c r="X780" s="328"/>
      <c r="Y780" s="328"/>
      <c r="Z780" s="329"/>
      <c r="AA780" s="330"/>
    </row>
    <row r="781" spans="1:27" ht="28.35" customHeight="1" thickBot="1">
      <c r="A781" s="332">
        <v>45</v>
      </c>
      <c r="B781" s="299"/>
      <c r="C781" s="326"/>
      <c r="D781" s="333"/>
      <c r="E781" s="327"/>
      <c r="F781" s="327"/>
      <c r="G781" s="327"/>
      <c r="H781" s="341"/>
      <c r="I781" s="328"/>
      <c r="J781" s="327"/>
      <c r="K781" s="327"/>
      <c r="L781" s="327"/>
      <c r="M781" s="341"/>
      <c r="N781" s="328"/>
      <c r="O781" s="327"/>
      <c r="P781" s="327"/>
      <c r="Q781" s="327"/>
      <c r="R781" s="341"/>
      <c r="S781" s="328"/>
      <c r="T781" s="327"/>
      <c r="U781" s="327"/>
      <c r="V781" s="327"/>
      <c r="W781" s="341"/>
      <c r="X781" s="328"/>
      <c r="Y781" s="328"/>
      <c r="Z781" s="329"/>
      <c r="AA781" s="330"/>
    </row>
    <row r="782" spans="1:27" ht="28.35" customHeight="1">
      <c r="A782" s="325">
        <v>46</v>
      </c>
      <c r="B782" s="299"/>
      <c r="C782" s="326"/>
      <c r="D782" s="333"/>
      <c r="E782" s="327"/>
      <c r="F782" s="327"/>
      <c r="G782" s="327"/>
      <c r="H782" s="341"/>
      <c r="I782" s="328"/>
      <c r="J782" s="327"/>
      <c r="K782" s="327"/>
      <c r="L782" s="327"/>
      <c r="M782" s="341"/>
      <c r="N782" s="328"/>
      <c r="O782" s="327"/>
      <c r="P782" s="327"/>
      <c r="Q782" s="327"/>
      <c r="R782" s="341"/>
      <c r="S782" s="328"/>
      <c r="T782" s="327"/>
      <c r="U782" s="327"/>
      <c r="V782" s="327"/>
      <c r="W782" s="341"/>
      <c r="X782" s="328"/>
      <c r="Y782" s="328"/>
      <c r="Z782" s="329"/>
      <c r="AA782" s="330"/>
    </row>
    <row r="783" spans="1:27" ht="28.35" customHeight="1">
      <c r="A783" s="331">
        <v>47</v>
      </c>
      <c r="B783" s="299"/>
      <c r="C783" s="326"/>
      <c r="D783" s="333"/>
      <c r="E783" s="327"/>
      <c r="F783" s="327"/>
      <c r="G783" s="327"/>
      <c r="H783" s="341"/>
      <c r="I783" s="328"/>
      <c r="J783" s="327"/>
      <c r="K783" s="327"/>
      <c r="L783" s="327"/>
      <c r="M783" s="341"/>
      <c r="N783" s="328"/>
      <c r="O783" s="327"/>
      <c r="P783" s="327"/>
      <c r="Q783" s="327"/>
      <c r="R783" s="341"/>
      <c r="S783" s="328"/>
      <c r="T783" s="327"/>
      <c r="U783" s="327"/>
      <c r="V783" s="327"/>
      <c r="W783" s="341"/>
      <c r="X783" s="328"/>
      <c r="Y783" s="328"/>
      <c r="Z783" s="329"/>
      <c r="AA783" s="330"/>
    </row>
    <row r="784" spans="1:27" ht="28.35" customHeight="1" thickBot="1">
      <c r="A784" s="332">
        <v>48</v>
      </c>
      <c r="B784" s="299"/>
      <c r="C784" s="326"/>
      <c r="D784" s="333"/>
      <c r="E784" s="327"/>
      <c r="F784" s="327"/>
      <c r="G784" s="327"/>
      <c r="H784" s="341"/>
      <c r="I784" s="328"/>
      <c r="J784" s="327"/>
      <c r="K784" s="327"/>
      <c r="L784" s="327"/>
      <c r="M784" s="341"/>
      <c r="N784" s="328"/>
      <c r="O784" s="327"/>
      <c r="P784" s="327"/>
      <c r="Q784" s="327"/>
      <c r="R784" s="341"/>
      <c r="S784" s="328"/>
      <c r="T784" s="327"/>
      <c r="U784" s="327"/>
      <c r="V784" s="327"/>
      <c r="W784" s="341"/>
      <c r="X784" s="328"/>
      <c r="Y784" s="328"/>
      <c r="Z784" s="329"/>
      <c r="AA784" s="330"/>
    </row>
    <row r="785" spans="1:27" ht="28.35" customHeight="1">
      <c r="A785" s="325">
        <v>49</v>
      </c>
      <c r="B785" s="299"/>
      <c r="C785" s="326"/>
      <c r="D785" s="333"/>
      <c r="E785" s="327"/>
      <c r="F785" s="327"/>
      <c r="G785" s="327"/>
      <c r="H785" s="341"/>
      <c r="I785" s="328"/>
      <c r="J785" s="327"/>
      <c r="K785" s="327"/>
      <c r="L785" s="327"/>
      <c r="M785" s="341"/>
      <c r="N785" s="328"/>
      <c r="O785" s="327"/>
      <c r="P785" s="327"/>
      <c r="Q785" s="327"/>
      <c r="R785" s="341"/>
      <c r="S785" s="328"/>
      <c r="T785" s="327"/>
      <c r="U785" s="327"/>
      <c r="V785" s="327"/>
      <c r="W785" s="341"/>
      <c r="X785" s="328"/>
      <c r="Y785" s="328"/>
      <c r="Z785" s="329"/>
      <c r="AA785" s="330"/>
    </row>
    <row r="786" spans="1:27" ht="28.35" customHeight="1">
      <c r="A786" s="331">
        <v>50</v>
      </c>
      <c r="B786" s="299"/>
      <c r="C786" s="347"/>
      <c r="D786" s="333"/>
      <c r="E786" s="327"/>
      <c r="F786" s="327"/>
      <c r="G786" s="327"/>
      <c r="H786" s="341"/>
      <c r="I786" s="328"/>
      <c r="J786" s="327"/>
      <c r="K786" s="327"/>
      <c r="L786" s="327"/>
      <c r="M786" s="341"/>
      <c r="N786" s="328"/>
      <c r="O786" s="327"/>
      <c r="P786" s="327"/>
      <c r="Q786" s="327"/>
      <c r="R786" s="341"/>
      <c r="S786" s="328"/>
      <c r="T786" s="327"/>
      <c r="U786" s="327"/>
      <c r="V786" s="327"/>
      <c r="W786" s="341"/>
      <c r="X786" s="328"/>
      <c r="Y786" s="328"/>
      <c r="Z786" s="329"/>
      <c r="AA786" s="330"/>
    </row>
    <row r="787" spans="1:27" ht="28.35" customHeight="1" thickBot="1">
      <c r="A787" s="332">
        <v>51</v>
      </c>
      <c r="B787" s="299"/>
      <c r="C787" s="326"/>
      <c r="D787" s="333"/>
      <c r="E787" s="327"/>
      <c r="F787" s="327"/>
      <c r="G787" s="327"/>
      <c r="H787" s="341"/>
      <c r="I787" s="328"/>
      <c r="J787" s="327"/>
      <c r="K787" s="327"/>
      <c r="L787" s="327"/>
      <c r="M787" s="341"/>
      <c r="N787" s="328"/>
      <c r="O787" s="327"/>
      <c r="P787" s="327"/>
      <c r="Q787" s="327"/>
      <c r="R787" s="341"/>
      <c r="S787" s="328"/>
      <c r="T787" s="327"/>
      <c r="U787" s="327"/>
      <c r="V787" s="327"/>
      <c r="W787" s="341"/>
      <c r="X787" s="328"/>
      <c r="Y787" s="328"/>
      <c r="Z787" s="329"/>
      <c r="AA787" s="330"/>
    </row>
    <row r="788" spans="1:27" ht="28.35" customHeight="1">
      <c r="A788" s="325">
        <v>52</v>
      </c>
      <c r="B788" s="299"/>
      <c r="C788" s="348"/>
      <c r="D788" s="349"/>
      <c r="E788" s="191"/>
      <c r="F788" s="191"/>
      <c r="G788" s="191"/>
      <c r="H788" s="350"/>
      <c r="I788" s="328"/>
      <c r="J788" s="191"/>
      <c r="K788" s="191"/>
      <c r="L788" s="191"/>
      <c r="M788" s="349"/>
      <c r="N788" s="328"/>
      <c r="O788" s="191"/>
      <c r="P788" s="191"/>
      <c r="Q788" s="191"/>
      <c r="R788" s="349"/>
      <c r="S788" s="328"/>
      <c r="T788" s="191"/>
      <c r="U788" s="191"/>
      <c r="V788" s="191"/>
      <c r="W788" s="349"/>
      <c r="X788" s="328"/>
      <c r="Y788" s="328"/>
      <c r="Z788" s="200"/>
      <c r="AA788" s="330"/>
    </row>
    <row r="789" spans="1:27" ht="28.35" customHeight="1">
      <c r="A789" s="331">
        <v>53</v>
      </c>
      <c r="B789" s="299"/>
      <c r="C789" s="348"/>
      <c r="D789" s="349"/>
      <c r="E789" s="191"/>
      <c r="F789" s="191"/>
      <c r="G789" s="191"/>
      <c r="H789" s="350"/>
      <c r="I789" s="328"/>
      <c r="J789" s="191"/>
      <c r="K789" s="191"/>
      <c r="L789" s="191"/>
      <c r="M789" s="349"/>
      <c r="N789" s="328"/>
      <c r="O789" s="191"/>
      <c r="P789" s="191"/>
      <c r="Q789" s="191"/>
      <c r="R789" s="349"/>
      <c r="S789" s="328"/>
      <c r="T789" s="191"/>
      <c r="U789" s="191"/>
      <c r="V789" s="191"/>
      <c r="W789" s="349"/>
      <c r="X789" s="328"/>
      <c r="Y789" s="328"/>
      <c r="Z789" s="200"/>
      <c r="AA789" s="330"/>
    </row>
    <row r="790" spans="1:27" ht="28.35" customHeight="1" thickBot="1">
      <c r="A790" s="332">
        <v>54</v>
      </c>
      <c r="B790" s="299"/>
      <c r="C790" s="326"/>
      <c r="D790" s="333"/>
      <c r="E790" s="327"/>
      <c r="F790" s="327"/>
      <c r="G790" s="327"/>
      <c r="H790" s="341"/>
      <c r="I790" s="328"/>
      <c r="J790" s="327"/>
      <c r="K790" s="327"/>
      <c r="L790" s="327"/>
      <c r="M790" s="341"/>
      <c r="N790" s="328"/>
      <c r="O790" s="327"/>
      <c r="P790" s="327"/>
      <c r="Q790" s="327"/>
      <c r="R790" s="341"/>
      <c r="S790" s="328"/>
      <c r="T790" s="327"/>
      <c r="U790" s="327"/>
      <c r="V790" s="327"/>
      <c r="W790" s="341"/>
      <c r="X790" s="328"/>
      <c r="Y790" s="328"/>
      <c r="Z790" s="329"/>
      <c r="AA790" s="330"/>
    </row>
    <row r="791" spans="1:27" ht="28.35" customHeight="1">
      <c r="A791" s="325">
        <v>55</v>
      </c>
      <c r="B791" s="299"/>
      <c r="C791" s="326"/>
      <c r="D791" s="333"/>
      <c r="E791" s="327"/>
      <c r="F791" s="327"/>
      <c r="G791" s="327"/>
      <c r="H791" s="341"/>
      <c r="I791" s="328"/>
      <c r="J791" s="327"/>
      <c r="K791" s="327"/>
      <c r="L791" s="327"/>
      <c r="M791" s="341"/>
      <c r="N791" s="328"/>
      <c r="O791" s="327"/>
      <c r="P791" s="327"/>
      <c r="Q791" s="327"/>
      <c r="R791" s="341"/>
      <c r="S791" s="328"/>
      <c r="T791" s="327"/>
      <c r="U791" s="327"/>
      <c r="V791" s="327"/>
      <c r="W791" s="341"/>
      <c r="X791" s="328"/>
      <c r="Y791" s="328"/>
      <c r="Z791" s="329"/>
      <c r="AA791" s="330"/>
    </row>
    <row r="792" spans="1:27" ht="28.35" customHeight="1">
      <c r="A792" s="331">
        <v>56</v>
      </c>
      <c r="B792" s="299"/>
      <c r="C792" s="326"/>
      <c r="D792" s="333"/>
      <c r="E792" s="327"/>
      <c r="F792" s="327"/>
      <c r="G792" s="327"/>
      <c r="H792" s="341"/>
      <c r="I792" s="328"/>
      <c r="J792" s="327"/>
      <c r="K792" s="327"/>
      <c r="L792" s="327"/>
      <c r="M792" s="341"/>
      <c r="N792" s="328"/>
      <c r="O792" s="327"/>
      <c r="P792" s="327"/>
      <c r="Q792" s="327"/>
      <c r="R792" s="341"/>
      <c r="S792" s="328"/>
      <c r="T792" s="327"/>
      <c r="U792" s="327"/>
      <c r="V792" s="327"/>
      <c r="W792" s="341"/>
      <c r="X792" s="328"/>
      <c r="Y792" s="328"/>
      <c r="Z792" s="329"/>
      <c r="AA792" s="330"/>
    </row>
    <row r="793" spans="1:27" ht="28.35" customHeight="1" thickBot="1">
      <c r="A793" s="332">
        <v>57</v>
      </c>
      <c r="B793" s="299"/>
      <c r="C793" s="326"/>
      <c r="D793" s="333"/>
      <c r="E793" s="327"/>
      <c r="F793" s="327"/>
      <c r="G793" s="327"/>
      <c r="H793" s="341"/>
      <c r="I793" s="328"/>
      <c r="J793" s="327"/>
      <c r="K793" s="327"/>
      <c r="L793" s="327"/>
      <c r="M793" s="341"/>
      <c r="N793" s="328"/>
      <c r="O793" s="327"/>
      <c r="P793" s="327"/>
      <c r="Q793" s="327"/>
      <c r="R793" s="341"/>
      <c r="S793" s="328"/>
      <c r="T793" s="327"/>
      <c r="U793" s="327"/>
      <c r="V793" s="327"/>
      <c r="W793" s="341"/>
      <c r="X793" s="328"/>
      <c r="Y793" s="328"/>
      <c r="Z793" s="329"/>
      <c r="AA793" s="330"/>
    </row>
    <row r="794" spans="1:27" ht="28.35" customHeight="1">
      <c r="A794" s="325">
        <v>58</v>
      </c>
      <c r="B794" s="299"/>
      <c r="C794" s="326"/>
      <c r="D794" s="333"/>
      <c r="E794" s="327"/>
      <c r="F794" s="327"/>
      <c r="G794" s="327"/>
      <c r="H794" s="341"/>
      <c r="I794" s="328"/>
      <c r="J794" s="327"/>
      <c r="K794" s="327"/>
      <c r="L794" s="327"/>
      <c r="M794" s="341"/>
      <c r="N794" s="328"/>
      <c r="O794" s="327"/>
      <c r="P794" s="327"/>
      <c r="Q794" s="327"/>
      <c r="R794" s="341"/>
      <c r="S794" s="328"/>
      <c r="T794" s="327"/>
      <c r="U794" s="327"/>
      <c r="V794" s="327"/>
      <c r="W794" s="341"/>
      <c r="X794" s="328"/>
      <c r="Y794" s="328"/>
      <c r="Z794" s="329"/>
      <c r="AA794" s="330"/>
    </row>
    <row r="795" spans="1:27" ht="28.35" customHeight="1">
      <c r="A795" s="331">
        <v>59</v>
      </c>
      <c r="B795" s="299"/>
      <c r="C795" s="326"/>
      <c r="D795" s="327"/>
      <c r="E795" s="327"/>
      <c r="F795" s="327"/>
      <c r="G795" s="327"/>
      <c r="H795" s="341"/>
      <c r="I795" s="328"/>
      <c r="J795" s="327"/>
      <c r="K795" s="327"/>
      <c r="L795" s="327"/>
      <c r="M795" s="341"/>
      <c r="N795" s="328"/>
      <c r="O795" s="327"/>
      <c r="P795" s="327"/>
      <c r="Q795" s="327"/>
      <c r="R795" s="341"/>
      <c r="S795" s="328"/>
      <c r="T795" s="327"/>
      <c r="U795" s="327"/>
      <c r="V795" s="327"/>
      <c r="W795" s="341"/>
      <c r="X795" s="328"/>
      <c r="Y795" s="328"/>
      <c r="Z795" s="329"/>
      <c r="AA795" s="330"/>
    </row>
    <row r="796" spans="1:27" ht="28.35" customHeight="1" thickBot="1">
      <c r="A796" s="332">
        <v>60</v>
      </c>
      <c r="B796" s="299"/>
      <c r="C796" s="326"/>
      <c r="D796" s="333"/>
      <c r="E796" s="327"/>
      <c r="F796" s="327"/>
      <c r="G796" s="327"/>
      <c r="H796" s="341"/>
      <c r="I796" s="328"/>
      <c r="J796" s="327"/>
      <c r="K796" s="327"/>
      <c r="L796" s="327"/>
      <c r="M796" s="341"/>
      <c r="N796" s="328"/>
      <c r="O796" s="327"/>
      <c r="P796" s="327"/>
      <c r="Q796" s="327"/>
      <c r="R796" s="341"/>
      <c r="S796" s="328"/>
      <c r="T796" s="327"/>
      <c r="U796" s="327"/>
      <c r="V796" s="327"/>
      <c r="W796" s="341"/>
      <c r="X796" s="328"/>
      <c r="Y796" s="328"/>
      <c r="Z796" s="329"/>
      <c r="AA796" s="330"/>
    </row>
    <row r="797" spans="1:27" ht="28.35" customHeight="1">
      <c r="A797" s="325">
        <v>61</v>
      </c>
      <c r="B797" s="299"/>
      <c r="C797" s="326"/>
      <c r="D797" s="333"/>
      <c r="E797" s="327"/>
      <c r="F797" s="327"/>
      <c r="G797" s="327"/>
      <c r="H797" s="341"/>
      <c r="I797" s="328"/>
      <c r="J797" s="327"/>
      <c r="K797" s="327"/>
      <c r="L797" s="327"/>
      <c r="M797" s="341"/>
      <c r="N797" s="328"/>
      <c r="O797" s="327"/>
      <c r="P797" s="327"/>
      <c r="Q797" s="327"/>
      <c r="R797" s="341"/>
      <c r="S797" s="328"/>
      <c r="T797" s="327"/>
      <c r="U797" s="327"/>
      <c r="V797" s="327"/>
      <c r="W797" s="341"/>
      <c r="X797" s="328"/>
      <c r="Y797" s="328"/>
      <c r="Z797" s="329"/>
      <c r="AA797" s="330"/>
    </row>
    <row r="798" spans="1:27" ht="28.35" customHeight="1">
      <c r="A798" s="331">
        <v>62</v>
      </c>
      <c r="B798" s="299"/>
      <c r="C798" s="326"/>
      <c r="D798" s="333"/>
      <c r="E798" s="327"/>
      <c r="F798" s="327"/>
      <c r="G798" s="327"/>
      <c r="H798" s="341"/>
      <c r="I798" s="328"/>
      <c r="J798" s="327"/>
      <c r="K798" s="327"/>
      <c r="L798" s="327"/>
      <c r="M798" s="341"/>
      <c r="N798" s="328"/>
      <c r="O798" s="327"/>
      <c r="P798" s="327"/>
      <c r="Q798" s="327"/>
      <c r="R798" s="341"/>
      <c r="S798" s="328"/>
      <c r="T798" s="327"/>
      <c r="U798" s="327"/>
      <c r="V798" s="327"/>
      <c r="W798" s="341"/>
      <c r="X798" s="328"/>
      <c r="Y798" s="328"/>
      <c r="Z798" s="329"/>
      <c r="AA798" s="330"/>
    </row>
    <row r="799" spans="1:27" ht="28.35" customHeight="1" thickBot="1">
      <c r="A799" s="332">
        <v>63</v>
      </c>
      <c r="B799" s="299"/>
      <c r="C799" s="351"/>
      <c r="D799" s="192"/>
      <c r="E799" s="191"/>
      <c r="F799" s="191"/>
      <c r="G799" s="191"/>
      <c r="H799" s="350"/>
      <c r="I799" s="328"/>
      <c r="J799" s="191"/>
      <c r="K799" s="191"/>
      <c r="L799" s="191"/>
      <c r="M799" s="349"/>
      <c r="N799" s="328"/>
      <c r="O799" s="191"/>
      <c r="P799" s="191"/>
      <c r="Q799" s="191"/>
      <c r="R799" s="349"/>
      <c r="S799" s="328"/>
      <c r="T799" s="191"/>
      <c r="U799" s="191"/>
      <c r="V799" s="191"/>
      <c r="W799" s="349"/>
      <c r="X799" s="328"/>
      <c r="Y799" s="328"/>
      <c r="Z799" s="200"/>
      <c r="AA799" s="330"/>
    </row>
    <row r="800" spans="1:27" ht="28.35" customHeight="1">
      <c r="A800" s="325">
        <v>64</v>
      </c>
      <c r="B800" s="299"/>
      <c r="C800" s="326"/>
      <c r="D800" s="333"/>
      <c r="E800" s="327"/>
      <c r="F800" s="327"/>
      <c r="G800" s="327"/>
      <c r="H800" s="341"/>
      <c r="I800" s="328"/>
      <c r="J800" s="327"/>
      <c r="K800" s="327"/>
      <c r="L800" s="327"/>
      <c r="M800" s="341"/>
      <c r="N800" s="328"/>
      <c r="O800" s="327"/>
      <c r="P800" s="327"/>
      <c r="Q800" s="327"/>
      <c r="R800" s="341"/>
      <c r="S800" s="328"/>
      <c r="T800" s="327"/>
      <c r="U800" s="327"/>
      <c r="V800" s="327"/>
      <c r="W800" s="341"/>
      <c r="X800" s="328"/>
      <c r="Y800" s="328"/>
      <c r="Z800" s="329"/>
      <c r="AA800" s="330"/>
    </row>
    <row r="801" spans="1:27" ht="28.35" customHeight="1">
      <c r="A801" s="331">
        <v>65</v>
      </c>
      <c r="B801" s="299"/>
      <c r="C801" s="326"/>
      <c r="D801" s="333"/>
      <c r="E801" s="327"/>
      <c r="F801" s="327"/>
      <c r="G801" s="327"/>
      <c r="H801" s="341"/>
      <c r="I801" s="328"/>
      <c r="J801" s="327"/>
      <c r="K801" s="327"/>
      <c r="L801" s="327"/>
      <c r="M801" s="341"/>
      <c r="N801" s="328"/>
      <c r="O801" s="327"/>
      <c r="P801" s="327"/>
      <c r="Q801" s="327"/>
      <c r="R801" s="341"/>
      <c r="S801" s="328"/>
      <c r="T801" s="327"/>
      <c r="U801" s="327"/>
      <c r="V801" s="327"/>
      <c r="W801" s="341"/>
      <c r="X801" s="328"/>
      <c r="Y801" s="328"/>
      <c r="Z801" s="329"/>
      <c r="AA801" s="330"/>
    </row>
    <row r="802" spans="1:27" ht="28.35" customHeight="1">
      <c r="A802" s="332"/>
      <c r="B802" s="299"/>
      <c r="C802" s="326"/>
      <c r="D802" s="333"/>
      <c r="E802" s="327"/>
      <c r="F802" s="327"/>
      <c r="G802" s="327"/>
      <c r="H802" s="341"/>
      <c r="I802" s="328"/>
      <c r="J802" s="327"/>
      <c r="K802" s="327"/>
      <c r="L802" s="327"/>
      <c r="M802" s="341"/>
      <c r="N802" s="328"/>
      <c r="O802" s="327"/>
      <c r="P802" s="327"/>
      <c r="Q802" s="327"/>
      <c r="R802" s="341"/>
      <c r="S802" s="328"/>
      <c r="T802" s="327"/>
      <c r="U802" s="327"/>
      <c r="V802" s="327"/>
      <c r="W802" s="341"/>
      <c r="X802" s="328"/>
      <c r="Y802" s="328"/>
      <c r="Z802" s="329"/>
      <c r="AA802" s="330"/>
    </row>
    <row r="803" spans="1:27" ht="28.35" customHeight="1">
      <c r="A803" s="332">
        <v>66</v>
      </c>
      <c r="B803" s="299"/>
      <c r="C803" s="326"/>
      <c r="D803" s="333"/>
      <c r="E803" s="327"/>
      <c r="F803" s="327"/>
      <c r="G803" s="327"/>
      <c r="H803" s="341"/>
      <c r="I803" s="328"/>
      <c r="J803" s="327"/>
      <c r="K803" s="327"/>
      <c r="L803" s="327"/>
      <c r="M803" s="341"/>
      <c r="N803" s="328"/>
      <c r="O803" s="327"/>
      <c r="P803" s="327"/>
      <c r="Q803" s="327"/>
      <c r="R803" s="341"/>
      <c r="S803" s="328"/>
      <c r="T803" s="327"/>
      <c r="U803" s="327"/>
      <c r="V803" s="327"/>
      <c r="W803" s="341"/>
      <c r="X803" s="328"/>
      <c r="Y803" s="328"/>
      <c r="Z803" s="329"/>
      <c r="AA803" s="330"/>
    </row>
    <row r="804" spans="1:27" ht="28.35" customHeight="1">
      <c r="A804" s="332">
        <v>67</v>
      </c>
      <c r="B804" s="299"/>
      <c r="C804" s="326"/>
      <c r="D804" s="333"/>
      <c r="E804" s="327"/>
      <c r="F804" s="327"/>
      <c r="G804" s="327"/>
      <c r="H804" s="341"/>
      <c r="I804" s="328"/>
      <c r="J804" s="327"/>
      <c r="K804" s="327"/>
      <c r="L804" s="327"/>
      <c r="M804" s="341"/>
      <c r="N804" s="328"/>
      <c r="O804" s="327"/>
      <c r="P804" s="327"/>
      <c r="Q804" s="327"/>
      <c r="R804" s="341"/>
      <c r="S804" s="328"/>
      <c r="T804" s="327"/>
      <c r="U804" s="327"/>
      <c r="V804" s="327"/>
      <c r="W804" s="341"/>
      <c r="X804" s="328"/>
      <c r="Y804" s="328"/>
      <c r="Z804" s="329"/>
      <c r="AA804" s="330"/>
    </row>
    <row r="805" spans="1:27" ht="28.35" customHeight="1">
      <c r="A805" s="332">
        <v>68</v>
      </c>
      <c r="B805" s="299"/>
      <c r="C805" s="326"/>
      <c r="D805" s="333"/>
      <c r="E805" s="327"/>
      <c r="F805" s="327"/>
      <c r="G805" s="327"/>
      <c r="H805" s="341"/>
      <c r="I805" s="328"/>
      <c r="J805" s="327"/>
      <c r="K805" s="327"/>
      <c r="L805" s="327"/>
      <c r="M805" s="341"/>
      <c r="N805" s="328"/>
      <c r="O805" s="327"/>
      <c r="P805" s="327"/>
      <c r="Q805" s="327"/>
      <c r="R805" s="341"/>
      <c r="S805" s="328"/>
      <c r="T805" s="327"/>
      <c r="U805" s="327"/>
      <c r="V805" s="327"/>
      <c r="W805" s="341"/>
      <c r="X805" s="328"/>
      <c r="Y805" s="328"/>
      <c r="Z805" s="329"/>
      <c r="AA805" s="330"/>
    </row>
    <row r="806" spans="1:27" ht="28.35" customHeight="1">
      <c r="A806" s="332">
        <v>69</v>
      </c>
      <c r="B806" s="299"/>
      <c r="C806" s="326"/>
      <c r="D806" s="333"/>
      <c r="E806" s="327"/>
      <c r="F806" s="327"/>
      <c r="G806" s="327"/>
      <c r="H806" s="341"/>
      <c r="I806" s="328"/>
      <c r="J806" s="327"/>
      <c r="K806" s="327"/>
      <c r="L806" s="327"/>
      <c r="M806" s="341"/>
      <c r="N806" s="328"/>
      <c r="O806" s="327"/>
      <c r="P806" s="327"/>
      <c r="Q806" s="327"/>
      <c r="R806" s="341"/>
      <c r="S806" s="328"/>
      <c r="T806" s="327"/>
      <c r="U806" s="327"/>
      <c r="V806" s="327"/>
      <c r="W806" s="341"/>
      <c r="X806" s="328"/>
      <c r="Y806" s="328"/>
      <c r="Z806" s="329"/>
      <c r="AA806" s="330"/>
    </row>
    <row r="807" spans="1:27" ht="28.35" customHeight="1">
      <c r="A807" s="332"/>
      <c r="B807" s="299"/>
      <c r="C807" s="299"/>
      <c r="D807" s="300"/>
      <c r="E807" s="334"/>
      <c r="F807" s="334"/>
      <c r="G807" s="334"/>
      <c r="H807" s="335"/>
      <c r="I807" s="301"/>
      <c r="J807" s="334"/>
      <c r="K807" s="334"/>
      <c r="L807" s="334"/>
      <c r="M807" s="335"/>
      <c r="N807" s="301"/>
      <c r="O807" s="334"/>
      <c r="P807" s="334"/>
      <c r="Q807" s="334"/>
      <c r="R807" s="335"/>
      <c r="S807" s="301"/>
      <c r="T807" s="334"/>
      <c r="U807" s="334"/>
      <c r="V807" s="334"/>
      <c r="W807" s="335"/>
      <c r="X807" s="301"/>
      <c r="Y807" s="301"/>
      <c r="Z807" s="274"/>
      <c r="AA807" s="346"/>
    </row>
    <row r="808" spans="1:27" ht="30" customHeight="1" thickBot="1">
      <c r="A808" s="331"/>
      <c r="B808" s="299"/>
      <c r="C808" s="299"/>
      <c r="D808" s="300"/>
      <c r="E808" s="334"/>
      <c r="F808" s="334"/>
      <c r="G808" s="334"/>
      <c r="H808" s="335"/>
      <c r="I808" s="301"/>
      <c r="J808" s="334"/>
      <c r="K808" s="334"/>
      <c r="L808" s="334"/>
      <c r="M808" s="335"/>
      <c r="N808" s="301"/>
      <c r="O808" s="334"/>
      <c r="P808" s="334"/>
      <c r="Q808" s="334"/>
      <c r="R808" s="335"/>
      <c r="S808" s="301"/>
      <c r="T808" s="334"/>
      <c r="U808" s="334"/>
      <c r="V808" s="334"/>
      <c r="W808" s="335"/>
      <c r="X808" s="301"/>
      <c r="Y808" s="301"/>
      <c r="Z808" s="274"/>
      <c r="AA808" s="302"/>
    </row>
    <row r="809" spans="1:27" ht="28.35" customHeight="1" thickBot="1">
      <c r="A809" s="256" t="s">
        <v>1211</v>
      </c>
      <c r="B809" s="336"/>
      <c r="C809" s="336"/>
      <c r="D809" s="337"/>
      <c r="E809" s="337"/>
      <c r="F809" s="337"/>
      <c r="G809" s="337"/>
      <c r="H809" s="337"/>
      <c r="I809" s="338"/>
      <c r="J809" s="337"/>
      <c r="K809" s="337"/>
      <c r="L809" s="337"/>
      <c r="M809" s="337"/>
      <c r="N809" s="338"/>
      <c r="O809" s="337"/>
      <c r="P809" s="337"/>
      <c r="Q809" s="337"/>
      <c r="R809" s="337"/>
      <c r="S809" s="338"/>
      <c r="T809" s="337"/>
      <c r="U809" s="337"/>
      <c r="V809" s="337"/>
      <c r="W809" s="337"/>
      <c r="X809" s="338"/>
      <c r="Y809" s="338"/>
      <c r="Z809" s="339"/>
      <c r="AA809" s="340"/>
    </row>
    <row r="810" spans="1:27" ht="28.35" customHeight="1">
      <c r="A810" s="325">
        <v>1</v>
      </c>
      <c r="B810" s="294"/>
      <c r="C810" s="326" t="s">
        <v>1212</v>
      </c>
      <c r="D810" s="333" t="s">
        <v>324</v>
      </c>
      <c r="E810" s="327">
        <v>0</v>
      </c>
      <c r="F810" s="327">
        <v>0</v>
      </c>
      <c r="G810" s="327">
        <v>0</v>
      </c>
      <c r="H810" s="341">
        <f>SUM(E810:G810)</f>
        <v>0</v>
      </c>
      <c r="I810" s="328">
        <f>H810*$Z810</f>
        <v>0</v>
      </c>
      <c r="J810" s="327">
        <v>0</v>
      </c>
      <c r="K810" s="327">
        <v>0</v>
      </c>
      <c r="L810" s="327">
        <v>0</v>
      </c>
      <c r="M810" s="341">
        <f>SUM(J810:L810)</f>
        <v>0</v>
      </c>
      <c r="N810" s="328">
        <f>M810*$Z810</f>
        <v>0</v>
      </c>
      <c r="O810" s="327">
        <v>0</v>
      </c>
      <c r="P810" s="327">
        <v>0</v>
      </c>
      <c r="Q810" s="327">
        <v>0</v>
      </c>
      <c r="R810" s="341">
        <f>SUM(O810:Q810)</f>
        <v>0</v>
      </c>
      <c r="S810" s="328">
        <f>R810*$Z810</f>
        <v>0</v>
      </c>
      <c r="T810" s="327">
        <v>0</v>
      </c>
      <c r="U810" s="327">
        <v>0</v>
      </c>
      <c r="V810" s="327">
        <v>0</v>
      </c>
      <c r="W810" s="341">
        <f>SUM(T810:V810)</f>
        <v>0</v>
      </c>
      <c r="X810" s="328">
        <f>W810*$Z810</f>
        <v>0</v>
      </c>
      <c r="Y810" s="328">
        <f>H810+M810+R810+W810</f>
        <v>0</v>
      </c>
      <c r="Z810" s="329">
        <f t="shared" ref="Z810:Z815" si="837">200/1</f>
        <v>200</v>
      </c>
      <c r="AA810" s="330">
        <f>Y810*Z810</f>
        <v>0</v>
      </c>
    </row>
    <row r="811" spans="1:27" ht="28.35" customHeight="1">
      <c r="A811" s="331">
        <v>2</v>
      </c>
      <c r="B811" s="299"/>
      <c r="C811" s="326" t="s">
        <v>1213</v>
      </c>
      <c r="D811" s="333" t="s">
        <v>324</v>
      </c>
      <c r="E811" s="327">
        <v>0</v>
      </c>
      <c r="F811" s="327">
        <v>0</v>
      </c>
      <c r="G811" s="327">
        <v>0</v>
      </c>
      <c r="H811" s="341">
        <f>SUM(E811:G811)</f>
        <v>0</v>
      </c>
      <c r="I811" s="328">
        <f>H811*$Z811</f>
        <v>0</v>
      </c>
      <c r="J811" s="327">
        <v>0</v>
      </c>
      <c r="K811" s="327">
        <v>0</v>
      </c>
      <c r="L811" s="327">
        <v>0</v>
      </c>
      <c r="M811" s="341">
        <f>SUM(J811:L811)</f>
        <v>0</v>
      </c>
      <c r="N811" s="328">
        <f>M811*$Z811</f>
        <v>0</v>
      </c>
      <c r="O811" s="327">
        <v>0</v>
      </c>
      <c r="P811" s="327">
        <v>0</v>
      </c>
      <c r="Q811" s="327">
        <v>0</v>
      </c>
      <c r="R811" s="341">
        <f>SUM(O811:Q811)</f>
        <v>0</v>
      </c>
      <c r="S811" s="328">
        <f>R811*$Z811</f>
        <v>0</v>
      </c>
      <c r="T811" s="327">
        <v>0</v>
      </c>
      <c r="U811" s="327">
        <v>0</v>
      </c>
      <c r="V811" s="327">
        <v>0</v>
      </c>
      <c r="W811" s="341">
        <f>SUM(T811:V811)</f>
        <v>0</v>
      </c>
      <c r="X811" s="328">
        <f>W811*$Z811</f>
        <v>0</v>
      </c>
      <c r="Y811" s="328">
        <f>H811+M811+R811+W811</f>
        <v>0</v>
      </c>
      <c r="Z811" s="329">
        <f t="shared" si="837"/>
        <v>200</v>
      </c>
      <c r="AA811" s="330">
        <f>Y811*Z811</f>
        <v>0</v>
      </c>
    </row>
    <row r="812" spans="1:27" ht="28.35" customHeight="1" thickBot="1">
      <c r="A812" s="332">
        <v>3</v>
      </c>
      <c r="B812" s="299"/>
      <c r="C812" s="326" t="s">
        <v>1214</v>
      </c>
      <c r="D812" s="333" t="s">
        <v>324</v>
      </c>
      <c r="E812" s="327">
        <v>0</v>
      </c>
      <c r="F812" s="327">
        <v>0</v>
      </c>
      <c r="G812" s="327">
        <v>0</v>
      </c>
      <c r="H812" s="341">
        <f>SUM(E812:G812)</f>
        <v>0</v>
      </c>
      <c r="I812" s="328">
        <f>H812*$Z812</f>
        <v>0</v>
      </c>
      <c r="J812" s="327">
        <v>0</v>
      </c>
      <c r="K812" s="327">
        <v>0</v>
      </c>
      <c r="L812" s="327">
        <v>0</v>
      </c>
      <c r="M812" s="341">
        <f>SUM(J812:L812)</f>
        <v>0</v>
      </c>
      <c r="N812" s="328">
        <f>M812*$Z812</f>
        <v>0</v>
      </c>
      <c r="O812" s="327">
        <v>0</v>
      </c>
      <c r="P812" s="327">
        <v>0</v>
      </c>
      <c r="Q812" s="327">
        <v>0</v>
      </c>
      <c r="R812" s="341">
        <f>SUM(O812:Q812)</f>
        <v>0</v>
      </c>
      <c r="S812" s="328">
        <f>R812*$Z812</f>
        <v>0</v>
      </c>
      <c r="T812" s="327">
        <v>0</v>
      </c>
      <c r="U812" s="327">
        <v>0</v>
      </c>
      <c r="V812" s="327">
        <v>0</v>
      </c>
      <c r="W812" s="341">
        <f>SUM(T812:V812)</f>
        <v>0</v>
      </c>
      <c r="X812" s="328">
        <f>W812*$Z812</f>
        <v>0</v>
      </c>
      <c r="Y812" s="328">
        <f>H812+M812+R812+W812</f>
        <v>0</v>
      </c>
      <c r="Z812" s="329">
        <f t="shared" si="837"/>
        <v>200</v>
      </c>
      <c r="AA812" s="330">
        <f>Y812*Z812</f>
        <v>0</v>
      </c>
    </row>
    <row r="813" spans="1:27" ht="28.35" customHeight="1">
      <c r="A813" s="325">
        <v>4</v>
      </c>
      <c r="B813" s="299"/>
      <c r="C813" s="326" t="s">
        <v>1215</v>
      </c>
      <c r="D813" s="333" t="s">
        <v>324</v>
      </c>
      <c r="E813" s="327">
        <v>0</v>
      </c>
      <c r="F813" s="327">
        <v>0</v>
      </c>
      <c r="G813" s="327">
        <v>0</v>
      </c>
      <c r="H813" s="341">
        <f t="shared" ref="H813" si="838">SUM(E813:G813)</f>
        <v>0</v>
      </c>
      <c r="I813" s="328">
        <f>H813*$Z813</f>
        <v>0</v>
      </c>
      <c r="J813" s="327">
        <v>0</v>
      </c>
      <c r="K813" s="327">
        <v>0</v>
      </c>
      <c r="L813" s="327">
        <v>0</v>
      </c>
      <c r="M813" s="341">
        <f t="shared" ref="M813:M814" si="839">SUM(J813:L813)</f>
        <v>0</v>
      </c>
      <c r="N813" s="328">
        <f>M813*$Z813</f>
        <v>0</v>
      </c>
      <c r="O813" s="327">
        <v>0</v>
      </c>
      <c r="P813" s="327">
        <v>0</v>
      </c>
      <c r="Q813" s="327">
        <v>0</v>
      </c>
      <c r="R813" s="341">
        <f t="shared" ref="R813:R814" si="840">SUM(O813:Q813)</f>
        <v>0</v>
      </c>
      <c r="S813" s="328">
        <f>R813*$Z813</f>
        <v>0</v>
      </c>
      <c r="T813" s="327">
        <v>0</v>
      </c>
      <c r="U813" s="327">
        <v>0</v>
      </c>
      <c r="V813" s="327">
        <v>0</v>
      </c>
      <c r="W813" s="341">
        <f t="shared" ref="W813:W814" si="841">SUM(T813:V813)</f>
        <v>0</v>
      </c>
      <c r="X813" s="328">
        <f>W813*$Z813</f>
        <v>0</v>
      </c>
      <c r="Y813" s="328">
        <f>H813+M813+R813+W813</f>
        <v>0</v>
      </c>
      <c r="Z813" s="329">
        <f t="shared" si="837"/>
        <v>200</v>
      </c>
      <c r="AA813" s="330">
        <f>Y813*Z813</f>
        <v>0</v>
      </c>
    </row>
    <row r="814" spans="1:27" ht="28.35" customHeight="1">
      <c r="A814" s="331">
        <v>5</v>
      </c>
      <c r="B814" s="299"/>
      <c r="C814" s="326" t="s">
        <v>1216</v>
      </c>
      <c r="D814" s="333" t="s">
        <v>324</v>
      </c>
      <c r="E814" s="327">
        <v>0</v>
      </c>
      <c r="F814" s="327">
        <v>0</v>
      </c>
      <c r="G814" s="327">
        <v>0</v>
      </c>
      <c r="H814" s="341">
        <f t="shared" ref="H814" si="842">SUM(E814:G814)</f>
        <v>0</v>
      </c>
      <c r="I814" s="328">
        <f t="shared" ref="I814" si="843">H814*$Z814</f>
        <v>0</v>
      </c>
      <c r="J814" s="327">
        <v>0</v>
      </c>
      <c r="K814" s="327">
        <v>0</v>
      </c>
      <c r="L814" s="327">
        <v>0</v>
      </c>
      <c r="M814" s="341">
        <f t="shared" si="839"/>
        <v>0</v>
      </c>
      <c r="N814" s="328">
        <f t="shared" ref="N814" si="844">M814*$Z814</f>
        <v>0</v>
      </c>
      <c r="O814" s="327">
        <v>0</v>
      </c>
      <c r="P814" s="327">
        <v>0</v>
      </c>
      <c r="Q814" s="327">
        <v>0</v>
      </c>
      <c r="R814" s="341">
        <f t="shared" si="840"/>
        <v>0</v>
      </c>
      <c r="S814" s="328">
        <f t="shared" ref="S814" si="845">R814*$Z814</f>
        <v>0</v>
      </c>
      <c r="T814" s="327">
        <v>0</v>
      </c>
      <c r="U814" s="327">
        <v>0</v>
      </c>
      <c r="V814" s="327">
        <v>0</v>
      </c>
      <c r="W814" s="341">
        <f t="shared" si="841"/>
        <v>0</v>
      </c>
      <c r="X814" s="328">
        <f t="shared" ref="X814" si="846">W814*$Z814</f>
        <v>0</v>
      </c>
      <c r="Y814" s="328">
        <f t="shared" ref="Y814" si="847">H814+M814+R814+W814</f>
        <v>0</v>
      </c>
      <c r="Z814" s="329">
        <f>200/1</f>
        <v>200</v>
      </c>
      <c r="AA814" s="330">
        <f t="shared" ref="AA814" si="848">Y814*Z814</f>
        <v>0</v>
      </c>
    </row>
    <row r="815" spans="1:27" ht="28.35" customHeight="1" thickBot="1">
      <c r="A815" s="332">
        <v>6</v>
      </c>
      <c r="B815" s="299"/>
      <c r="C815" s="326" t="s">
        <v>1217</v>
      </c>
      <c r="D815" s="333" t="s">
        <v>324</v>
      </c>
      <c r="E815" s="327">
        <v>0</v>
      </c>
      <c r="F815" s="327">
        <v>0</v>
      </c>
      <c r="G815" s="327">
        <v>0</v>
      </c>
      <c r="H815" s="341">
        <f>SUM(E815:G815)</f>
        <v>0</v>
      </c>
      <c r="I815" s="328">
        <f>H815*$Z815</f>
        <v>0</v>
      </c>
      <c r="J815" s="327">
        <v>0</v>
      </c>
      <c r="K815" s="327">
        <v>0</v>
      </c>
      <c r="L815" s="327">
        <v>0</v>
      </c>
      <c r="M815" s="341">
        <f>SUM(J815:L815)</f>
        <v>0</v>
      </c>
      <c r="N815" s="328">
        <f>M815*$Z815</f>
        <v>0</v>
      </c>
      <c r="O815" s="327">
        <v>0</v>
      </c>
      <c r="P815" s="327">
        <v>0</v>
      </c>
      <c r="Q815" s="327">
        <v>0</v>
      </c>
      <c r="R815" s="341">
        <f>SUM(O815:Q815)</f>
        <v>0</v>
      </c>
      <c r="S815" s="328">
        <f>R815*$Z815</f>
        <v>0</v>
      </c>
      <c r="T815" s="327">
        <v>0</v>
      </c>
      <c r="U815" s="327">
        <v>0</v>
      </c>
      <c r="V815" s="327">
        <v>0</v>
      </c>
      <c r="W815" s="341">
        <f>SUM(T815:V815)</f>
        <v>0</v>
      </c>
      <c r="X815" s="328">
        <f>W815*$Z815</f>
        <v>0</v>
      </c>
      <c r="Y815" s="328">
        <f>H815+M815+R815+W815</f>
        <v>0</v>
      </c>
      <c r="Z815" s="329">
        <f t="shared" si="837"/>
        <v>200</v>
      </c>
      <c r="AA815" s="330">
        <f>Y815*Z815</f>
        <v>0</v>
      </c>
    </row>
    <row r="816" spans="1:27" ht="28.35" customHeight="1">
      <c r="A816" s="325">
        <v>7</v>
      </c>
      <c r="B816" s="299"/>
      <c r="C816" s="326" t="s">
        <v>1218</v>
      </c>
      <c r="D816" s="333" t="s">
        <v>339</v>
      </c>
      <c r="E816" s="327">
        <v>0</v>
      </c>
      <c r="F816" s="327">
        <v>0</v>
      </c>
      <c r="G816" s="327">
        <v>0</v>
      </c>
      <c r="H816" s="341">
        <f>SUM(E816:G816)</f>
        <v>0</v>
      </c>
      <c r="I816" s="328">
        <f>H816*$Z816</f>
        <v>0</v>
      </c>
      <c r="J816" s="327">
        <v>0</v>
      </c>
      <c r="K816" s="327">
        <v>0</v>
      </c>
      <c r="L816" s="327">
        <v>25</v>
      </c>
      <c r="M816" s="341">
        <f>SUM(J816:L816)</f>
        <v>25</v>
      </c>
      <c r="N816" s="328">
        <f>M816*$Z816</f>
        <v>25000</v>
      </c>
      <c r="O816" s="327">
        <v>0</v>
      </c>
      <c r="P816" s="327">
        <v>0</v>
      </c>
      <c r="Q816" s="327">
        <v>0</v>
      </c>
      <c r="R816" s="341">
        <f>SUM(O816:Q816)</f>
        <v>0</v>
      </c>
      <c r="S816" s="328">
        <f>R816*$Z816</f>
        <v>0</v>
      </c>
      <c r="T816" s="327">
        <v>0</v>
      </c>
      <c r="U816" s="327">
        <v>0</v>
      </c>
      <c r="V816" s="327">
        <v>0</v>
      </c>
      <c r="W816" s="341">
        <f>SUM(T816:V816)</f>
        <v>0</v>
      </c>
      <c r="X816" s="328">
        <f>W816*$Z816</f>
        <v>0</v>
      </c>
      <c r="Y816" s="328">
        <f>H816+M816+R816+W816</f>
        <v>25</v>
      </c>
      <c r="Z816" s="329">
        <v>1000</v>
      </c>
      <c r="AA816" s="330">
        <f>Y816*Z816</f>
        <v>25000</v>
      </c>
    </row>
    <row r="817" spans="1:27" ht="28.35" customHeight="1">
      <c r="A817" s="331">
        <v>8</v>
      </c>
      <c r="B817" s="299"/>
      <c r="C817" s="326" t="s">
        <v>1219</v>
      </c>
      <c r="D817" s="333" t="s">
        <v>339</v>
      </c>
      <c r="E817" s="327">
        <v>0</v>
      </c>
      <c r="F817" s="327">
        <v>0</v>
      </c>
      <c r="G817" s="327">
        <v>0</v>
      </c>
      <c r="H817" s="341">
        <f>SUM(E817:G817)</f>
        <v>0</v>
      </c>
      <c r="I817" s="328">
        <f>H817*$Z817</f>
        <v>0</v>
      </c>
      <c r="J817" s="327">
        <v>0</v>
      </c>
      <c r="K817" s="327">
        <v>0</v>
      </c>
      <c r="L817" s="327">
        <v>25</v>
      </c>
      <c r="M817" s="341">
        <f>SUM(J817:L817)</f>
        <v>25</v>
      </c>
      <c r="N817" s="328">
        <f>M817*$Z817</f>
        <v>25000</v>
      </c>
      <c r="O817" s="327">
        <v>0</v>
      </c>
      <c r="P817" s="327">
        <v>0</v>
      </c>
      <c r="Q817" s="327">
        <v>0</v>
      </c>
      <c r="R817" s="341">
        <f>SUM(O817:Q817)</f>
        <v>0</v>
      </c>
      <c r="S817" s="328">
        <f>R817*$Z817</f>
        <v>0</v>
      </c>
      <c r="T817" s="327">
        <v>0</v>
      </c>
      <c r="U817" s="327">
        <v>0</v>
      </c>
      <c r="V817" s="327">
        <v>0</v>
      </c>
      <c r="W817" s="341">
        <f>SUM(T817:V817)</f>
        <v>0</v>
      </c>
      <c r="X817" s="328">
        <f>W817*$Z817</f>
        <v>0</v>
      </c>
      <c r="Y817" s="328">
        <f>H817+M817+R817+W817</f>
        <v>25</v>
      </c>
      <c r="Z817" s="329">
        <v>1000</v>
      </c>
      <c r="AA817" s="330">
        <f>Y817*Z817</f>
        <v>25000</v>
      </c>
    </row>
    <row r="818" spans="1:27" ht="28.35" customHeight="1" thickBot="1">
      <c r="A818" s="332">
        <v>9</v>
      </c>
      <c r="B818" s="299"/>
      <c r="C818" s="326" t="s">
        <v>1220</v>
      </c>
      <c r="D818" s="333" t="s">
        <v>364</v>
      </c>
      <c r="E818" s="327">
        <v>0</v>
      </c>
      <c r="F818" s="327">
        <v>0</v>
      </c>
      <c r="G818" s="327">
        <v>0</v>
      </c>
      <c r="H818" s="341">
        <f t="shared" ref="H818" si="849">SUM(E818:G818)</f>
        <v>0</v>
      </c>
      <c r="I818" s="328">
        <f t="shared" ref="I818" si="850">H818*$Z818</f>
        <v>0</v>
      </c>
      <c r="J818" s="327">
        <v>0</v>
      </c>
      <c r="K818" s="327">
        <v>0</v>
      </c>
      <c r="L818" s="327">
        <v>0</v>
      </c>
      <c r="M818" s="341">
        <f t="shared" ref="M818" si="851">SUM(J818:L818)</f>
        <v>0</v>
      </c>
      <c r="N818" s="328">
        <f t="shared" ref="N818" si="852">M818*$Z818</f>
        <v>0</v>
      </c>
      <c r="O818" s="327">
        <v>6</v>
      </c>
      <c r="P818" s="327">
        <v>0</v>
      </c>
      <c r="Q818" s="327">
        <v>0</v>
      </c>
      <c r="R818" s="341">
        <f t="shared" ref="R818" si="853">SUM(O818:Q818)</f>
        <v>6</v>
      </c>
      <c r="S818" s="328">
        <f t="shared" ref="S818" si="854">R818*$Z818</f>
        <v>420</v>
      </c>
      <c r="T818" s="327">
        <v>0</v>
      </c>
      <c r="U818" s="327">
        <v>0</v>
      </c>
      <c r="V818" s="327">
        <v>0</v>
      </c>
      <c r="W818" s="341">
        <f t="shared" ref="W818" si="855">SUM(T818:V818)</f>
        <v>0</v>
      </c>
      <c r="X818" s="328">
        <f t="shared" ref="X818" si="856">W818*$Z818</f>
        <v>0</v>
      </c>
      <c r="Y818" s="328">
        <f t="shared" ref="Y818" si="857">H818+M818+R818+W818</f>
        <v>6</v>
      </c>
      <c r="Z818" s="329">
        <f>420/Y818</f>
        <v>70</v>
      </c>
      <c r="AA818" s="330">
        <f t="shared" ref="AA818" si="858">Y818*Z818</f>
        <v>420</v>
      </c>
    </row>
    <row r="819" spans="1:27" ht="28.35" customHeight="1">
      <c r="A819" s="325">
        <v>10</v>
      </c>
      <c r="B819" s="299"/>
      <c r="C819" s="326" t="s">
        <v>1221</v>
      </c>
      <c r="D819" s="333" t="s">
        <v>339</v>
      </c>
      <c r="E819" s="327">
        <v>0</v>
      </c>
      <c r="F819" s="327">
        <v>0</v>
      </c>
      <c r="G819" s="327">
        <v>0</v>
      </c>
      <c r="H819" s="341">
        <f>SUM(E819:G819)</f>
        <v>0</v>
      </c>
      <c r="I819" s="328" t="e">
        <f>H819*$Z819</f>
        <v>#DIV/0!</v>
      </c>
      <c r="J819" s="327">
        <v>0</v>
      </c>
      <c r="K819" s="327">
        <v>0</v>
      </c>
      <c r="L819" s="327">
        <v>0</v>
      </c>
      <c r="M819" s="341">
        <f>SUM(J819:L819)</f>
        <v>0</v>
      </c>
      <c r="N819" s="328" t="e">
        <f>M819*$Z819</f>
        <v>#DIV/0!</v>
      </c>
      <c r="O819" s="327">
        <v>0</v>
      </c>
      <c r="P819" s="327">
        <v>0</v>
      </c>
      <c r="Q819" s="327">
        <v>0</v>
      </c>
      <c r="R819" s="341">
        <f>SUM(O819:Q819)</f>
        <v>0</v>
      </c>
      <c r="S819" s="328" t="e">
        <f>R819*$Z819</f>
        <v>#DIV/0!</v>
      </c>
      <c r="T819" s="327">
        <v>0</v>
      </c>
      <c r="U819" s="327">
        <v>0</v>
      </c>
      <c r="V819" s="327">
        <v>0</v>
      </c>
      <c r="W819" s="341">
        <f>SUM(T819:V819)</f>
        <v>0</v>
      </c>
      <c r="X819" s="328" t="e">
        <f>W819*$Z819</f>
        <v>#DIV/0!</v>
      </c>
      <c r="Y819" s="328">
        <f>H819+M819+R819+W819</f>
        <v>0</v>
      </c>
      <c r="Z819" s="329" t="e">
        <f>5000/Y819</f>
        <v>#DIV/0!</v>
      </c>
      <c r="AA819" s="330" t="e">
        <f>Y819*Z819</f>
        <v>#DIV/0!</v>
      </c>
    </row>
    <row r="820" spans="1:27" ht="28.35" customHeight="1">
      <c r="A820" s="331">
        <v>11</v>
      </c>
      <c r="B820" s="299"/>
      <c r="C820" s="326" t="s">
        <v>1222</v>
      </c>
      <c r="D820" s="333" t="s">
        <v>364</v>
      </c>
      <c r="E820" s="327">
        <v>0</v>
      </c>
      <c r="F820" s="327">
        <v>0</v>
      </c>
      <c r="G820" s="327">
        <v>0</v>
      </c>
      <c r="H820" s="341">
        <f t="shared" ref="H820:H825" si="859">SUM(E820:G820)</f>
        <v>0</v>
      </c>
      <c r="I820" s="328" t="e">
        <f t="shared" ref="I820:I825" si="860">H820*$Z820</f>
        <v>#DIV/0!</v>
      </c>
      <c r="J820" s="327">
        <v>0</v>
      </c>
      <c r="K820" s="327">
        <v>0</v>
      </c>
      <c r="L820" s="327">
        <v>0</v>
      </c>
      <c r="M820" s="341">
        <f t="shared" ref="M820:M825" si="861">SUM(J820:L820)</f>
        <v>0</v>
      </c>
      <c r="N820" s="328" t="e">
        <f t="shared" ref="N820:N825" si="862">M820*$Z820</f>
        <v>#DIV/0!</v>
      </c>
      <c r="O820" s="327">
        <v>0</v>
      </c>
      <c r="P820" s="327">
        <v>0</v>
      </c>
      <c r="Q820" s="327">
        <v>0</v>
      </c>
      <c r="R820" s="341">
        <f t="shared" ref="R820:R825" si="863">SUM(O820:Q820)</f>
        <v>0</v>
      </c>
      <c r="S820" s="328" t="e">
        <f t="shared" ref="S820:S825" si="864">R820*$Z820</f>
        <v>#DIV/0!</v>
      </c>
      <c r="T820" s="327">
        <v>0</v>
      </c>
      <c r="U820" s="327">
        <v>0</v>
      </c>
      <c r="V820" s="327">
        <v>0</v>
      </c>
      <c r="W820" s="341">
        <f t="shared" ref="W820:W825" si="865">SUM(T820:V820)</f>
        <v>0</v>
      </c>
      <c r="X820" s="328" t="e">
        <f t="shared" ref="X820:X825" si="866">W820*$Z820</f>
        <v>#DIV/0!</v>
      </c>
      <c r="Y820" s="328">
        <f t="shared" ref="Y820:Y825" si="867">H820+M820+R820+W820</f>
        <v>0</v>
      </c>
      <c r="Z820" s="329" t="e">
        <f>11000/Y820</f>
        <v>#DIV/0!</v>
      </c>
      <c r="AA820" s="330" t="e">
        <f t="shared" ref="AA820:AA825" si="868">Y820*Z820</f>
        <v>#DIV/0!</v>
      </c>
    </row>
    <row r="821" spans="1:27" ht="28.35" customHeight="1" thickBot="1">
      <c r="A821" s="332">
        <v>12</v>
      </c>
      <c r="B821" s="299"/>
      <c r="C821" s="326" t="s">
        <v>1223</v>
      </c>
      <c r="D821" s="333" t="s">
        <v>339</v>
      </c>
      <c r="E821" s="327">
        <v>0</v>
      </c>
      <c r="F821" s="327">
        <v>0</v>
      </c>
      <c r="G821" s="327">
        <v>0</v>
      </c>
      <c r="H821" s="341">
        <f t="shared" si="859"/>
        <v>0</v>
      </c>
      <c r="I821" s="328">
        <f t="shared" si="860"/>
        <v>0</v>
      </c>
      <c r="J821" s="327">
        <v>0</v>
      </c>
      <c r="K821" s="327">
        <v>0</v>
      </c>
      <c r="L821" s="327">
        <v>0</v>
      </c>
      <c r="M821" s="341">
        <f t="shared" si="861"/>
        <v>0</v>
      </c>
      <c r="N821" s="328">
        <f t="shared" si="862"/>
        <v>0</v>
      </c>
      <c r="O821" s="327">
        <v>50</v>
      </c>
      <c r="P821" s="327">
        <v>0</v>
      </c>
      <c r="Q821" s="327">
        <v>0</v>
      </c>
      <c r="R821" s="341">
        <f t="shared" si="863"/>
        <v>50</v>
      </c>
      <c r="S821" s="328">
        <f t="shared" si="864"/>
        <v>2500</v>
      </c>
      <c r="T821" s="327">
        <v>0</v>
      </c>
      <c r="U821" s="327">
        <v>0</v>
      </c>
      <c r="V821" s="327">
        <v>0</v>
      </c>
      <c r="W821" s="341">
        <f t="shared" si="865"/>
        <v>0</v>
      </c>
      <c r="X821" s="328">
        <f t="shared" si="866"/>
        <v>0</v>
      </c>
      <c r="Y821" s="328">
        <f t="shared" si="867"/>
        <v>50</v>
      </c>
      <c r="Z821" s="329">
        <f>2500/50</f>
        <v>50</v>
      </c>
      <c r="AA821" s="330">
        <f t="shared" si="868"/>
        <v>2500</v>
      </c>
    </row>
    <row r="822" spans="1:27" ht="28.35" customHeight="1">
      <c r="A822" s="325">
        <v>13</v>
      </c>
      <c r="B822" s="299"/>
      <c r="C822" s="326" t="s">
        <v>1224</v>
      </c>
      <c r="D822" s="333" t="s">
        <v>324</v>
      </c>
      <c r="E822" s="327">
        <v>0</v>
      </c>
      <c r="F822" s="327">
        <v>0</v>
      </c>
      <c r="G822" s="327">
        <v>0</v>
      </c>
      <c r="H822" s="341">
        <f t="shared" si="859"/>
        <v>0</v>
      </c>
      <c r="I822" s="328">
        <f t="shared" si="860"/>
        <v>0</v>
      </c>
      <c r="J822" s="327">
        <v>0</v>
      </c>
      <c r="K822" s="327">
        <v>0</v>
      </c>
      <c r="L822" s="327">
        <v>0</v>
      </c>
      <c r="M822" s="341">
        <f t="shared" si="861"/>
        <v>0</v>
      </c>
      <c r="N822" s="328">
        <f t="shared" si="862"/>
        <v>0</v>
      </c>
      <c r="O822" s="327">
        <v>10</v>
      </c>
      <c r="P822" s="327">
        <v>0</v>
      </c>
      <c r="Q822" s="327">
        <v>0</v>
      </c>
      <c r="R822" s="341">
        <f t="shared" si="863"/>
        <v>10</v>
      </c>
      <c r="S822" s="328">
        <f t="shared" si="864"/>
        <v>2500</v>
      </c>
      <c r="T822" s="327">
        <v>0</v>
      </c>
      <c r="U822" s="327">
        <v>0</v>
      </c>
      <c r="V822" s="327">
        <v>0</v>
      </c>
      <c r="W822" s="341">
        <f t="shared" si="865"/>
        <v>0</v>
      </c>
      <c r="X822" s="328">
        <f t="shared" si="866"/>
        <v>0</v>
      </c>
      <c r="Y822" s="328">
        <f t="shared" si="867"/>
        <v>10</v>
      </c>
      <c r="Z822" s="329">
        <f>2500/10</f>
        <v>250</v>
      </c>
      <c r="AA822" s="330">
        <f t="shared" si="868"/>
        <v>2500</v>
      </c>
    </row>
    <row r="823" spans="1:27" ht="28.35" customHeight="1">
      <c r="A823" s="331">
        <v>14</v>
      </c>
      <c r="B823" s="299"/>
      <c r="C823" s="326" t="s">
        <v>1225</v>
      </c>
      <c r="D823" s="333" t="s">
        <v>339</v>
      </c>
      <c r="E823" s="327">
        <v>0</v>
      </c>
      <c r="F823" s="327">
        <v>0</v>
      </c>
      <c r="G823" s="327">
        <v>0</v>
      </c>
      <c r="H823" s="341">
        <f t="shared" si="859"/>
        <v>0</v>
      </c>
      <c r="I823" s="328">
        <f t="shared" si="860"/>
        <v>0</v>
      </c>
      <c r="J823" s="327">
        <v>0</v>
      </c>
      <c r="K823" s="327">
        <v>0</v>
      </c>
      <c r="L823" s="327">
        <v>0</v>
      </c>
      <c r="M823" s="341">
        <f t="shared" si="861"/>
        <v>0</v>
      </c>
      <c r="N823" s="328">
        <f t="shared" si="862"/>
        <v>0</v>
      </c>
      <c r="O823" s="327">
        <v>10</v>
      </c>
      <c r="P823" s="327">
        <v>0</v>
      </c>
      <c r="Q823" s="327">
        <v>0</v>
      </c>
      <c r="R823" s="341">
        <f t="shared" si="863"/>
        <v>10</v>
      </c>
      <c r="S823" s="328">
        <f t="shared" si="864"/>
        <v>1000</v>
      </c>
      <c r="T823" s="327">
        <v>0</v>
      </c>
      <c r="U823" s="327">
        <v>0</v>
      </c>
      <c r="V823" s="327">
        <v>0</v>
      </c>
      <c r="W823" s="341">
        <f t="shared" si="865"/>
        <v>0</v>
      </c>
      <c r="X823" s="328">
        <f t="shared" si="866"/>
        <v>0</v>
      </c>
      <c r="Y823" s="328">
        <f t="shared" si="867"/>
        <v>10</v>
      </c>
      <c r="Z823" s="329">
        <f>1000/10</f>
        <v>100</v>
      </c>
      <c r="AA823" s="330">
        <f t="shared" si="868"/>
        <v>1000</v>
      </c>
    </row>
    <row r="824" spans="1:27" ht="28.35" customHeight="1" thickBot="1">
      <c r="A824" s="332">
        <v>15</v>
      </c>
      <c r="B824" s="299"/>
      <c r="C824" s="326" t="s">
        <v>1226</v>
      </c>
      <c r="D824" s="333" t="s">
        <v>324</v>
      </c>
      <c r="E824" s="327">
        <v>0</v>
      </c>
      <c r="F824" s="327">
        <v>0</v>
      </c>
      <c r="G824" s="327">
        <v>0</v>
      </c>
      <c r="H824" s="341">
        <f>SUM(E824:G824)</f>
        <v>0</v>
      </c>
      <c r="I824" s="328">
        <f>H824*$Z824</f>
        <v>0</v>
      </c>
      <c r="J824" s="327">
        <v>0</v>
      </c>
      <c r="K824" s="327">
        <v>0</v>
      </c>
      <c r="L824" s="327">
        <v>5</v>
      </c>
      <c r="M824" s="341">
        <f>SUM(J824:L824)</f>
        <v>5</v>
      </c>
      <c r="N824" s="328">
        <f>M824*$Z824</f>
        <v>250</v>
      </c>
      <c r="O824" s="327">
        <v>0</v>
      </c>
      <c r="P824" s="327">
        <v>0</v>
      </c>
      <c r="Q824" s="327">
        <v>5</v>
      </c>
      <c r="R824" s="341">
        <f>SUM(O824:Q824)</f>
        <v>5</v>
      </c>
      <c r="S824" s="328">
        <f>R824*$Z824</f>
        <v>250</v>
      </c>
      <c r="T824" s="327">
        <v>0</v>
      </c>
      <c r="U824" s="327">
        <v>0</v>
      </c>
      <c r="V824" s="327">
        <v>0</v>
      </c>
      <c r="W824" s="341">
        <f>SUM(T824:V824)</f>
        <v>0</v>
      </c>
      <c r="X824" s="328">
        <f>W824*$Z824</f>
        <v>0</v>
      </c>
      <c r="Y824" s="328">
        <f>H824+M824+R824+W824</f>
        <v>10</v>
      </c>
      <c r="Z824" s="329">
        <f>500/10</f>
        <v>50</v>
      </c>
      <c r="AA824" s="330">
        <f>Y824*Z824</f>
        <v>500</v>
      </c>
    </row>
    <row r="825" spans="1:27" ht="28.35" customHeight="1">
      <c r="A825" s="325">
        <v>16</v>
      </c>
      <c r="B825" s="299"/>
      <c r="C825" s="326" t="s">
        <v>1227</v>
      </c>
      <c r="D825" s="333" t="s">
        <v>537</v>
      </c>
      <c r="E825" s="327">
        <v>0</v>
      </c>
      <c r="F825" s="327">
        <v>0</v>
      </c>
      <c r="G825" s="327">
        <v>0</v>
      </c>
      <c r="H825" s="341">
        <f t="shared" si="859"/>
        <v>0</v>
      </c>
      <c r="I825" s="328">
        <f t="shared" si="860"/>
        <v>0</v>
      </c>
      <c r="J825" s="327">
        <v>1</v>
      </c>
      <c r="K825" s="327">
        <v>1</v>
      </c>
      <c r="L825" s="327">
        <v>1</v>
      </c>
      <c r="M825" s="341">
        <f t="shared" si="861"/>
        <v>3</v>
      </c>
      <c r="N825" s="328">
        <f t="shared" si="862"/>
        <v>30000</v>
      </c>
      <c r="O825" s="327">
        <v>0</v>
      </c>
      <c r="P825" s="327">
        <v>0</v>
      </c>
      <c r="Q825" s="327">
        <v>0</v>
      </c>
      <c r="R825" s="341">
        <f t="shared" si="863"/>
        <v>0</v>
      </c>
      <c r="S825" s="328">
        <f t="shared" si="864"/>
        <v>0</v>
      </c>
      <c r="T825" s="327">
        <v>0</v>
      </c>
      <c r="U825" s="327">
        <v>0</v>
      </c>
      <c r="V825" s="327">
        <v>0</v>
      </c>
      <c r="W825" s="341">
        <f t="shared" si="865"/>
        <v>0</v>
      </c>
      <c r="X825" s="328">
        <f t="shared" si="866"/>
        <v>0</v>
      </c>
      <c r="Y825" s="328">
        <f t="shared" si="867"/>
        <v>3</v>
      </c>
      <c r="Z825" s="329">
        <f>40000/4</f>
        <v>10000</v>
      </c>
      <c r="AA825" s="330">
        <f t="shared" si="868"/>
        <v>30000</v>
      </c>
    </row>
    <row r="826" spans="1:27" ht="28.35" customHeight="1">
      <c r="A826" s="331">
        <v>17</v>
      </c>
      <c r="B826" s="299"/>
      <c r="C826" s="326" t="s">
        <v>1228</v>
      </c>
      <c r="D826" s="327" t="s">
        <v>339</v>
      </c>
      <c r="E826" s="327">
        <v>0</v>
      </c>
      <c r="F826" s="327">
        <v>0</v>
      </c>
      <c r="G826" s="327">
        <v>0</v>
      </c>
      <c r="H826" s="341">
        <f>SUM(E826:G826)</f>
        <v>0</v>
      </c>
      <c r="I826" s="328">
        <f>H826*$Z826</f>
        <v>0</v>
      </c>
      <c r="J826" s="327">
        <v>0</v>
      </c>
      <c r="K826" s="327">
        <v>0</v>
      </c>
      <c r="L826" s="327">
        <v>0</v>
      </c>
      <c r="M826" s="341">
        <f>SUM(J826:L826)</f>
        <v>0</v>
      </c>
      <c r="N826" s="328">
        <f>M826*$Z826</f>
        <v>0</v>
      </c>
      <c r="O826" s="327">
        <v>0</v>
      </c>
      <c r="P826" s="327">
        <v>0</v>
      </c>
      <c r="Q826" s="327">
        <v>0</v>
      </c>
      <c r="R826" s="341">
        <f>SUM(O826:Q826)</f>
        <v>0</v>
      </c>
      <c r="S826" s="328">
        <f>R826*$Z826</f>
        <v>0</v>
      </c>
      <c r="T826" s="327">
        <v>0</v>
      </c>
      <c r="U826" s="327">
        <v>0</v>
      </c>
      <c r="V826" s="327">
        <v>0</v>
      </c>
      <c r="W826" s="341">
        <f>SUM(T826:V826)</f>
        <v>0</v>
      </c>
      <c r="X826" s="328">
        <f>W826*$Z826</f>
        <v>0</v>
      </c>
      <c r="Y826" s="328">
        <f>H826+M826+R826+W826</f>
        <v>0</v>
      </c>
      <c r="Z826" s="329">
        <f>800/2</f>
        <v>400</v>
      </c>
      <c r="AA826" s="330">
        <f>Y826*Z826</f>
        <v>0</v>
      </c>
    </row>
    <row r="827" spans="1:27" ht="28.35" customHeight="1" thickBot="1">
      <c r="A827" s="332">
        <v>18</v>
      </c>
      <c r="B827" s="299"/>
      <c r="C827" s="326" t="s">
        <v>1229</v>
      </c>
      <c r="D827" s="333" t="s">
        <v>324</v>
      </c>
      <c r="E827" s="327">
        <f>0+0</f>
        <v>0</v>
      </c>
      <c r="F827" s="327">
        <f>0+0</f>
        <v>0</v>
      </c>
      <c r="G827" s="327">
        <f>0+0</f>
        <v>0</v>
      </c>
      <c r="H827" s="341">
        <f t="shared" ref="H827" si="869">SUM(E827:G827)</f>
        <v>0</v>
      </c>
      <c r="I827" s="328">
        <f t="shared" ref="I827:I828" si="870">H827*$Z827</f>
        <v>0</v>
      </c>
      <c r="J827" s="327">
        <f>0+1</f>
        <v>1</v>
      </c>
      <c r="K827" s="327">
        <f t="shared" ref="K827:L880" si="871">0+0</f>
        <v>0</v>
      </c>
      <c r="L827" s="327">
        <f t="shared" si="871"/>
        <v>0</v>
      </c>
      <c r="M827" s="341">
        <f t="shared" ref="M827:M828" si="872">SUM(J827:L827)</f>
        <v>1</v>
      </c>
      <c r="N827" s="328">
        <f t="shared" ref="N827:N828" si="873">M827*$Z827</f>
        <v>70</v>
      </c>
      <c r="O827" s="327">
        <f>0+0</f>
        <v>0</v>
      </c>
      <c r="P827" s="327">
        <f>0+0</f>
        <v>0</v>
      </c>
      <c r="Q827" s="327">
        <f>0+0</f>
        <v>0</v>
      </c>
      <c r="R827" s="341">
        <f t="shared" ref="R827:R828" si="874">SUM(O827:Q827)</f>
        <v>0</v>
      </c>
      <c r="S827" s="328">
        <f t="shared" ref="S827:S828" si="875">R827*$Z827</f>
        <v>0</v>
      </c>
      <c r="T827" s="327">
        <f t="shared" ref="T827:V880" si="876">0+0</f>
        <v>0</v>
      </c>
      <c r="U827" s="327">
        <f t="shared" si="876"/>
        <v>0</v>
      </c>
      <c r="V827" s="327">
        <f t="shared" si="876"/>
        <v>0</v>
      </c>
      <c r="W827" s="341">
        <f t="shared" ref="W827:W828" si="877">SUM(T827:V827)</f>
        <v>0</v>
      </c>
      <c r="X827" s="328">
        <f t="shared" ref="X827:X828" si="878">W827*$Z827</f>
        <v>0</v>
      </c>
      <c r="Y827" s="328">
        <f t="shared" ref="Y827:Y828" si="879">H827+M827+R827+W827</f>
        <v>1</v>
      </c>
      <c r="Z827" s="329">
        <f>70</f>
        <v>70</v>
      </c>
      <c r="AA827" s="330">
        <f t="shared" ref="AA827:AA828" si="880">Y827*Z827</f>
        <v>70</v>
      </c>
    </row>
    <row r="828" spans="1:27" ht="28.35" customHeight="1">
      <c r="A828" s="325">
        <v>19</v>
      </c>
      <c r="B828" s="299"/>
      <c r="C828" s="326" t="s">
        <v>1230</v>
      </c>
      <c r="D828" s="333" t="s">
        <v>324</v>
      </c>
      <c r="E828" s="327">
        <v>0</v>
      </c>
      <c r="F828" s="327">
        <v>0</v>
      </c>
      <c r="G828" s="327">
        <v>0</v>
      </c>
      <c r="H828" s="341">
        <f t="shared" ref="H828" si="881">SUM(E828:G828)</f>
        <v>0</v>
      </c>
      <c r="I828" s="328">
        <f t="shared" si="870"/>
        <v>0</v>
      </c>
      <c r="J828" s="327">
        <v>0</v>
      </c>
      <c r="K828" s="327">
        <v>0</v>
      </c>
      <c r="L828" s="327">
        <v>0</v>
      </c>
      <c r="M828" s="341">
        <f t="shared" si="872"/>
        <v>0</v>
      </c>
      <c r="N828" s="328">
        <f t="shared" si="873"/>
        <v>0</v>
      </c>
      <c r="O828" s="327">
        <v>0</v>
      </c>
      <c r="P828" s="327">
        <v>0</v>
      </c>
      <c r="Q828" s="327">
        <v>1</v>
      </c>
      <c r="R828" s="341">
        <f t="shared" si="874"/>
        <v>1</v>
      </c>
      <c r="S828" s="328">
        <f t="shared" si="875"/>
        <v>40</v>
      </c>
      <c r="T828" s="327">
        <v>0</v>
      </c>
      <c r="U828" s="327">
        <v>0</v>
      </c>
      <c r="V828" s="327">
        <v>0</v>
      </c>
      <c r="W828" s="341">
        <f t="shared" si="877"/>
        <v>0</v>
      </c>
      <c r="X828" s="328">
        <f t="shared" si="878"/>
        <v>0</v>
      </c>
      <c r="Y828" s="328">
        <f t="shared" si="879"/>
        <v>1</v>
      </c>
      <c r="Z828" s="329">
        <f>80/2</f>
        <v>40</v>
      </c>
      <c r="AA828" s="330">
        <f t="shared" si="880"/>
        <v>40</v>
      </c>
    </row>
    <row r="829" spans="1:27" ht="28.35" customHeight="1">
      <c r="A829" s="331">
        <v>20</v>
      </c>
      <c r="B829" s="299"/>
      <c r="C829" s="326" t="s">
        <v>1231</v>
      </c>
      <c r="D829" s="333" t="s">
        <v>339</v>
      </c>
      <c r="E829" s="327">
        <v>0</v>
      </c>
      <c r="F829" s="327">
        <v>0</v>
      </c>
      <c r="G829" s="327">
        <v>0</v>
      </c>
      <c r="H829" s="341">
        <f>SUM(E829:G829)</f>
        <v>0</v>
      </c>
      <c r="I829" s="328">
        <f>H829*$Z829</f>
        <v>0</v>
      </c>
      <c r="J829" s="327">
        <v>0</v>
      </c>
      <c r="K829" s="327">
        <v>0</v>
      </c>
      <c r="L829" s="327">
        <v>0</v>
      </c>
      <c r="M829" s="341">
        <f>SUM(J829:L829)</f>
        <v>0</v>
      </c>
      <c r="N829" s="328">
        <f>M829*$Z829</f>
        <v>0</v>
      </c>
      <c r="O829" s="327">
        <v>50</v>
      </c>
      <c r="P829" s="327">
        <v>0</v>
      </c>
      <c r="Q829" s="327">
        <v>0</v>
      </c>
      <c r="R829" s="341">
        <f>SUM(O829:Q829)</f>
        <v>50</v>
      </c>
      <c r="S829" s="328">
        <f>R829*$Z829</f>
        <v>5000</v>
      </c>
      <c r="T829" s="327">
        <v>0</v>
      </c>
      <c r="U829" s="327">
        <v>0</v>
      </c>
      <c r="V829" s="327">
        <v>0</v>
      </c>
      <c r="W829" s="341">
        <f>SUM(T829:V829)</f>
        <v>0</v>
      </c>
      <c r="X829" s="328">
        <f>W829*$Z829</f>
        <v>0</v>
      </c>
      <c r="Y829" s="328">
        <f>H829+M829+R829+W829</f>
        <v>50</v>
      </c>
      <c r="Z829" s="329">
        <f>5000/50</f>
        <v>100</v>
      </c>
      <c r="AA829" s="330">
        <f>Y829*Z829</f>
        <v>5000</v>
      </c>
    </row>
    <row r="830" spans="1:27" ht="28.35" customHeight="1" thickBot="1">
      <c r="A830" s="332">
        <v>21</v>
      </c>
      <c r="B830" s="299"/>
      <c r="C830" s="326" t="s">
        <v>1232</v>
      </c>
      <c r="D830" s="327" t="s">
        <v>324</v>
      </c>
      <c r="E830" s="327">
        <v>0</v>
      </c>
      <c r="F830" s="327">
        <v>0</v>
      </c>
      <c r="G830" s="327">
        <v>0</v>
      </c>
      <c r="H830" s="341">
        <f>SUM(E830:G830)</f>
        <v>0</v>
      </c>
      <c r="I830" s="328">
        <f>H830*$Z830</f>
        <v>0</v>
      </c>
      <c r="J830" s="327">
        <v>0</v>
      </c>
      <c r="K830" s="327">
        <v>0</v>
      </c>
      <c r="L830" s="327">
        <v>0</v>
      </c>
      <c r="M830" s="341">
        <f>SUM(J830:L830)</f>
        <v>0</v>
      </c>
      <c r="N830" s="328">
        <f>M830*$Z830</f>
        <v>0</v>
      </c>
      <c r="O830" s="327">
        <v>5</v>
      </c>
      <c r="P830" s="327">
        <v>0</v>
      </c>
      <c r="Q830" s="327">
        <v>0</v>
      </c>
      <c r="R830" s="341">
        <f>SUM(O830:Q830)</f>
        <v>5</v>
      </c>
      <c r="S830" s="328">
        <f>R830*$Z830</f>
        <v>3250</v>
      </c>
      <c r="T830" s="327">
        <v>0</v>
      </c>
      <c r="U830" s="327">
        <v>0</v>
      </c>
      <c r="V830" s="327">
        <v>0</v>
      </c>
      <c r="W830" s="341">
        <f>SUM(T830:V830)</f>
        <v>0</v>
      </c>
      <c r="X830" s="328">
        <f>W830*$Z830</f>
        <v>0</v>
      </c>
      <c r="Y830" s="328">
        <f>H830+M830+R830+W830</f>
        <v>5</v>
      </c>
      <c r="Z830" s="329">
        <f>3250/5</f>
        <v>650</v>
      </c>
      <c r="AA830" s="330">
        <f>Y830*Z830</f>
        <v>3250</v>
      </c>
    </row>
    <row r="831" spans="1:27" ht="28.35" customHeight="1">
      <c r="A831" s="325">
        <v>22</v>
      </c>
      <c r="B831" s="299"/>
      <c r="C831" s="326" t="s">
        <v>1233</v>
      </c>
      <c r="D831" s="333" t="s">
        <v>364</v>
      </c>
      <c r="E831" s="327">
        <v>0</v>
      </c>
      <c r="F831" s="327">
        <v>0</v>
      </c>
      <c r="G831" s="327">
        <v>0</v>
      </c>
      <c r="H831" s="341">
        <f t="shared" ref="H831" si="882">SUM(E831:G831)</f>
        <v>0</v>
      </c>
      <c r="I831" s="328" t="e">
        <f t="shared" ref="I831:I846" si="883">H831*$Z831</f>
        <v>#DIV/0!</v>
      </c>
      <c r="J831" s="327">
        <v>0</v>
      </c>
      <c r="K831" s="327">
        <v>0</v>
      </c>
      <c r="L831" s="327">
        <v>0</v>
      </c>
      <c r="M831" s="341">
        <f t="shared" ref="M831" si="884">SUM(J831:L831)</f>
        <v>0</v>
      </c>
      <c r="N831" s="328" t="e">
        <f t="shared" ref="N831:N846" si="885">M831*$Z831</f>
        <v>#DIV/0!</v>
      </c>
      <c r="O831" s="327">
        <v>0</v>
      </c>
      <c r="P831" s="327">
        <v>0</v>
      </c>
      <c r="Q831" s="327">
        <v>0</v>
      </c>
      <c r="R831" s="341">
        <f t="shared" ref="R831" si="886">SUM(O831:Q831)</f>
        <v>0</v>
      </c>
      <c r="S831" s="328" t="e">
        <f t="shared" ref="S831:S846" si="887">R831*$Z831</f>
        <v>#DIV/0!</v>
      </c>
      <c r="T831" s="327">
        <v>0</v>
      </c>
      <c r="U831" s="327">
        <v>0</v>
      </c>
      <c r="V831" s="327">
        <v>0</v>
      </c>
      <c r="W831" s="341">
        <f t="shared" ref="W831" si="888">SUM(T831:V831)</f>
        <v>0</v>
      </c>
      <c r="X831" s="328" t="e">
        <f t="shared" ref="X831:X846" si="889">W831*$Z831</f>
        <v>#DIV/0!</v>
      </c>
      <c r="Y831" s="328">
        <f t="shared" ref="Y831:Y846" si="890">H831+M831+R831+W831</f>
        <v>0</v>
      </c>
      <c r="Z831" s="329" t="e">
        <f>14000/Y831</f>
        <v>#DIV/0!</v>
      </c>
      <c r="AA831" s="330" t="e">
        <f t="shared" ref="AA831:AA846" si="891">Y831*Z831</f>
        <v>#DIV/0!</v>
      </c>
    </row>
    <row r="832" spans="1:27" ht="28.35" customHeight="1">
      <c r="A832" s="331">
        <v>23</v>
      </c>
      <c r="B832" s="299"/>
      <c r="C832" s="326" t="s">
        <v>1234</v>
      </c>
      <c r="D832" s="333" t="s">
        <v>537</v>
      </c>
      <c r="E832" s="327">
        <v>0</v>
      </c>
      <c r="F832" s="327">
        <v>0</v>
      </c>
      <c r="G832" s="327">
        <v>0</v>
      </c>
      <c r="H832" s="341">
        <f t="shared" ref="H832:H850" si="892">SUM(E832:G832)</f>
        <v>0</v>
      </c>
      <c r="I832" s="328">
        <f t="shared" si="883"/>
        <v>0</v>
      </c>
      <c r="J832" s="327">
        <v>0</v>
      </c>
      <c r="K832" s="327">
        <v>0</v>
      </c>
      <c r="L832" s="327">
        <v>3</v>
      </c>
      <c r="M832" s="341">
        <f t="shared" ref="M832:M854" si="893">SUM(J832:L832)</f>
        <v>3</v>
      </c>
      <c r="N832" s="328">
        <f t="shared" si="885"/>
        <v>3600</v>
      </c>
      <c r="O832" s="327">
        <v>0</v>
      </c>
      <c r="P832" s="327">
        <v>0</v>
      </c>
      <c r="Q832" s="327">
        <v>3</v>
      </c>
      <c r="R832" s="341">
        <f t="shared" ref="R832:R854" si="894">SUM(O832:Q832)</f>
        <v>3</v>
      </c>
      <c r="S832" s="328">
        <f t="shared" si="887"/>
        <v>3600</v>
      </c>
      <c r="T832" s="327">
        <v>0</v>
      </c>
      <c r="U832" s="327">
        <v>0</v>
      </c>
      <c r="V832" s="327">
        <v>0</v>
      </c>
      <c r="W832" s="341">
        <f t="shared" ref="W832:W854" si="895">SUM(T832:V832)</f>
        <v>0</v>
      </c>
      <c r="X832" s="328">
        <f t="shared" si="889"/>
        <v>0</v>
      </c>
      <c r="Y832" s="328">
        <f t="shared" si="890"/>
        <v>6</v>
      </c>
      <c r="Z832" s="329">
        <f>10800/9</f>
        <v>1200</v>
      </c>
      <c r="AA832" s="330">
        <f t="shared" si="891"/>
        <v>7200</v>
      </c>
    </row>
    <row r="833" spans="1:27" ht="28.35" customHeight="1" thickBot="1">
      <c r="A833" s="332">
        <v>24</v>
      </c>
      <c r="B833" s="299"/>
      <c r="C833" s="326" t="s">
        <v>1235</v>
      </c>
      <c r="D833" s="333" t="s">
        <v>364</v>
      </c>
      <c r="E833" s="327">
        <v>0</v>
      </c>
      <c r="F833" s="327">
        <v>0</v>
      </c>
      <c r="G833" s="327">
        <v>0</v>
      </c>
      <c r="H833" s="341">
        <f t="shared" si="892"/>
        <v>0</v>
      </c>
      <c r="I833" s="328">
        <f t="shared" si="883"/>
        <v>0</v>
      </c>
      <c r="J833" s="327">
        <v>0</v>
      </c>
      <c r="K833" s="327">
        <v>0</v>
      </c>
      <c r="L833" s="327">
        <v>0</v>
      </c>
      <c r="M833" s="341">
        <f t="shared" si="893"/>
        <v>0</v>
      </c>
      <c r="N833" s="328">
        <f t="shared" si="885"/>
        <v>0</v>
      </c>
      <c r="O833" s="327">
        <v>0</v>
      </c>
      <c r="P833" s="327">
        <v>0</v>
      </c>
      <c r="Q833" s="327">
        <v>0</v>
      </c>
      <c r="R833" s="341">
        <f t="shared" si="894"/>
        <v>0</v>
      </c>
      <c r="S833" s="328">
        <f t="shared" si="887"/>
        <v>0</v>
      </c>
      <c r="T833" s="327">
        <v>0</v>
      </c>
      <c r="U833" s="327">
        <v>0</v>
      </c>
      <c r="V833" s="327">
        <v>0</v>
      </c>
      <c r="W833" s="341">
        <f t="shared" si="895"/>
        <v>0</v>
      </c>
      <c r="X833" s="328">
        <f t="shared" si="889"/>
        <v>0</v>
      </c>
      <c r="Y833" s="328">
        <f t="shared" si="890"/>
        <v>0</v>
      </c>
      <c r="Z833" s="329">
        <f t="shared" ref="Z833:Z836" si="896">320/1</f>
        <v>320</v>
      </c>
      <c r="AA833" s="330">
        <f t="shared" si="891"/>
        <v>0</v>
      </c>
    </row>
    <row r="834" spans="1:27" ht="28.35" customHeight="1">
      <c r="A834" s="325">
        <v>25</v>
      </c>
      <c r="B834" s="299"/>
      <c r="C834" s="326" t="s">
        <v>1236</v>
      </c>
      <c r="D834" s="333" t="s">
        <v>364</v>
      </c>
      <c r="E834" s="327">
        <v>0</v>
      </c>
      <c r="F834" s="327">
        <v>0</v>
      </c>
      <c r="G834" s="327">
        <v>0</v>
      </c>
      <c r="H834" s="341">
        <f t="shared" si="892"/>
        <v>0</v>
      </c>
      <c r="I834" s="328">
        <f t="shared" si="883"/>
        <v>0</v>
      </c>
      <c r="J834" s="327">
        <v>0</v>
      </c>
      <c r="K834" s="327">
        <v>0</v>
      </c>
      <c r="L834" s="327">
        <v>0</v>
      </c>
      <c r="M834" s="341">
        <f t="shared" si="893"/>
        <v>0</v>
      </c>
      <c r="N834" s="328">
        <f t="shared" si="885"/>
        <v>0</v>
      </c>
      <c r="O834" s="327">
        <v>0</v>
      </c>
      <c r="P834" s="327">
        <v>0</v>
      </c>
      <c r="Q834" s="327">
        <v>0</v>
      </c>
      <c r="R834" s="341">
        <f t="shared" si="894"/>
        <v>0</v>
      </c>
      <c r="S834" s="328">
        <f t="shared" si="887"/>
        <v>0</v>
      </c>
      <c r="T834" s="327">
        <v>0</v>
      </c>
      <c r="U834" s="327">
        <v>0</v>
      </c>
      <c r="V834" s="327">
        <v>0</v>
      </c>
      <c r="W834" s="341">
        <f t="shared" si="895"/>
        <v>0</v>
      </c>
      <c r="X834" s="328">
        <f t="shared" si="889"/>
        <v>0</v>
      </c>
      <c r="Y834" s="328">
        <f t="shared" si="890"/>
        <v>0</v>
      </c>
      <c r="Z834" s="329">
        <f t="shared" si="896"/>
        <v>320</v>
      </c>
      <c r="AA834" s="330">
        <f t="shared" si="891"/>
        <v>0</v>
      </c>
    </row>
    <row r="835" spans="1:27" ht="28.35" customHeight="1">
      <c r="A835" s="331">
        <v>26</v>
      </c>
      <c r="B835" s="299"/>
      <c r="C835" s="326" t="s">
        <v>1237</v>
      </c>
      <c r="D835" s="333" t="s">
        <v>364</v>
      </c>
      <c r="E835" s="327">
        <v>0</v>
      </c>
      <c r="F835" s="327">
        <v>0</v>
      </c>
      <c r="G835" s="327">
        <v>0</v>
      </c>
      <c r="H835" s="341">
        <f t="shared" si="892"/>
        <v>0</v>
      </c>
      <c r="I835" s="328">
        <f t="shared" si="883"/>
        <v>0</v>
      </c>
      <c r="J835" s="327">
        <v>0</v>
      </c>
      <c r="K835" s="327">
        <v>0</v>
      </c>
      <c r="L835" s="327">
        <v>0</v>
      </c>
      <c r="M835" s="341">
        <f t="shared" si="893"/>
        <v>0</v>
      </c>
      <c r="N835" s="328">
        <f t="shared" si="885"/>
        <v>0</v>
      </c>
      <c r="O835" s="327">
        <v>0</v>
      </c>
      <c r="P835" s="327">
        <v>0</v>
      </c>
      <c r="Q835" s="327">
        <v>0</v>
      </c>
      <c r="R835" s="341">
        <f t="shared" si="894"/>
        <v>0</v>
      </c>
      <c r="S835" s="328">
        <f t="shared" si="887"/>
        <v>0</v>
      </c>
      <c r="T835" s="327">
        <v>0</v>
      </c>
      <c r="U835" s="327">
        <v>0</v>
      </c>
      <c r="V835" s="327">
        <v>0</v>
      </c>
      <c r="W835" s="341">
        <f t="shared" si="895"/>
        <v>0</v>
      </c>
      <c r="X835" s="328">
        <f t="shared" si="889"/>
        <v>0</v>
      </c>
      <c r="Y835" s="328">
        <f t="shared" si="890"/>
        <v>0</v>
      </c>
      <c r="Z835" s="329">
        <f>320/1</f>
        <v>320</v>
      </c>
      <c r="AA835" s="330">
        <f t="shared" si="891"/>
        <v>0</v>
      </c>
    </row>
    <row r="836" spans="1:27" ht="28.35" customHeight="1" thickBot="1">
      <c r="A836" s="332">
        <v>27</v>
      </c>
      <c r="B836" s="299"/>
      <c r="C836" s="326" t="s">
        <v>1238</v>
      </c>
      <c r="D836" s="333" t="s">
        <v>364</v>
      </c>
      <c r="E836" s="327">
        <v>0</v>
      </c>
      <c r="F836" s="327">
        <v>0</v>
      </c>
      <c r="G836" s="327">
        <v>0</v>
      </c>
      <c r="H836" s="341">
        <f t="shared" si="892"/>
        <v>0</v>
      </c>
      <c r="I836" s="328">
        <f t="shared" si="883"/>
        <v>0</v>
      </c>
      <c r="J836" s="327">
        <v>0</v>
      </c>
      <c r="K836" s="327">
        <v>0</v>
      </c>
      <c r="L836" s="327">
        <v>0</v>
      </c>
      <c r="M836" s="341">
        <f t="shared" si="893"/>
        <v>0</v>
      </c>
      <c r="N836" s="328">
        <f t="shared" si="885"/>
        <v>0</v>
      </c>
      <c r="O836" s="327">
        <v>0</v>
      </c>
      <c r="P836" s="327">
        <v>0</v>
      </c>
      <c r="Q836" s="327">
        <v>0</v>
      </c>
      <c r="R836" s="341">
        <f t="shared" si="894"/>
        <v>0</v>
      </c>
      <c r="S836" s="328">
        <f t="shared" si="887"/>
        <v>0</v>
      </c>
      <c r="T836" s="327">
        <v>0</v>
      </c>
      <c r="U836" s="327">
        <v>0</v>
      </c>
      <c r="V836" s="327">
        <v>0</v>
      </c>
      <c r="W836" s="341">
        <f t="shared" si="895"/>
        <v>0</v>
      </c>
      <c r="X836" s="328">
        <f t="shared" si="889"/>
        <v>0</v>
      </c>
      <c r="Y836" s="328">
        <f t="shared" si="890"/>
        <v>0</v>
      </c>
      <c r="Z836" s="329">
        <f t="shared" si="896"/>
        <v>320</v>
      </c>
      <c r="AA836" s="330">
        <f t="shared" si="891"/>
        <v>0</v>
      </c>
    </row>
    <row r="837" spans="1:27" ht="28.35" customHeight="1">
      <c r="A837" s="325">
        <v>28</v>
      </c>
      <c r="B837" s="299"/>
      <c r="C837" s="326" t="s">
        <v>1239</v>
      </c>
      <c r="D837" s="333" t="s">
        <v>364</v>
      </c>
      <c r="E837" s="327">
        <v>0</v>
      </c>
      <c r="F837" s="327">
        <v>0</v>
      </c>
      <c r="G837" s="327">
        <v>0</v>
      </c>
      <c r="H837" s="341">
        <f t="shared" si="892"/>
        <v>0</v>
      </c>
      <c r="I837" s="328">
        <f t="shared" si="883"/>
        <v>0</v>
      </c>
      <c r="J837" s="327">
        <v>0</v>
      </c>
      <c r="K837" s="327">
        <v>0</v>
      </c>
      <c r="L837" s="327">
        <v>0</v>
      </c>
      <c r="M837" s="341">
        <f t="shared" si="893"/>
        <v>0</v>
      </c>
      <c r="N837" s="328">
        <f t="shared" si="885"/>
        <v>0</v>
      </c>
      <c r="O837" s="327">
        <v>0</v>
      </c>
      <c r="P837" s="327">
        <v>0</v>
      </c>
      <c r="Q837" s="327">
        <v>0</v>
      </c>
      <c r="R837" s="341">
        <f t="shared" si="894"/>
        <v>0</v>
      </c>
      <c r="S837" s="328">
        <f t="shared" si="887"/>
        <v>0</v>
      </c>
      <c r="T837" s="327">
        <v>0</v>
      </c>
      <c r="U837" s="327">
        <v>0</v>
      </c>
      <c r="V837" s="327">
        <v>0</v>
      </c>
      <c r="W837" s="341">
        <f t="shared" si="895"/>
        <v>0</v>
      </c>
      <c r="X837" s="328">
        <f t="shared" si="889"/>
        <v>0</v>
      </c>
      <c r="Y837" s="328">
        <f t="shared" si="890"/>
        <v>0</v>
      </c>
      <c r="Z837" s="329">
        <v>320</v>
      </c>
      <c r="AA837" s="330">
        <f t="shared" si="891"/>
        <v>0</v>
      </c>
    </row>
    <row r="838" spans="1:27" ht="28.35" customHeight="1">
      <c r="A838" s="331">
        <v>29</v>
      </c>
      <c r="B838" s="299"/>
      <c r="C838" s="326" t="s">
        <v>1240</v>
      </c>
      <c r="D838" s="333" t="s">
        <v>364</v>
      </c>
      <c r="E838" s="327">
        <v>0</v>
      </c>
      <c r="F838" s="327">
        <v>0</v>
      </c>
      <c r="G838" s="327">
        <v>0</v>
      </c>
      <c r="H838" s="341">
        <f t="shared" si="892"/>
        <v>0</v>
      </c>
      <c r="I838" s="328">
        <f t="shared" si="883"/>
        <v>0</v>
      </c>
      <c r="J838" s="327">
        <v>0</v>
      </c>
      <c r="K838" s="327">
        <v>0</v>
      </c>
      <c r="L838" s="327">
        <v>0</v>
      </c>
      <c r="M838" s="341">
        <f t="shared" si="893"/>
        <v>0</v>
      </c>
      <c r="N838" s="328">
        <f t="shared" si="885"/>
        <v>0</v>
      </c>
      <c r="O838" s="327">
        <v>0</v>
      </c>
      <c r="P838" s="327">
        <v>0</v>
      </c>
      <c r="Q838" s="327">
        <v>0</v>
      </c>
      <c r="R838" s="341">
        <f t="shared" si="894"/>
        <v>0</v>
      </c>
      <c r="S838" s="328">
        <f t="shared" si="887"/>
        <v>0</v>
      </c>
      <c r="T838" s="327">
        <v>0</v>
      </c>
      <c r="U838" s="327">
        <v>0</v>
      </c>
      <c r="V838" s="327">
        <v>0</v>
      </c>
      <c r="W838" s="341">
        <f t="shared" si="895"/>
        <v>0</v>
      </c>
      <c r="X838" s="328">
        <f t="shared" si="889"/>
        <v>0</v>
      </c>
      <c r="Y838" s="328">
        <f t="shared" si="890"/>
        <v>0</v>
      </c>
      <c r="Z838" s="329">
        <v>320</v>
      </c>
      <c r="AA838" s="330">
        <f t="shared" si="891"/>
        <v>0</v>
      </c>
    </row>
    <row r="839" spans="1:27" ht="28.35" customHeight="1" thickBot="1">
      <c r="A839" s="332">
        <v>30</v>
      </c>
      <c r="B839" s="299"/>
      <c r="C839" s="326" t="s">
        <v>1241</v>
      </c>
      <c r="D839" s="333" t="s">
        <v>364</v>
      </c>
      <c r="E839" s="327">
        <v>0</v>
      </c>
      <c r="F839" s="327">
        <v>0</v>
      </c>
      <c r="G839" s="327">
        <v>0</v>
      </c>
      <c r="H839" s="341">
        <f t="shared" si="892"/>
        <v>0</v>
      </c>
      <c r="I839" s="328">
        <f t="shared" si="883"/>
        <v>0</v>
      </c>
      <c r="J839" s="327">
        <v>0</v>
      </c>
      <c r="K839" s="327">
        <v>0</v>
      </c>
      <c r="L839" s="327">
        <v>0</v>
      </c>
      <c r="M839" s="341">
        <f t="shared" si="893"/>
        <v>0</v>
      </c>
      <c r="N839" s="328">
        <f t="shared" si="885"/>
        <v>0</v>
      </c>
      <c r="O839" s="327">
        <v>0</v>
      </c>
      <c r="P839" s="327">
        <v>0</v>
      </c>
      <c r="Q839" s="327">
        <v>0</v>
      </c>
      <c r="R839" s="341">
        <f t="shared" si="894"/>
        <v>0</v>
      </c>
      <c r="S839" s="328">
        <f t="shared" si="887"/>
        <v>0</v>
      </c>
      <c r="T839" s="327">
        <v>0</v>
      </c>
      <c r="U839" s="327">
        <v>0</v>
      </c>
      <c r="V839" s="327">
        <v>0</v>
      </c>
      <c r="W839" s="341">
        <f t="shared" si="895"/>
        <v>0</v>
      </c>
      <c r="X839" s="328">
        <f t="shared" si="889"/>
        <v>0</v>
      </c>
      <c r="Y839" s="328">
        <f t="shared" si="890"/>
        <v>0</v>
      </c>
      <c r="Z839" s="329">
        <f>1280/4</f>
        <v>320</v>
      </c>
      <c r="AA839" s="330">
        <f t="shared" si="891"/>
        <v>0</v>
      </c>
    </row>
    <row r="840" spans="1:27" ht="28.35" customHeight="1">
      <c r="A840" s="325">
        <v>31</v>
      </c>
      <c r="B840" s="299"/>
      <c r="C840" s="326" t="s">
        <v>1242</v>
      </c>
      <c r="D840" s="333" t="s">
        <v>364</v>
      </c>
      <c r="E840" s="327">
        <v>0</v>
      </c>
      <c r="F840" s="327">
        <v>0</v>
      </c>
      <c r="G840" s="327">
        <v>0</v>
      </c>
      <c r="H840" s="341">
        <f t="shared" si="892"/>
        <v>0</v>
      </c>
      <c r="I840" s="328">
        <f t="shared" si="883"/>
        <v>0</v>
      </c>
      <c r="J840" s="327">
        <v>0</v>
      </c>
      <c r="K840" s="327">
        <v>0</v>
      </c>
      <c r="L840" s="327">
        <v>0</v>
      </c>
      <c r="M840" s="341">
        <f t="shared" si="893"/>
        <v>0</v>
      </c>
      <c r="N840" s="328">
        <f t="shared" si="885"/>
        <v>0</v>
      </c>
      <c r="O840" s="327">
        <v>0</v>
      </c>
      <c r="P840" s="327">
        <v>0</v>
      </c>
      <c r="Q840" s="327">
        <v>0</v>
      </c>
      <c r="R840" s="341">
        <f t="shared" si="894"/>
        <v>0</v>
      </c>
      <c r="S840" s="328">
        <f t="shared" si="887"/>
        <v>0</v>
      </c>
      <c r="T840" s="327">
        <v>0</v>
      </c>
      <c r="U840" s="327">
        <v>0</v>
      </c>
      <c r="V840" s="327">
        <v>0</v>
      </c>
      <c r="W840" s="341">
        <f t="shared" si="895"/>
        <v>0</v>
      </c>
      <c r="X840" s="328">
        <f t="shared" si="889"/>
        <v>0</v>
      </c>
      <c r="Y840" s="328">
        <f t="shared" si="890"/>
        <v>0</v>
      </c>
      <c r="Z840" s="329">
        <v>320</v>
      </c>
      <c r="AA840" s="330">
        <f t="shared" si="891"/>
        <v>0</v>
      </c>
    </row>
    <row r="841" spans="1:27" ht="28.35" customHeight="1">
      <c r="A841" s="331">
        <v>32</v>
      </c>
      <c r="B841" s="299"/>
      <c r="C841" s="326" t="s">
        <v>1243</v>
      </c>
      <c r="D841" s="333" t="s">
        <v>537</v>
      </c>
      <c r="E841" s="327">
        <v>0</v>
      </c>
      <c r="F841" s="327">
        <v>0</v>
      </c>
      <c r="G841" s="327">
        <v>0</v>
      </c>
      <c r="H841" s="341">
        <f t="shared" si="892"/>
        <v>0</v>
      </c>
      <c r="I841" s="328">
        <f t="shared" si="883"/>
        <v>0</v>
      </c>
      <c r="J841" s="327">
        <v>0</v>
      </c>
      <c r="K841" s="327">
        <v>0</v>
      </c>
      <c r="L841" s="327">
        <v>1</v>
      </c>
      <c r="M841" s="341">
        <f t="shared" si="893"/>
        <v>1</v>
      </c>
      <c r="N841" s="328">
        <f t="shared" si="885"/>
        <v>442.5</v>
      </c>
      <c r="O841" s="327">
        <v>1</v>
      </c>
      <c r="P841" s="327">
        <v>1</v>
      </c>
      <c r="Q841" s="327">
        <v>0</v>
      </c>
      <c r="R841" s="341">
        <f t="shared" si="894"/>
        <v>2</v>
      </c>
      <c r="S841" s="328">
        <f t="shared" si="887"/>
        <v>885</v>
      </c>
      <c r="T841" s="327">
        <v>1</v>
      </c>
      <c r="U841" s="327">
        <v>0</v>
      </c>
      <c r="V841" s="327">
        <v>0</v>
      </c>
      <c r="W841" s="341">
        <f t="shared" si="895"/>
        <v>1</v>
      </c>
      <c r="X841" s="328">
        <f t="shared" si="889"/>
        <v>442.5</v>
      </c>
      <c r="Y841" s="328">
        <f t="shared" si="890"/>
        <v>4</v>
      </c>
      <c r="Z841" s="329">
        <f>1770/Y841</f>
        <v>442.5</v>
      </c>
      <c r="AA841" s="330">
        <f t="shared" si="891"/>
        <v>1770</v>
      </c>
    </row>
    <row r="842" spans="1:27" ht="28.35" customHeight="1" thickBot="1">
      <c r="A842" s="332">
        <v>33</v>
      </c>
      <c r="B842" s="299"/>
      <c r="C842" s="326" t="s">
        <v>1244</v>
      </c>
      <c r="D842" s="333" t="s">
        <v>537</v>
      </c>
      <c r="E842" s="327">
        <v>0</v>
      </c>
      <c r="F842" s="327">
        <v>0</v>
      </c>
      <c r="G842" s="327">
        <v>0</v>
      </c>
      <c r="H842" s="341">
        <f t="shared" si="892"/>
        <v>0</v>
      </c>
      <c r="I842" s="328">
        <f t="shared" si="883"/>
        <v>0</v>
      </c>
      <c r="J842" s="327">
        <v>1</v>
      </c>
      <c r="K842" s="327">
        <v>0</v>
      </c>
      <c r="L842" s="327">
        <v>0</v>
      </c>
      <c r="M842" s="341">
        <f t="shared" si="893"/>
        <v>1</v>
      </c>
      <c r="N842" s="328">
        <f t="shared" si="885"/>
        <v>368.75</v>
      </c>
      <c r="O842" s="327">
        <v>2</v>
      </c>
      <c r="P842" s="327">
        <v>0</v>
      </c>
      <c r="Q842" s="327">
        <v>0</v>
      </c>
      <c r="R842" s="341">
        <f t="shared" si="894"/>
        <v>2</v>
      </c>
      <c r="S842" s="328">
        <f t="shared" si="887"/>
        <v>737.5</v>
      </c>
      <c r="T842" s="327">
        <v>1</v>
      </c>
      <c r="U842" s="327">
        <v>0</v>
      </c>
      <c r="V842" s="327">
        <v>0</v>
      </c>
      <c r="W842" s="341">
        <f t="shared" si="895"/>
        <v>1</v>
      </c>
      <c r="X842" s="328">
        <f t="shared" si="889"/>
        <v>368.75</v>
      </c>
      <c r="Y842" s="328">
        <f t="shared" si="890"/>
        <v>4</v>
      </c>
      <c r="Z842" s="329">
        <f>1475/Y842</f>
        <v>368.75</v>
      </c>
      <c r="AA842" s="330">
        <f t="shared" si="891"/>
        <v>1475</v>
      </c>
    </row>
    <row r="843" spans="1:27" ht="28.35" customHeight="1">
      <c r="A843" s="325">
        <v>34</v>
      </c>
      <c r="B843" s="299"/>
      <c r="C843" s="326" t="s">
        <v>1245</v>
      </c>
      <c r="D843" s="333" t="s">
        <v>537</v>
      </c>
      <c r="E843" s="327">
        <v>0</v>
      </c>
      <c r="F843" s="327">
        <v>0</v>
      </c>
      <c r="G843" s="327">
        <v>0</v>
      </c>
      <c r="H843" s="341">
        <f t="shared" si="892"/>
        <v>0</v>
      </c>
      <c r="I843" s="328">
        <f t="shared" si="883"/>
        <v>0</v>
      </c>
      <c r="J843" s="327">
        <v>1</v>
      </c>
      <c r="K843" s="327">
        <v>0</v>
      </c>
      <c r="L843" s="327">
        <v>0</v>
      </c>
      <c r="M843" s="341">
        <f t="shared" si="893"/>
        <v>1</v>
      </c>
      <c r="N843" s="328">
        <f t="shared" si="885"/>
        <v>368.75</v>
      </c>
      <c r="O843" s="327">
        <v>2</v>
      </c>
      <c r="P843" s="327">
        <v>0</v>
      </c>
      <c r="Q843" s="327">
        <v>0</v>
      </c>
      <c r="R843" s="341">
        <f t="shared" si="894"/>
        <v>2</v>
      </c>
      <c r="S843" s="328">
        <f t="shared" si="887"/>
        <v>737.5</v>
      </c>
      <c r="T843" s="327">
        <v>1</v>
      </c>
      <c r="U843" s="327">
        <v>0</v>
      </c>
      <c r="V843" s="327">
        <v>0</v>
      </c>
      <c r="W843" s="341">
        <f t="shared" si="895"/>
        <v>1</v>
      </c>
      <c r="X843" s="328">
        <f t="shared" si="889"/>
        <v>368.75</v>
      </c>
      <c r="Y843" s="328">
        <f t="shared" si="890"/>
        <v>4</v>
      </c>
      <c r="Z843" s="329">
        <f>1475/Y843</f>
        <v>368.75</v>
      </c>
      <c r="AA843" s="330">
        <f t="shared" si="891"/>
        <v>1475</v>
      </c>
    </row>
    <row r="844" spans="1:27" ht="28.35" customHeight="1">
      <c r="A844" s="331">
        <v>35</v>
      </c>
      <c r="B844" s="299"/>
      <c r="C844" s="326" t="s">
        <v>1246</v>
      </c>
      <c r="D844" s="333" t="s">
        <v>537</v>
      </c>
      <c r="E844" s="327">
        <v>0</v>
      </c>
      <c r="F844" s="327">
        <v>0</v>
      </c>
      <c r="G844" s="327">
        <v>0</v>
      </c>
      <c r="H844" s="341">
        <f t="shared" si="892"/>
        <v>0</v>
      </c>
      <c r="I844" s="328">
        <f t="shared" si="883"/>
        <v>0</v>
      </c>
      <c r="J844" s="327">
        <v>1</v>
      </c>
      <c r="K844" s="327">
        <v>0</v>
      </c>
      <c r="L844" s="327">
        <v>0</v>
      </c>
      <c r="M844" s="341">
        <f t="shared" si="893"/>
        <v>1</v>
      </c>
      <c r="N844" s="328">
        <f t="shared" si="885"/>
        <v>368.75</v>
      </c>
      <c r="O844" s="327">
        <v>2</v>
      </c>
      <c r="P844" s="327">
        <v>0</v>
      </c>
      <c r="Q844" s="327">
        <v>0</v>
      </c>
      <c r="R844" s="341">
        <f t="shared" si="894"/>
        <v>2</v>
      </c>
      <c r="S844" s="328">
        <f t="shared" si="887"/>
        <v>737.5</v>
      </c>
      <c r="T844" s="327">
        <v>1</v>
      </c>
      <c r="U844" s="327">
        <v>0</v>
      </c>
      <c r="V844" s="327">
        <v>0</v>
      </c>
      <c r="W844" s="341">
        <f t="shared" si="895"/>
        <v>1</v>
      </c>
      <c r="X844" s="328">
        <f t="shared" si="889"/>
        <v>368.75</v>
      </c>
      <c r="Y844" s="328">
        <f t="shared" si="890"/>
        <v>4</v>
      </c>
      <c r="Z844" s="329">
        <f>1475/Y844</f>
        <v>368.75</v>
      </c>
      <c r="AA844" s="330">
        <f t="shared" si="891"/>
        <v>1475</v>
      </c>
    </row>
    <row r="845" spans="1:27" ht="28.35" customHeight="1" thickBot="1">
      <c r="A845" s="332">
        <v>36</v>
      </c>
      <c r="B845" s="299"/>
      <c r="C845" s="326" t="s">
        <v>1247</v>
      </c>
      <c r="D845" s="333" t="s">
        <v>324</v>
      </c>
      <c r="E845" s="327">
        <v>0</v>
      </c>
      <c r="F845" s="327">
        <f t="shared" ref="F845:G880" si="897">0+0</f>
        <v>0</v>
      </c>
      <c r="G845" s="327">
        <f t="shared" si="897"/>
        <v>0</v>
      </c>
      <c r="H845" s="341">
        <f t="shared" si="892"/>
        <v>0</v>
      </c>
      <c r="I845" s="328">
        <f t="shared" si="883"/>
        <v>0</v>
      </c>
      <c r="J845" s="327">
        <v>2</v>
      </c>
      <c r="K845" s="327">
        <f t="shared" si="871"/>
        <v>0</v>
      </c>
      <c r="L845" s="327">
        <f t="shared" si="871"/>
        <v>0</v>
      </c>
      <c r="M845" s="341">
        <f t="shared" si="893"/>
        <v>2</v>
      </c>
      <c r="N845" s="328">
        <f t="shared" si="885"/>
        <v>3000</v>
      </c>
      <c r="O845" s="327">
        <f>0+2</f>
        <v>2</v>
      </c>
      <c r="P845" s="327">
        <f t="shared" ref="O845:Q880" si="898">0+0</f>
        <v>0</v>
      </c>
      <c r="Q845" s="327">
        <f t="shared" si="898"/>
        <v>0</v>
      </c>
      <c r="R845" s="341">
        <f t="shared" si="894"/>
        <v>2</v>
      </c>
      <c r="S845" s="328">
        <f t="shared" si="887"/>
        <v>3000</v>
      </c>
      <c r="T845" s="327">
        <f>0+0+3</f>
        <v>3</v>
      </c>
      <c r="U845" s="327">
        <f t="shared" si="876"/>
        <v>0</v>
      </c>
      <c r="V845" s="327">
        <f t="shared" si="876"/>
        <v>0</v>
      </c>
      <c r="W845" s="341">
        <f t="shared" si="895"/>
        <v>3</v>
      </c>
      <c r="X845" s="328">
        <f t="shared" si="889"/>
        <v>4500</v>
      </c>
      <c r="Y845" s="328">
        <f t="shared" si="890"/>
        <v>7</v>
      </c>
      <c r="Z845" s="329">
        <f>6000/4</f>
        <v>1500</v>
      </c>
      <c r="AA845" s="330">
        <f t="shared" si="891"/>
        <v>10500</v>
      </c>
    </row>
    <row r="846" spans="1:27" ht="28.35" customHeight="1">
      <c r="A846" s="325">
        <v>37</v>
      </c>
      <c r="B846" s="299"/>
      <c r="C846" s="326" t="s">
        <v>1248</v>
      </c>
      <c r="D846" s="333" t="s">
        <v>324</v>
      </c>
      <c r="E846" s="327">
        <v>0</v>
      </c>
      <c r="F846" s="327">
        <f t="shared" si="897"/>
        <v>0</v>
      </c>
      <c r="G846" s="327">
        <f t="shared" si="897"/>
        <v>0</v>
      </c>
      <c r="H846" s="341">
        <f t="shared" si="892"/>
        <v>0</v>
      </c>
      <c r="I846" s="328">
        <f t="shared" si="883"/>
        <v>0</v>
      </c>
      <c r="J846" s="327">
        <v>1</v>
      </c>
      <c r="K846" s="327">
        <f t="shared" si="871"/>
        <v>0</v>
      </c>
      <c r="L846" s="327">
        <f t="shared" si="871"/>
        <v>0</v>
      </c>
      <c r="M846" s="341">
        <f t="shared" si="893"/>
        <v>1</v>
      </c>
      <c r="N846" s="328">
        <f t="shared" si="885"/>
        <v>1500</v>
      </c>
      <c r="O846" s="327">
        <f>0+1</f>
        <v>1</v>
      </c>
      <c r="P846" s="327">
        <f t="shared" si="898"/>
        <v>0</v>
      </c>
      <c r="Q846" s="327">
        <f t="shared" si="898"/>
        <v>0</v>
      </c>
      <c r="R846" s="341">
        <f t="shared" si="894"/>
        <v>1</v>
      </c>
      <c r="S846" s="328">
        <f t="shared" si="887"/>
        <v>1500</v>
      </c>
      <c r="T846" s="327">
        <v>1</v>
      </c>
      <c r="U846" s="327">
        <f t="shared" si="876"/>
        <v>0</v>
      </c>
      <c r="V846" s="327">
        <f t="shared" si="876"/>
        <v>0</v>
      </c>
      <c r="W846" s="341">
        <f t="shared" si="895"/>
        <v>1</v>
      </c>
      <c r="X846" s="328">
        <f t="shared" si="889"/>
        <v>1500</v>
      </c>
      <c r="Y846" s="328">
        <f t="shared" si="890"/>
        <v>3</v>
      </c>
      <c r="Z846" s="329">
        <f>3000/2</f>
        <v>1500</v>
      </c>
      <c r="AA846" s="330">
        <f t="shared" si="891"/>
        <v>4500</v>
      </c>
    </row>
    <row r="847" spans="1:27" ht="28.35" customHeight="1">
      <c r="A847" s="331">
        <v>38</v>
      </c>
      <c r="B847" s="299"/>
      <c r="C847" s="326" t="s">
        <v>1249</v>
      </c>
      <c r="D847" s="333" t="s">
        <v>537</v>
      </c>
      <c r="E847" s="327">
        <v>0</v>
      </c>
      <c r="F847" s="327">
        <v>0</v>
      </c>
      <c r="G847" s="327">
        <v>0</v>
      </c>
      <c r="H847" s="341">
        <f t="shared" si="892"/>
        <v>0</v>
      </c>
      <c r="I847" s="328">
        <f>H847*$Z847</f>
        <v>0</v>
      </c>
      <c r="J847" s="327">
        <v>0</v>
      </c>
      <c r="K847" s="327">
        <v>2</v>
      </c>
      <c r="L847" s="327">
        <v>1</v>
      </c>
      <c r="M847" s="341">
        <f t="shared" si="893"/>
        <v>3</v>
      </c>
      <c r="N847" s="328">
        <f>M847*$Z847</f>
        <v>885</v>
      </c>
      <c r="O847" s="327">
        <v>1</v>
      </c>
      <c r="P847" s="327">
        <v>0</v>
      </c>
      <c r="Q847" s="327">
        <v>1</v>
      </c>
      <c r="R847" s="341">
        <f t="shared" si="894"/>
        <v>2</v>
      </c>
      <c r="S847" s="328">
        <f>R847*$Z847</f>
        <v>590</v>
      </c>
      <c r="T847" s="327">
        <v>0</v>
      </c>
      <c r="U847" s="327">
        <v>1</v>
      </c>
      <c r="V847" s="327">
        <v>0</v>
      </c>
      <c r="W847" s="341">
        <f t="shared" si="895"/>
        <v>1</v>
      </c>
      <c r="X847" s="328">
        <f>W847*$Z847</f>
        <v>295</v>
      </c>
      <c r="Y847" s="328">
        <f>H847+M847+R847+W847</f>
        <v>6</v>
      </c>
      <c r="Z847" s="329">
        <f>2360/8</f>
        <v>295</v>
      </c>
      <c r="AA847" s="330">
        <f>Y847*Z847</f>
        <v>1770</v>
      </c>
    </row>
    <row r="848" spans="1:27" ht="28.35" customHeight="1" thickBot="1">
      <c r="A848" s="332">
        <v>39</v>
      </c>
      <c r="B848" s="299"/>
      <c r="C848" s="326" t="s">
        <v>1250</v>
      </c>
      <c r="D848" s="333" t="s">
        <v>537</v>
      </c>
      <c r="E848" s="327">
        <v>0</v>
      </c>
      <c r="F848" s="327">
        <v>0</v>
      </c>
      <c r="G848" s="327">
        <v>0</v>
      </c>
      <c r="H848" s="341">
        <f t="shared" si="892"/>
        <v>0</v>
      </c>
      <c r="I848" s="328">
        <f>H848*$Z848</f>
        <v>0</v>
      </c>
      <c r="J848" s="327">
        <v>0</v>
      </c>
      <c r="K848" s="327">
        <v>2</v>
      </c>
      <c r="L848" s="327">
        <v>1</v>
      </c>
      <c r="M848" s="341">
        <f t="shared" si="893"/>
        <v>3</v>
      </c>
      <c r="N848" s="328">
        <f>M848*$Z848</f>
        <v>885</v>
      </c>
      <c r="O848" s="327">
        <v>1</v>
      </c>
      <c r="P848" s="327">
        <v>0</v>
      </c>
      <c r="Q848" s="327">
        <v>1</v>
      </c>
      <c r="R848" s="341">
        <f t="shared" si="894"/>
        <v>2</v>
      </c>
      <c r="S848" s="328">
        <f>R848*$Z848</f>
        <v>590</v>
      </c>
      <c r="T848" s="327">
        <v>0</v>
      </c>
      <c r="U848" s="327">
        <v>1</v>
      </c>
      <c r="V848" s="327">
        <v>0</v>
      </c>
      <c r="W848" s="341">
        <f t="shared" si="895"/>
        <v>1</v>
      </c>
      <c r="X848" s="328">
        <f>W848*$Z848</f>
        <v>295</v>
      </c>
      <c r="Y848" s="328">
        <f>H848+M848+R848+W848</f>
        <v>6</v>
      </c>
      <c r="Z848" s="329">
        <f t="shared" ref="Z848:Z850" si="899">2360/8</f>
        <v>295</v>
      </c>
      <c r="AA848" s="330">
        <f>Y848*Z848</f>
        <v>1770</v>
      </c>
    </row>
    <row r="849" spans="1:27" ht="28.35" customHeight="1">
      <c r="A849" s="325">
        <v>40</v>
      </c>
      <c r="B849" s="299"/>
      <c r="C849" s="326" t="s">
        <v>1251</v>
      </c>
      <c r="D849" s="333" t="s">
        <v>537</v>
      </c>
      <c r="E849" s="327">
        <v>0</v>
      </c>
      <c r="F849" s="327">
        <v>0</v>
      </c>
      <c r="G849" s="327">
        <v>0</v>
      </c>
      <c r="H849" s="341">
        <f t="shared" si="892"/>
        <v>0</v>
      </c>
      <c r="I849" s="328">
        <f>H849*$Z849</f>
        <v>0</v>
      </c>
      <c r="J849" s="327">
        <v>0</v>
      </c>
      <c r="K849" s="327">
        <v>2</v>
      </c>
      <c r="L849" s="327">
        <v>1</v>
      </c>
      <c r="M849" s="341">
        <f t="shared" si="893"/>
        <v>3</v>
      </c>
      <c r="N849" s="328">
        <f>M849*$Z849</f>
        <v>885</v>
      </c>
      <c r="O849" s="327">
        <v>1</v>
      </c>
      <c r="P849" s="327">
        <v>0</v>
      </c>
      <c r="Q849" s="327">
        <v>1</v>
      </c>
      <c r="R849" s="341">
        <f t="shared" si="894"/>
        <v>2</v>
      </c>
      <c r="S849" s="328">
        <f>R849*$Z849</f>
        <v>590</v>
      </c>
      <c r="T849" s="327">
        <v>0</v>
      </c>
      <c r="U849" s="327">
        <v>1</v>
      </c>
      <c r="V849" s="327">
        <v>0</v>
      </c>
      <c r="W849" s="341">
        <f t="shared" si="895"/>
        <v>1</v>
      </c>
      <c r="X849" s="328">
        <f>W849*$Z849</f>
        <v>295</v>
      </c>
      <c r="Y849" s="328">
        <f>H849+M849+R849+W849</f>
        <v>6</v>
      </c>
      <c r="Z849" s="329">
        <f t="shared" si="899"/>
        <v>295</v>
      </c>
      <c r="AA849" s="330">
        <f>Y849*Z849</f>
        <v>1770</v>
      </c>
    </row>
    <row r="850" spans="1:27" ht="28.35" customHeight="1">
      <c r="A850" s="331">
        <v>41</v>
      </c>
      <c r="B850" s="299"/>
      <c r="C850" s="326" t="s">
        <v>1252</v>
      </c>
      <c r="D850" s="333" t="s">
        <v>537</v>
      </c>
      <c r="E850" s="327">
        <v>0</v>
      </c>
      <c r="F850" s="327">
        <v>0</v>
      </c>
      <c r="G850" s="327">
        <v>0</v>
      </c>
      <c r="H850" s="341">
        <f t="shared" si="892"/>
        <v>0</v>
      </c>
      <c r="I850" s="328">
        <f>H850*$Z850</f>
        <v>0</v>
      </c>
      <c r="J850" s="327">
        <v>0</v>
      </c>
      <c r="K850" s="327">
        <v>2</v>
      </c>
      <c r="L850" s="327">
        <v>1</v>
      </c>
      <c r="M850" s="341">
        <f t="shared" si="893"/>
        <v>3</v>
      </c>
      <c r="N850" s="328">
        <f>M850*$Z850</f>
        <v>885</v>
      </c>
      <c r="O850" s="327">
        <v>1</v>
      </c>
      <c r="P850" s="327">
        <v>0</v>
      </c>
      <c r="Q850" s="327">
        <v>1</v>
      </c>
      <c r="R850" s="341">
        <f t="shared" si="894"/>
        <v>2</v>
      </c>
      <c r="S850" s="328">
        <f>R850*$Z850</f>
        <v>590</v>
      </c>
      <c r="T850" s="327">
        <v>0</v>
      </c>
      <c r="U850" s="327">
        <v>1</v>
      </c>
      <c r="V850" s="327">
        <v>0</v>
      </c>
      <c r="W850" s="341">
        <f t="shared" si="895"/>
        <v>1</v>
      </c>
      <c r="X850" s="328">
        <f>W850*$Z850</f>
        <v>295</v>
      </c>
      <c r="Y850" s="328">
        <f>H850+M850+R850+W850</f>
        <v>6</v>
      </c>
      <c r="Z850" s="329">
        <f t="shared" si="899"/>
        <v>295</v>
      </c>
      <c r="AA850" s="330">
        <f>Y850*Z850</f>
        <v>1770</v>
      </c>
    </row>
    <row r="851" spans="1:27" ht="28.35" customHeight="1" thickBot="1">
      <c r="A851" s="332">
        <v>42</v>
      </c>
      <c r="B851" s="299"/>
      <c r="C851" s="326" t="s">
        <v>1253</v>
      </c>
      <c r="D851" s="333" t="s">
        <v>537</v>
      </c>
      <c r="E851" s="327">
        <v>0</v>
      </c>
      <c r="F851" s="327">
        <v>0</v>
      </c>
      <c r="G851" s="327">
        <v>0</v>
      </c>
      <c r="H851" s="341">
        <f t="shared" ref="H851:H854" si="900">SUM(E851:G851)</f>
        <v>0</v>
      </c>
      <c r="I851" s="328">
        <f t="shared" ref="I851:I854" si="901">H851*$Z851</f>
        <v>0</v>
      </c>
      <c r="J851" s="327">
        <v>0</v>
      </c>
      <c r="K851" s="327">
        <v>0</v>
      </c>
      <c r="L851" s="327">
        <v>2</v>
      </c>
      <c r="M851" s="341">
        <f t="shared" si="893"/>
        <v>2</v>
      </c>
      <c r="N851" s="328">
        <f t="shared" ref="N851:N854" si="902">M851*$Z851</f>
        <v>983.33333333333337</v>
      </c>
      <c r="O851" s="327">
        <v>0</v>
      </c>
      <c r="P851" s="327">
        <v>2</v>
      </c>
      <c r="Q851" s="327">
        <v>0</v>
      </c>
      <c r="R851" s="341">
        <f t="shared" si="894"/>
        <v>2</v>
      </c>
      <c r="S851" s="328">
        <f t="shared" ref="S851:S854" si="903">R851*$Z851</f>
        <v>983.33333333333337</v>
      </c>
      <c r="T851" s="327">
        <v>2</v>
      </c>
      <c r="U851" s="327">
        <v>0</v>
      </c>
      <c r="V851" s="327">
        <v>0</v>
      </c>
      <c r="W851" s="341">
        <f t="shared" si="895"/>
        <v>2</v>
      </c>
      <c r="X851" s="328">
        <f t="shared" ref="X851:X854" si="904">W851*$Z851</f>
        <v>983.33333333333337</v>
      </c>
      <c r="Y851" s="328">
        <f t="shared" ref="Y851:Y854" si="905">H851+M851+R851+W851</f>
        <v>6</v>
      </c>
      <c r="Z851" s="329">
        <f>2950/Y851</f>
        <v>491.66666666666669</v>
      </c>
      <c r="AA851" s="330">
        <f t="shared" ref="AA851:AA854" si="906">Y851*Z851</f>
        <v>2950</v>
      </c>
    </row>
    <row r="852" spans="1:27" ht="28.35" customHeight="1">
      <c r="A852" s="325">
        <v>43</v>
      </c>
      <c r="B852" s="299"/>
      <c r="C852" s="326" t="s">
        <v>1254</v>
      </c>
      <c r="D852" s="333" t="s">
        <v>537</v>
      </c>
      <c r="E852" s="327">
        <v>0</v>
      </c>
      <c r="F852" s="327">
        <v>0</v>
      </c>
      <c r="G852" s="327">
        <v>0</v>
      </c>
      <c r="H852" s="341">
        <f t="shared" si="900"/>
        <v>0</v>
      </c>
      <c r="I852" s="328">
        <f t="shared" si="901"/>
        <v>0</v>
      </c>
      <c r="J852" s="327">
        <v>2</v>
      </c>
      <c r="K852" s="327">
        <v>0</v>
      </c>
      <c r="L852" s="327">
        <v>0</v>
      </c>
      <c r="M852" s="341">
        <f t="shared" si="893"/>
        <v>2</v>
      </c>
      <c r="N852" s="328">
        <f t="shared" si="902"/>
        <v>786.66666666666663</v>
      </c>
      <c r="O852" s="327">
        <v>2</v>
      </c>
      <c r="P852" s="327">
        <v>0</v>
      </c>
      <c r="Q852" s="327">
        <v>0</v>
      </c>
      <c r="R852" s="341">
        <f t="shared" si="894"/>
        <v>2</v>
      </c>
      <c r="S852" s="328">
        <f t="shared" si="903"/>
        <v>786.66666666666663</v>
      </c>
      <c r="T852" s="327">
        <v>2</v>
      </c>
      <c r="U852" s="327">
        <v>0</v>
      </c>
      <c r="V852" s="327">
        <v>0</v>
      </c>
      <c r="W852" s="341">
        <f t="shared" si="895"/>
        <v>2</v>
      </c>
      <c r="X852" s="328">
        <f t="shared" si="904"/>
        <v>786.66666666666663</v>
      </c>
      <c r="Y852" s="328">
        <f t="shared" si="905"/>
        <v>6</v>
      </c>
      <c r="Z852" s="329">
        <f>2360/Y852</f>
        <v>393.33333333333331</v>
      </c>
      <c r="AA852" s="330">
        <f t="shared" si="906"/>
        <v>2360</v>
      </c>
    </row>
    <row r="853" spans="1:27" ht="28.35" customHeight="1">
      <c r="A853" s="331">
        <v>44</v>
      </c>
      <c r="B853" s="299"/>
      <c r="C853" s="326" t="s">
        <v>1255</v>
      </c>
      <c r="D853" s="333" t="s">
        <v>537</v>
      </c>
      <c r="E853" s="327">
        <v>0</v>
      </c>
      <c r="F853" s="327">
        <v>0</v>
      </c>
      <c r="G853" s="327">
        <v>0</v>
      </c>
      <c r="H853" s="341">
        <f t="shared" si="900"/>
        <v>0</v>
      </c>
      <c r="I853" s="328">
        <f t="shared" si="901"/>
        <v>0</v>
      </c>
      <c r="J853" s="327">
        <v>2</v>
      </c>
      <c r="K853" s="327">
        <v>0</v>
      </c>
      <c r="L853" s="327">
        <v>0</v>
      </c>
      <c r="M853" s="341">
        <f t="shared" si="893"/>
        <v>2</v>
      </c>
      <c r="N853" s="328">
        <f t="shared" si="902"/>
        <v>786.66666666666663</v>
      </c>
      <c r="O853" s="327">
        <v>2</v>
      </c>
      <c r="P853" s="327">
        <v>0</v>
      </c>
      <c r="Q853" s="327">
        <v>0</v>
      </c>
      <c r="R853" s="341">
        <f t="shared" si="894"/>
        <v>2</v>
      </c>
      <c r="S853" s="328">
        <f t="shared" si="903"/>
        <v>786.66666666666663</v>
      </c>
      <c r="T853" s="327">
        <v>2</v>
      </c>
      <c r="U853" s="327">
        <v>0</v>
      </c>
      <c r="V853" s="327">
        <v>0</v>
      </c>
      <c r="W853" s="341">
        <f t="shared" si="895"/>
        <v>2</v>
      </c>
      <c r="X853" s="328">
        <f t="shared" si="904"/>
        <v>786.66666666666663</v>
      </c>
      <c r="Y853" s="328">
        <f t="shared" si="905"/>
        <v>6</v>
      </c>
      <c r="Z853" s="329">
        <f t="shared" ref="Z853:Z854" si="907">2360/Y853</f>
        <v>393.33333333333331</v>
      </c>
      <c r="AA853" s="330">
        <f t="shared" si="906"/>
        <v>2360</v>
      </c>
    </row>
    <row r="854" spans="1:27" ht="28.35" customHeight="1" thickBot="1">
      <c r="A854" s="332">
        <v>45</v>
      </c>
      <c r="B854" s="299"/>
      <c r="C854" s="326" t="s">
        <v>1256</v>
      </c>
      <c r="D854" s="333" t="s">
        <v>537</v>
      </c>
      <c r="E854" s="327">
        <v>0</v>
      </c>
      <c r="F854" s="327">
        <v>0</v>
      </c>
      <c r="G854" s="327">
        <v>0</v>
      </c>
      <c r="H854" s="341">
        <f t="shared" si="900"/>
        <v>0</v>
      </c>
      <c r="I854" s="328">
        <f t="shared" si="901"/>
        <v>0</v>
      </c>
      <c r="J854" s="327">
        <v>2</v>
      </c>
      <c r="K854" s="327">
        <v>0</v>
      </c>
      <c r="L854" s="327">
        <v>0</v>
      </c>
      <c r="M854" s="341">
        <f t="shared" si="893"/>
        <v>2</v>
      </c>
      <c r="N854" s="328">
        <f t="shared" si="902"/>
        <v>786.66666666666663</v>
      </c>
      <c r="O854" s="327">
        <v>2</v>
      </c>
      <c r="P854" s="327">
        <v>0</v>
      </c>
      <c r="Q854" s="327">
        <v>0</v>
      </c>
      <c r="R854" s="341">
        <f t="shared" si="894"/>
        <v>2</v>
      </c>
      <c r="S854" s="328">
        <f t="shared" si="903"/>
        <v>786.66666666666663</v>
      </c>
      <c r="T854" s="327">
        <v>2</v>
      </c>
      <c r="U854" s="327">
        <v>0</v>
      </c>
      <c r="V854" s="327">
        <v>0</v>
      </c>
      <c r="W854" s="341">
        <f t="shared" si="895"/>
        <v>2</v>
      </c>
      <c r="X854" s="328">
        <f t="shared" si="904"/>
        <v>786.66666666666663</v>
      </c>
      <c r="Y854" s="328">
        <f t="shared" si="905"/>
        <v>6</v>
      </c>
      <c r="Z854" s="329">
        <f t="shared" si="907"/>
        <v>393.33333333333331</v>
      </c>
      <c r="AA854" s="330">
        <f t="shared" si="906"/>
        <v>2360</v>
      </c>
    </row>
    <row r="855" spans="1:27" ht="28.35" customHeight="1">
      <c r="A855" s="325">
        <v>46</v>
      </c>
      <c r="B855" s="299"/>
      <c r="C855" s="326" t="s">
        <v>1257</v>
      </c>
      <c r="D855" s="333" t="s">
        <v>324</v>
      </c>
      <c r="E855" s="327">
        <v>0</v>
      </c>
      <c r="F855" s="327">
        <f t="shared" si="897"/>
        <v>0</v>
      </c>
      <c r="G855" s="327">
        <f t="shared" si="897"/>
        <v>0</v>
      </c>
      <c r="H855" s="341">
        <f>SUM(E855:G855)</f>
        <v>0</v>
      </c>
      <c r="I855" s="328">
        <f>H855*$Z855</f>
        <v>0</v>
      </c>
      <c r="J855" s="327">
        <v>2</v>
      </c>
      <c r="K855" s="327">
        <f t="shared" si="871"/>
        <v>0</v>
      </c>
      <c r="L855" s="327">
        <f t="shared" si="871"/>
        <v>0</v>
      </c>
      <c r="M855" s="341">
        <f>SUM(J855:L855)</f>
        <v>2</v>
      </c>
      <c r="N855" s="328">
        <f>M855*$Z855</f>
        <v>2670</v>
      </c>
      <c r="O855" s="327">
        <f>0+4</f>
        <v>4</v>
      </c>
      <c r="P855" s="327">
        <f t="shared" si="898"/>
        <v>0</v>
      </c>
      <c r="Q855" s="327">
        <f t="shared" si="898"/>
        <v>0</v>
      </c>
      <c r="R855" s="341">
        <f>SUM(O855:Q855)</f>
        <v>4</v>
      </c>
      <c r="S855" s="328">
        <f>R855*$Z855</f>
        <v>5340</v>
      </c>
      <c r="T855" s="327">
        <v>3</v>
      </c>
      <c r="U855" s="327">
        <f t="shared" si="876"/>
        <v>0</v>
      </c>
      <c r="V855" s="327">
        <f t="shared" si="876"/>
        <v>0</v>
      </c>
      <c r="W855" s="341">
        <f>SUM(T855:V855)</f>
        <v>3</v>
      </c>
      <c r="X855" s="328">
        <f>W855*$Z855</f>
        <v>4005</v>
      </c>
      <c r="Y855" s="328">
        <f>H855+M855+R855+W855</f>
        <v>9</v>
      </c>
      <c r="Z855" s="329">
        <f>8010/6</f>
        <v>1335</v>
      </c>
      <c r="AA855" s="330">
        <f>Y855*Z855</f>
        <v>12015</v>
      </c>
    </row>
    <row r="856" spans="1:27" ht="28.35" customHeight="1">
      <c r="A856" s="331">
        <v>47</v>
      </c>
      <c r="B856" s="299"/>
      <c r="C856" s="326" t="s">
        <v>1258</v>
      </c>
      <c r="D856" s="333" t="s">
        <v>537</v>
      </c>
      <c r="E856" s="327">
        <v>0</v>
      </c>
      <c r="F856" s="327">
        <v>0</v>
      </c>
      <c r="G856" s="327">
        <v>0</v>
      </c>
      <c r="H856" s="341">
        <f>SUM(E856:G856)</f>
        <v>0</v>
      </c>
      <c r="I856" s="328">
        <f>H856*$Z856</f>
        <v>0</v>
      </c>
      <c r="J856" s="327">
        <v>0</v>
      </c>
      <c r="K856" s="327">
        <v>0</v>
      </c>
      <c r="L856" s="327">
        <v>2</v>
      </c>
      <c r="M856" s="341">
        <f>SUM(J856:L856)</f>
        <v>2</v>
      </c>
      <c r="N856" s="328">
        <f>M856*$Z856</f>
        <v>590</v>
      </c>
      <c r="O856" s="327">
        <v>0</v>
      </c>
      <c r="P856" s="327">
        <v>1</v>
      </c>
      <c r="Q856" s="327">
        <v>0</v>
      </c>
      <c r="R856" s="341">
        <f>SUM(O856:Q856)</f>
        <v>1</v>
      </c>
      <c r="S856" s="328">
        <f>R856*$Z856</f>
        <v>295</v>
      </c>
      <c r="T856" s="327">
        <v>0</v>
      </c>
      <c r="U856" s="327">
        <v>1</v>
      </c>
      <c r="V856" s="327">
        <v>0</v>
      </c>
      <c r="W856" s="341">
        <f>SUM(T856:V856)</f>
        <v>1</v>
      </c>
      <c r="X856" s="328">
        <f>W856*$Z856</f>
        <v>295</v>
      </c>
      <c r="Y856" s="328">
        <f>H856+M856+R856+W856</f>
        <v>4</v>
      </c>
      <c r="Z856" s="329">
        <f>1475/5</f>
        <v>295</v>
      </c>
      <c r="AA856" s="330">
        <f>Y856*Z856</f>
        <v>1180</v>
      </c>
    </row>
    <row r="857" spans="1:27" ht="28.35" customHeight="1" thickBot="1">
      <c r="A857" s="332">
        <v>48</v>
      </c>
      <c r="B857" s="299"/>
      <c r="C857" s="326" t="s">
        <v>1259</v>
      </c>
      <c r="D857" s="333" t="s">
        <v>537</v>
      </c>
      <c r="E857" s="327">
        <v>0</v>
      </c>
      <c r="F857" s="327">
        <v>0</v>
      </c>
      <c r="G857" s="327">
        <v>0</v>
      </c>
      <c r="H857" s="341">
        <f>SUM(E857:G857)</f>
        <v>0</v>
      </c>
      <c r="I857" s="328">
        <f>H857*$Z857</f>
        <v>0</v>
      </c>
      <c r="J857" s="327">
        <v>0</v>
      </c>
      <c r="K857" s="327">
        <v>0</v>
      </c>
      <c r="L857" s="327">
        <v>2</v>
      </c>
      <c r="M857" s="341">
        <f>SUM(J857:L857)</f>
        <v>2</v>
      </c>
      <c r="N857" s="328">
        <f>M857*$Z857</f>
        <v>590</v>
      </c>
      <c r="O857" s="327">
        <v>0</v>
      </c>
      <c r="P857" s="327">
        <v>1</v>
      </c>
      <c r="Q857" s="327">
        <v>0</v>
      </c>
      <c r="R857" s="341">
        <f>SUM(O857:Q857)</f>
        <v>1</v>
      </c>
      <c r="S857" s="328">
        <f>R857*$Z857</f>
        <v>295</v>
      </c>
      <c r="T857" s="327">
        <v>0</v>
      </c>
      <c r="U857" s="327">
        <v>1</v>
      </c>
      <c r="V857" s="327">
        <v>0</v>
      </c>
      <c r="W857" s="341">
        <f>SUM(T857:V857)</f>
        <v>1</v>
      </c>
      <c r="X857" s="328">
        <f>W857*$Z857</f>
        <v>295</v>
      </c>
      <c r="Y857" s="328">
        <f>H857+M857+R857+W857</f>
        <v>4</v>
      </c>
      <c r="Z857" s="329">
        <f>1475/5</f>
        <v>295</v>
      </c>
      <c r="AA857" s="330">
        <f>Y857*Z857</f>
        <v>1180</v>
      </c>
    </row>
    <row r="858" spans="1:27" ht="28.35" customHeight="1">
      <c r="A858" s="325">
        <v>49</v>
      </c>
      <c r="B858" s="299"/>
      <c r="C858" s="326" t="s">
        <v>1260</v>
      </c>
      <c r="D858" s="333" t="s">
        <v>537</v>
      </c>
      <c r="E858" s="327">
        <v>0</v>
      </c>
      <c r="F858" s="327">
        <v>0</v>
      </c>
      <c r="G858" s="327">
        <v>0</v>
      </c>
      <c r="H858" s="341">
        <f>SUM(E858:G858)</f>
        <v>0</v>
      </c>
      <c r="I858" s="328">
        <f>H858*$Z858</f>
        <v>0</v>
      </c>
      <c r="J858" s="327">
        <v>0</v>
      </c>
      <c r="K858" s="327">
        <v>0</v>
      </c>
      <c r="L858" s="327">
        <v>2</v>
      </c>
      <c r="M858" s="341">
        <f>SUM(J858:L858)</f>
        <v>2</v>
      </c>
      <c r="N858" s="328">
        <f>M858*$Z858</f>
        <v>590</v>
      </c>
      <c r="O858" s="327">
        <v>0</v>
      </c>
      <c r="P858" s="327">
        <v>1</v>
      </c>
      <c r="Q858" s="327">
        <v>0</v>
      </c>
      <c r="R858" s="341">
        <f>SUM(O858:Q858)</f>
        <v>1</v>
      </c>
      <c r="S858" s="328">
        <f>R858*$Z858</f>
        <v>295</v>
      </c>
      <c r="T858" s="327">
        <v>0</v>
      </c>
      <c r="U858" s="327">
        <v>1</v>
      </c>
      <c r="V858" s="327">
        <v>0</v>
      </c>
      <c r="W858" s="341">
        <f>SUM(T858:V858)</f>
        <v>1</v>
      </c>
      <c r="X858" s="328">
        <f>W858*$Z858</f>
        <v>295</v>
      </c>
      <c r="Y858" s="328">
        <f>H858+M858+R858+W858</f>
        <v>4</v>
      </c>
      <c r="Z858" s="329">
        <f t="shared" ref="Z858:Z859" si="908">1475/5</f>
        <v>295</v>
      </c>
      <c r="AA858" s="330">
        <f>Y858*Z858</f>
        <v>1180</v>
      </c>
    </row>
    <row r="859" spans="1:27" ht="28.35" customHeight="1">
      <c r="A859" s="331">
        <v>50</v>
      </c>
      <c r="B859" s="299"/>
      <c r="C859" s="326" t="s">
        <v>1261</v>
      </c>
      <c r="D859" s="333" t="s">
        <v>537</v>
      </c>
      <c r="E859" s="327">
        <v>0</v>
      </c>
      <c r="F859" s="327">
        <v>0</v>
      </c>
      <c r="G859" s="327">
        <v>0</v>
      </c>
      <c r="H859" s="341">
        <f>SUM(E859:G859)</f>
        <v>0</v>
      </c>
      <c r="I859" s="328">
        <f>H859*$Z859</f>
        <v>0</v>
      </c>
      <c r="J859" s="327">
        <v>0</v>
      </c>
      <c r="K859" s="327">
        <v>0</v>
      </c>
      <c r="L859" s="327">
        <v>2</v>
      </c>
      <c r="M859" s="341">
        <f>SUM(J859:L859)</f>
        <v>2</v>
      </c>
      <c r="N859" s="328">
        <f>M859*$Z859</f>
        <v>590</v>
      </c>
      <c r="O859" s="327">
        <v>0</v>
      </c>
      <c r="P859" s="327">
        <v>1</v>
      </c>
      <c r="Q859" s="327">
        <v>0</v>
      </c>
      <c r="R859" s="341">
        <f>SUM(O859:Q859)</f>
        <v>1</v>
      </c>
      <c r="S859" s="328">
        <f>R859*$Z859</f>
        <v>295</v>
      </c>
      <c r="T859" s="327">
        <v>0</v>
      </c>
      <c r="U859" s="327">
        <v>1</v>
      </c>
      <c r="V859" s="327">
        <v>0</v>
      </c>
      <c r="W859" s="341">
        <f>SUM(T859:V859)</f>
        <v>1</v>
      </c>
      <c r="X859" s="328">
        <f>W859*$Z859</f>
        <v>295</v>
      </c>
      <c r="Y859" s="328">
        <f>H859+M859+R859+W859</f>
        <v>4</v>
      </c>
      <c r="Z859" s="329">
        <f t="shared" si="908"/>
        <v>295</v>
      </c>
      <c r="AA859" s="330">
        <f>Y859*Z859</f>
        <v>1180</v>
      </c>
    </row>
    <row r="860" spans="1:27" ht="28.35" customHeight="1" thickBot="1">
      <c r="A860" s="332">
        <v>51</v>
      </c>
      <c r="B860" s="299"/>
      <c r="C860" s="326" t="s">
        <v>1262</v>
      </c>
      <c r="D860" s="333" t="s">
        <v>324</v>
      </c>
      <c r="E860" s="327">
        <v>0</v>
      </c>
      <c r="F860" s="327">
        <f t="shared" si="897"/>
        <v>0</v>
      </c>
      <c r="G860" s="327">
        <f t="shared" si="897"/>
        <v>0</v>
      </c>
      <c r="H860" s="341">
        <f t="shared" ref="H860" si="909">SUM(E860:G860)</f>
        <v>0</v>
      </c>
      <c r="I860" s="328">
        <f t="shared" ref="I860:I875" si="910">H860*$Z860</f>
        <v>0</v>
      </c>
      <c r="J860" s="327">
        <f>0+0</f>
        <v>0</v>
      </c>
      <c r="K860" s="327">
        <f t="shared" si="871"/>
        <v>0</v>
      </c>
      <c r="L860" s="327">
        <f t="shared" si="871"/>
        <v>0</v>
      </c>
      <c r="M860" s="341">
        <f t="shared" ref="M860:M875" si="911">SUM(J860:L860)</f>
        <v>0</v>
      </c>
      <c r="N860" s="328">
        <f t="shared" ref="N860:N875" si="912">M860*$Z860</f>
        <v>0</v>
      </c>
      <c r="O860" s="327">
        <f>0+4</f>
        <v>4</v>
      </c>
      <c r="P860" s="327">
        <f t="shared" si="898"/>
        <v>0</v>
      </c>
      <c r="Q860" s="327">
        <f t="shared" si="898"/>
        <v>0</v>
      </c>
      <c r="R860" s="341">
        <f t="shared" ref="R860:R875" si="913">SUM(O860:Q860)</f>
        <v>4</v>
      </c>
      <c r="S860" s="328">
        <f t="shared" ref="S860:S875" si="914">R860*$Z860</f>
        <v>5340</v>
      </c>
      <c r="T860" s="327">
        <f t="shared" si="876"/>
        <v>0</v>
      </c>
      <c r="U860" s="327">
        <f t="shared" si="876"/>
        <v>0</v>
      </c>
      <c r="V860" s="327">
        <f t="shared" si="876"/>
        <v>0</v>
      </c>
      <c r="W860" s="341">
        <f t="shared" ref="W860:W875" si="915">SUM(T860:V860)</f>
        <v>0</v>
      </c>
      <c r="X860" s="328">
        <f t="shared" ref="X860:X875" si="916">W860*$Z860</f>
        <v>0</v>
      </c>
      <c r="Y860" s="328">
        <f t="shared" ref="Y860:Y870" si="917">H860+M860+R860+W860</f>
        <v>4</v>
      </c>
      <c r="Z860" s="329">
        <f>10680/8</f>
        <v>1335</v>
      </c>
      <c r="AA860" s="330">
        <f t="shared" ref="AA860:AA875" si="918">Y860*Z860</f>
        <v>5340</v>
      </c>
    </row>
    <row r="861" spans="1:27" ht="28.35" customHeight="1">
      <c r="A861" s="325">
        <v>52</v>
      </c>
      <c r="B861" s="299"/>
      <c r="C861" s="326" t="s">
        <v>1263</v>
      </c>
      <c r="D861" s="333" t="s">
        <v>537</v>
      </c>
      <c r="E861" s="327">
        <v>0</v>
      </c>
      <c r="F861" s="327">
        <v>0</v>
      </c>
      <c r="G861" s="327">
        <v>0</v>
      </c>
      <c r="H861" s="341">
        <f t="shared" ref="H861:H866" si="919">SUM(E861:G861)</f>
        <v>0</v>
      </c>
      <c r="I861" s="328">
        <f t="shared" si="910"/>
        <v>0</v>
      </c>
      <c r="J861" s="327">
        <v>0</v>
      </c>
      <c r="K861" s="327">
        <v>2</v>
      </c>
      <c r="L861" s="327">
        <v>0</v>
      </c>
      <c r="M861" s="341">
        <f t="shared" si="911"/>
        <v>2</v>
      </c>
      <c r="N861" s="328">
        <f t="shared" si="912"/>
        <v>1344</v>
      </c>
      <c r="O861" s="327">
        <v>1</v>
      </c>
      <c r="P861" s="327">
        <v>0</v>
      </c>
      <c r="Q861" s="327">
        <v>1</v>
      </c>
      <c r="R861" s="341">
        <f t="shared" si="913"/>
        <v>2</v>
      </c>
      <c r="S861" s="328">
        <f t="shared" si="914"/>
        <v>1344</v>
      </c>
      <c r="T861" s="327">
        <v>0</v>
      </c>
      <c r="U861" s="327">
        <v>1</v>
      </c>
      <c r="V861" s="327">
        <v>0</v>
      </c>
      <c r="W861" s="341">
        <f t="shared" si="915"/>
        <v>1</v>
      </c>
      <c r="X861" s="328">
        <f t="shared" si="916"/>
        <v>672</v>
      </c>
      <c r="Y861" s="328">
        <f t="shared" si="917"/>
        <v>5</v>
      </c>
      <c r="Z861" s="329">
        <f>3360/Y861</f>
        <v>672</v>
      </c>
      <c r="AA861" s="330">
        <f t="shared" si="918"/>
        <v>3360</v>
      </c>
    </row>
    <row r="862" spans="1:27" ht="28.35" customHeight="1">
      <c r="A862" s="331">
        <v>53</v>
      </c>
      <c r="B862" s="299"/>
      <c r="C862" s="326" t="s">
        <v>1264</v>
      </c>
      <c r="D862" s="333" t="s">
        <v>537</v>
      </c>
      <c r="E862" s="327">
        <v>0</v>
      </c>
      <c r="F862" s="327">
        <v>0</v>
      </c>
      <c r="G862" s="327">
        <v>0</v>
      </c>
      <c r="H862" s="341">
        <f t="shared" si="919"/>
        <v>0</v>
      </c>
      <c r="I862" s="328">
        <f t="shared" si="910"/>
        <v>0</v>
      </c>
      <c r="J862" s="327">
        <v>0</v>
      </c>
      <c r="K862" s="327">
        <v>2</v>
      </c>
      <c r="L862" s="327">
        <v>0</v>
      </c>
      <c r="M862" s="341">
        <f t="shared" si="911"/>
        <v>2</v>
      </c>
      <c r="N862" s="328">
        <f t="shared" si="912"/>
        <v>1344</v>
      </c>
      <c r="O862" s="327">
        <v>1</v>
      </c>
      <c r="P862" s="327">
        <v>0</v>
      </c>
      <c r="Q862" s="327">
        <v>1</v>
      </c>
      <c r="R862" s="341">
        <f t="shared" si="913"/>
        <v>2</v>
      </c>
      <c r="S862" s="328">
        <f t="shared" si="914"/>
        <v>1344</v>
      </c>
      <c r="T862" s="327">
        <v>0</v>
      </c>
      <c r="U862" s="327">
        <v>1</v>
      </c>
      <c r="V862" s="327">
        <v>0</v>
      </c>
      <c r="W862" s="341">
        <f t="shared" si="915"/>
        <v>1</v>
      </c>
      <c r="X862" s="328">
        <f t="shared" si="916"/>
        <v>672</v>
      </c>
      <c r="Y862" s="328">
        <f t="shared" si="917"/>
        <v>5</v>
      </c>
      <c r="Z862" s="329">
        <f t="shared" ref="Z862:Z864" si="920">3360/Y862</f>
        <v>672</v>
      </c>
      <c r="AA862" s="330">
        <f t="shared" si="918"/>
        <v>3360</v>
      </c>
    </row>
    <row r="863" spans="1:27" ht="28.35" customHeight="1" thickBot="1">
      <c r="A863" s="332">
        <v>54</v>
      </c>
      <c r="B863" s="299"/>
      <c r="C863" s="326" t="s">
        <v>1265</v>
      </c>
      <c r="D863" s="333" t="s">
        <v>537</v>
      </c>
      <c r="E863" s="327">
        <v>0</v>
      </c>
      <c r="F863" s="327">
        <v>0</v>
      </c>
      <c r="G863" s="327">
        <v>0</v>
      </c>
      <c r="H863" s="341">
        <f t="shared" si="919"/>
        <v>0</v>
      </c>
      <c r="I863" s="328">
        <f t="shared" si="910"/>
        <v>0</v>
      </c>
      <c r="J863" s="327">
        <v>0</v>
      </c>
      <c r="K863" s="327">
        <v>2</v>
      </c>
      <c r="L863" s="327">
        <v>0</v>
      </c>
      <c r="M863" s="341">
        <f t="shared" si="911"/>
        <v>2</v>
      </c>
      <c r="N863" s="328">
        <f t="shared" si="912"/>
        <v>1344</v>
      </c>
      <c r="O863" s="327">
        <v>1</v>
      </c>
      <c r="P863" s="327">
        <v>0</v>
      </c>
      <c r="Q863" s="327">
        <v>1</v>
      </c>
      <c r="R863" s="341">
        <f t="shared" si="913"/>
        <v>2</v>
      </c>
      <c r="S863" s="328">
        <f t="shared" si="914"/>
        <v>1344</v>
      </c>
      <c r="T863" s="327">
        <v>0</v>
      </c>
      <c r="U863" s="327">
        <v>1</v>
      </c>
      <c r="V863" s="327">
        <v>0</v>
      </c>
      <c r="W863" s="341">
        <f t="shared" si="915"/>
        <v>1</v>
      </c>
      <c r="X863" s="328">
        <f t="shared" si="916"/>
        <v>672</v>
      </c>
      <c r="Y863" s="328">
        <f t="shared" si="917"/>
        <v>5</v>
      </c>
      <c r="Z863" s="329">
        <f t="shared" si="920"/>
        <v>672</v>
      </c>
      <c r="AA863" s="330">
        <f t="shared" si="918"/>
        <v>3360</v>
      </c>
    </row>
    <row r="864" spans="1:27" ht="28.35" customHeight="1">
      <c r="A864" s="325">
        <v>55</v>
      </c>
      <c r="B864" s="299"/>
      <c r="C864" s="326" t="s">
        <v>1266</v>
      </c>
      <c r="D864" s="333" t="s">
        <v>537</v>
      </c>
      <c r="E864" s="327">
        <v>0</v>
      </c>
      <c r="F864" s="327">
        <v>0</v>
      </c>
      <c r="G864" s="327">
        <v>0</v>
      </c>
      <c r="H864" s="341">
        <f t="shared" si="919"/>
        <v>0</v>
      </c>
      <c r="I864" s="328">
        <f t="shared" si="910"/>
        <v>0</v>
      </c>
      <c r="J864" s="327">
        <v>0</v>
      </c>
      <c r="K864" s="327">
        <v>2</v>
      </c>
      <c r="L864" s="327">
        <v>0</v>
      </c>
      <c r="M864" s="341">
        <f t="shared" si="911"/>
        <v>2</v>
      </c>
      <c r="N864" s="328">
        <f t="shared" si="912"/>
        <v>1344</v>
      </c>
      <c r="O864" s="327">
        <v>1</v>
      </c>
      <c r="P864" s="327">
        <v>0</v>
      </c>
      <c r="Q864" s="327">
        <v>1</v>
      </c>
      <c r="R864" s="341">
        <f t="shared" si="913"/>
        <v>2</v>
      </c>
      <c r="S864" s="328">
        <f t="shared" si="914"/>
        <v>1344</v>
      </c>
      <c r="T864" s="327">
        <v>0</v>
      </c>
      <c r="U864" s="327">
        <v>1</v>
      </c>
      <c r="V864" s="327">
        <v>0</v>
      </c>
      <c r="W864" s="341">
        <f t="shared" si="915"/>
        <v>1</v>
      </c>
      <c r="X864" s="328">
        <f t="shared" si="916"/>
        <v>672</v>
      </c>
      <c r="Y864" s="328">
        <f t="shared" si="917"/>
        <v>5</v>
      </c>
      <c r="Z864" s="329">
        <f t="shared" si="920"/>
        <v>672</v>
      </c>
      <c r="AA864" s="330">
        <f t="shared" si="918"/>
        <v>3360</v>
      </c>
    </row>
    <row r="865" spans="1:27" ht="28.35" customHeight="1">
      <c r="A865" s="331">
        <v>56</v>
      </c>
      <c r="B865" s="299"/>
      <c r="C865" s="326" t="s">
        <v>1267</v>
      </c>
      <c r="D865" s="333" t="s">
        <v>537</v>
      </c>
      <c r="E865" s="327">
        <v>0</v>
      </c>
      <c r="F865" s="327">
        <v>0</v>
      </c>
      <c r="G865" s="327">
        <v>0</v>
      </c>
      <c r="H865" s="341">
        <f t="shared" si="919"/>
        <v>0</v>
      </c>
      <c r="I865" s="328">
        <f t="shared" si="910"/>
        <v>0</v>
      </c>
      <c r="J865" s="327">
        <v>0</v>
      </c>
      <c r="K865" s="327">
        <v>1</v>
      </c>
      <c r="L865" s="327">
        <v>0</v>
      </c>
      <c r="M865" s="341">
        <f t="shared" si="911"/>
        <v>1</v>
      </c>
      <c r="N865" s="328">
        <f t="shared" si="912"/>
        <v>600</v>
      </c>
      <c r="O865" s="327">
        <v>1</v>
      </c>
      <c r="P865" s="327">
        <v>0</v>
      </c>
      <c r="Q865" s="327">
        <v>1</v>
      </c>
      <c r="R865" s="341">
        <f t="shared" si="913"/>
        <v>2</v>
      </c>
      <c r="S865" s="328">
        <f t="shared" si="914"/>
        <v>1200</v>
      </c>
      <c r="T865" s="327">
        <v>0</v>
      </c>
      <c r="U865" s="327">
        <v>1</v>
      </c>
      <c r="V865" s="327">
        <v>0</v>
      </c>
      <c r="W865" s="341">
        <f t="shared" si="915"/>
        <v>1</v>
      </c>
      <c r="X865" s="328">
        <f t="shared" si="916"/>
        <v>600</v>
      </c>
      <c r="Y865" s="328">
        <f t="shared" si="917"/>
        <v>4</v>
      </c>
      <c r="Z865" s="329">
        <f>2400/Y865</f>
        <v>600</v>
      </c>
      <c r="AA865" s="330">
        <f t="shared" si="918"/>
        <v>2400</v>
      </c>
    </row>
    <row r="866" spans="1:27" ht="28.35" customHeight="1" thickBot="1">
      <c r="A866" s="332">
        <v>57</v>
      </c>
      <c r="B866" s="299"/>
      <c r="C866" s="326" t="s">
        <v>1268</v>
      </c>
      <c r="D866" s="333" t="s">
        <v>537</v>
      </c>
      <c r="E866" s="327">
        <v>0</v>
      </c>
      <c r="F866" s="327">
        <v>0</v>
      </c>
      <c r="G866" s="327">
        <v>0</v>
      </c>
      <c r="H866" s="341">
        <f t="shared" si="919"/>
        <v>0</v>
      </c>
      <c r="I866" s="328">
        <f t="shared" si="910"/>
        <v>0</v>
      </c>
      <c r="J866" s="327">
        <v>0</v>
      </c>
      <c r="K866" s="327">
        <v>1</v>
      </c>
      <c r="L866" s="327">
        <v>0</v>
      </c>
      <c r="M866" s="341">
        <f t="shared" si="911"/>
        <v>1</v>
      </c>
      <c r="N866" s="328">
        <f t="shared" si="912"/>
        <v>600</v>
      </c>
      <c r="O866" s="327">
        <v>1</v>
      </c>
      <c r="P866" s="327">
        <v>0</v>
      </c>
      <c r="Q866" s="327">
        <v>1</v>
      </c>
      <c r="R866" s="341">
        <f t="shared" si="913"/>
        <v>2</v>
      </c>
      <c r="S866" s="328">
        <f t="shared" si="914"/>
        <v>1200</v>
      </c>
      <c r="T866" s="327">
        <v>0</v>
      </c>
      <c r="U866" s="327">
        <v>1</v>
      </c>
      <c r="V866" s="327">
        <v>0</v>
      </c>
      <c r="W866" s="341">
        <f t="shared" si="915"/>
        <v>1</v>
      </c>
      <c r="X866" s="328">
        <f t="shared" si="916"/>
        <v>600</v>
      </c>
      <c r="Y866" s="328">
        <f t="shared" si="917"/>
        <v>4</v>
      </c>
      <c r="Z866" s="329">
        <f t="shared" ref="Z866:Z868" si="921">2400/Y866</f>
        <v>600</v>
      </c>
      <c r="AA866" s="330">
        <f t="shared" si="918"/>
        <v>2400</v>
      </c>
    </row>
    <row r="867" spans="1:27" ht="28.35" customHeight="1">
      <c r="A867" s="325">
        <v>58</v>
      </c>
      <c r="B867" s="299"/>
      <c r="C867" s="326" t="s">
        <v>1269</v>
      </c>
      <c r="D867" s="333" t="s">
        <v>537</v>
      </c>
      <c r="E867" s="327">
        <v>0</v>
      </c>
      <c r="F867" s="327">
        <v>0</v>
      </c>
      <c r="G867" s="327">
        <v>0</v>
      </c>
      <c r="H867" s="341">
        <v>0</v>
      </c>
      <c r="I867" s="328">
        <f t="shared" si="910"/>
        <v>0</v>
      </c>
      <c r="J867" s="327">
        <v>0</v>
      </c>
      <c r="K867" s="327">
        <v>1</v>
      </c>
      <c r="L867" s="327">
        <v>0</v>
      </c>
      <c r="M867" s="341">
        <f t="shared" si="911"/>
        <v>1</v>
      </c>
      <c r="N867" s="328">
        <f t="shared" si="912"/>
        <v>600</v>
      </c>
      <c r="O867" s="327">
        <v>1</v>
      </c>
      <c r="P867" s="327">
        <v>0</v>
      </c>
      <c r="Q867" s="327">
        <v>1</v>
      </c>
      <c r="R867" s="341">
        <f t="shared" si="913"/>
        <v>2</v>
      </c>
      <c r="S867" s="328">
        <f t="shared" si="914"/>
        <v>1200</v>
      </c>
      <c r="T867" s="327">
        <v>0</v>
      </c>
      <c r="U867" s="327">
        <v>1</v>
      </c>
      <c r="V867" s="327">
        <v>0</v>
      </c>
      <c r="W867" s="341">
        <f t="shared" si="915"/>
        <v>1</v>
      </c>
      <c r="X867" s="328">
        <f t="shared" si="916"/>
        <v>600</v>
      </c>
      <c r="Y867" s="328">
        <f t="shared" si="917"/>
        <v>4</v>
      </c>
      <c r="Z867" s="329">
        <f t="shared" si="921"/>
        <v>600</v>
      </c>
      <c r="AA867" s="330">
        <f t="shared" si="918"/>
        <v>2400</v>
      </c>
    </row>
    <row r="868" spans="1:27" ht="28.35" customHeight="1">
      <c r="A868" s="331">
        <v>59</v>
      </c>
      <c r="B868" s="299"/>
      <c r="C868" s="326" t="s">
        <v>1270</v>
      </c>
      <c r="D868" s="333" t="s">
        <v>537</v>
      </c>
      <c r="E868" s="327">
        <v>0</v>
      </c>
      <c r="F868" s="327">
        <v>0</v>
      </c>
      <c r="G868" s="327">
        <v>0</v>
      </c>
      <c r="H868" s="341">
        <v>0</v>
      </c>
      <c r="I868" s="328">
        <f t="shared" si="910"/>
        <v>0</v>
      </c>
      <c r="J868" s="327">
        <v>0</v>
      </c>
      <c r="K868" s="327">
        <v>1</v>
      </c>
      <c r="L868" s="327">
        <v>0</v>
      </c>
      <c r="M868" s="341">
        <f t="shared" si="911"/>
        <v>1</v>
      </c>
      <c r="N868" s="328">
        <f t="shared" si="912"/>
        <v>600</v>
      </c>
      <c r="O868" s="327">
        <v>1</v>
      </c>
      <c r="P868" s="327">
        <v>0</v>
      </c>
      <c r="Q868" s="327">
        <v>1</v>
      </c>
      <c r="R868" s="341">
        <f t="shared" si="913"/>
        <v>2</v>
      </c>
      <c r="S868" s="328">
        <f t="shared" si="914"/>
        <v>1200</v>
      </c>
      <c r="T868" s="327">
        <v>0</v>
      </c>
      <c r="U868" s="327">
        <v>1</v>
      </c>
      <c r="V868" s="327">
        <v>0</v>
      </c>
      <c r="W868" s="341">
        <f t="shared" si="915"/>
        <v>1</v>
      </c>
      <c r="X868" s="328">
        <f t="shared" si="916"/>
        <v>600</v>
      </c>
      <c r="Y868" s="328">
        <f t="shared" si="917"/>
        <v>4</v>
      </c>
      <c r="Z868" s="329">
        <f t="shared" si="921"/>
        <v>600</v>
      </c>
      <c r="AA868" s="330">
        <f t="shared" si="918"/>
        <v>2400</v>
      </c>
    </row>
    <row r="869" spans="1:27" ht="28.35" customHeight="1" thickBot="1">
      <c r="A869" s="332">
        <v>60</v>
      </c>
      <c r="B869" s="299"/>
      <c r="C869" s="326" t="s">
        <v>1271</v>
      </c>
      <c r="D869" s="333" t="s">
        <v>324</v>
      </c>
      <c r="E869" s="327">
        <v>0</v>
      </c>
      <c r="F869" s="327">
        <f t="shared" si="897"/>
        <v>0</v>
      </c>
      <c r="G869" s="327">
        <f t="shared" si="897"/>
        <v>0</v>
      </c>
      <c r="H869" s="341">
        <v>0</v>
      </c>
      <c r="I869" s="328">
        <f t="shared" si="910"/>
        <v>0</v>
      </c>
      <c r="J869" s="327">
        <f>0+0</f>
        <v>0</v>
      </c>
      <c r="K869" s="327">
        <f t="shared" si="871"/>
        <v>0</v>
      </c>
      <c r="L869" s="327">
        <f t="shared" si="871"/>
        <v>0</v>
      </c>
      <c r="M869" s="341">
        <f t="shared" si="911"/>
        <v>0</v>
      </c>
      <c r="N869" s="328">
        <f t="shared" si="912"/>
        <v>0</v>
      </c>
      <c r="O869" s="327">
        <f>0+4</f>
        <v>4</v>
      </c>
      <c r="P869" s="327">
        <f t="shared" si="898"/>
        <v>0</v>
      </c>
      <c r="Q869" s="327">
        <f t="shared" si="898"/>
        <v>0</v>
      </c>
      <c r="R869" s="341">
        <f t="shared" si="913"/>
        <v>4</v>
      </c>
      <c r="S869" s="328">
        <f t="shared" si="914"/>
        <v>11200</v>
      </c>
      <c r="T869" s="327">
        <f t="shared" si="876"/>
        <v>0</v>
      </c>
      <c r="U869" s="327">
        <f t="shared" si="876"/>
        <v>0</v>
      </c>
      <c r="V869" s="327">
        <f t="shared" si="876"/>
        <v>0</v>
      </c>
      <c r="W869" s="341">
        <f t="shared" si="915"/>
        <v>0</v>
      </c>
      <c r="X869" s="328">
        <f t="shared" si="916"/>
        <v>0</v>
      </c>
      <c r="Y869" s="328">
        <f t="shared" si="917"/>
        <v>4</v>
      </c>
      <c r="Z869" s="329">
        <f>22400/8</f>
        <v>2800</v>
      </c>
      <c r="AA869" s="330">
        <f t="shared" si="918"/>
        <v>11200</v>
      </c>
    </row>
    <row r="870" spans="1:27" ht="28.35" customHeight="1">
      <c r="A870" s="325">
        <v>61</v>
      </c>
      <c r="B870" s="299"/>
      <c r="C870" s="326" t="s">
        <v>1272</v>
      </c>
      <c r="D870" s="333" t="s">
        <v>537</v>
      </c>
      <c r="E870" s="327">
        <v>0</v>
      </c>
      <c r="F870" s="327">
        <v>0</v>
      </c>
      <c r="G870" s="327">
        <v>0</v>
      </c>
      <c r="H870" s="341">
        <f t="shared" ref="H868:H875" si="922">SUM(E870:G870)</f>
        <v>0</v>
      </c>
      <c r="I870" s="328">
        <f t="shared" si="910"/>
        <v>0</v>
      </c>
      <c r="J870" s="327">
        <v>0</v>
      </c>
      <c r="K870" s="327">
        <v>1</v>
      </c>
      <c r="L870" s="327">
        <v>1</v>
      </c>
      <c r="M870" s="341">
        <f t="shared" si="911"/>
        <v>2</v>
      </c>
      <c r="N870" s="328">
        <f t="shared" si="912"/>
        <v>24000</v>
      </c>
      <c r="O870" s="327">
        <v>1</v>
      </c>
      <c r="P870" s="327">
        <v>0</v>
      </c>
      <c r="Q870" s="327">
        <v>1</v>
      </c>
      <c r="R870" s="341">
        <f t="shared" si="913"/>
        <v>2</v>
      </c>
      <c r="S870" s="328">
        <f t="shared" si="914"/>
        <v>24000</v>
      </c>
      <c r="T870" s="327">
        <v>0</v>
      </c>
      <c r="U870" s="327">
        <v>0</v>
      </c>
      <c r="V870" s="327">
        <v>0</v>
      </c>
      <c r="W870" s="341">
        <f t="shared" si="915"/>
        <v>0</v>
      </c>
      <c r="X870" s="328">
        <f t="shared" si="916"/>
        <v>0</v>
      </c>
      <c r="Y870" s="328">
        <f t="shared" si="917"/>
        <v>4</v>
      </c>
      <c r="Z870" s="329">
        <f>48000/Y870</f>
        <v>12000</v>
      </c>
      <c r="AA870" s="330">
        <f t="shared" si="918"/>
        <v>48000</v>
      </c>
    </row>
    <row r="871" spans="1:27" ht="28.35" customHeight="1">
      <c r="A871" s="331">
        <v>62</v>
      </c>
      <c r="B871" s="299"/>
      <c r="C871" s="326" t="s">
        <v>1273</v>
      </c>
      <c r="D871" s="333" t="s">
        <v>537</v>
      </c>
      <c r="E871" s="327">
        <v>0</v>
      </c>
      <c r="F871" s="327">
        <v>0</v>
      </c>
      <c r="G871" s="327">
        <v>0</v>
      </c>
      <c r="H871" s="341">
        <f t="shared" si="922"/>
        <v>0</v>
      </c>
      <c r="I871" s="328">
        <f t="shared" si="910"/>
        <v>0</v>
      </c>
      <c r="J871" s="327">
        <v>0</v>
      </c>
      <c r="K871" s="327">
        <v>1</v>
      </c>
      <c r="L871" s="327">
        <v>1</v>
      </c>
      <c r="M871" s="341">
        <f t="shared" si="911"/>
        <v>2</v>
      </c>
      <c r="N871" s="328">
        <f t="shared" si="912"/>
        <v>26666.666666666668</v>
      </c>
      <c r="O871" s="327">
        <v>1</v>
      </c>
      <c r="P871" s="327">
        <v>0</v>
      </c>
      <c r="Q871" s="327">
        <v>0</v>
      </c>
      <c r="R871" s="341">
        <f t="shared" si="913"/>
        <v>1</v>
      </c>
      <c r="S871" s="328">
        <f t="shared" si="914"/>
        <v>13333.333333333334</v>
      </c>
      <c r="T871" s="327">
        <v>0</v>
      </c>
      <c r="U871" s="327">
        <v>0</v>
      </c>
      <c r="V871" s="327">
        <v>0</v>
      </c>
      <c r="W871" s="341">
        <f t="shared" si="915"/>
        <v>0</v>
      </c>
      <c r="X871" s="328">
        <f t="shared" si="916"/>
        <v>0</v>
      </c>
      <c r="Y871" s="328">
        <f>H871+M871+R871+W871</f>
        <v>3</v>
      </c>
      <c r="Z871" s="329">
        <f>40000/Y871</f>
        <v>13333.333333333334</v>
      </c>
      <c r="AA871" s="330">
        <f t="shared" si="918"/>
        <v>40000</v>
      </c>
    </row>
    <row r="872" spans="1:27" ht="28.35" customHeight="1" thickBot="1">
      <c r="A872" s="332">
        <v>63</v>
      </c>
      <c r="B872" s="299"/>
      <c r="C872" s="326" t="s">
        <v>1274</v>
      </c>
      <c r="D872" s="333" t="s">
        <v>537</v>
      </c>
      <c r="E872" s="327">
        <v>0</v>
      </c>
      <c r="F872" s="327">
        <v>0</v>
      </c>
      <c r="G872" s="327">
        <v>0</v>
      </c>
      <c r="H872" s="341">
        <f t="shared" si="922"/>
        <v>0</v>
      </c>
      <c r="I872" s="328">
        <f t="shared" si="910"/>
        <v>0</v>
      </c>
      <c r="J872" s="327">
        <v>0</v>
      </c>
      <c r="K872" s="327">
        <v>1</v>
      </c>
      <c r="L872" s="327">
        <v>1</v>
      </c>
      <c r="M872" s="341">
        <f t="shared" si="911"/>
        <v>2</v>
      </c>
      <c r="N872" s="328">
        <f t="shared" si="912"/>
        <v>26666.666666666668</v>
      </c>
      <c r="O872" s="327">
        <v>1</v>
      </c>
      <c r="P872" s="327">
        <v>0</v>
      </c>
      <c r="Q872" s="327">
        <v>0</v>
      </c>
      <c r="R872" s="341">
        <f t="shared" si="913"/>
        <v>1</v>
      </c>
      <c r="S872" s="328">
        <f t="shared" si="914"/>
        <v>13333.333333333334</v>
      </c>
      <c r="T872" s="327">
        <v>0</v>
      </c>
      <c r="U872" s="327">
        <v>0</v>
      </c>
      <c r="V872" s="327">
        <v>0</v>
      </c>
      <c r="W872" s="341">
        <f t="shared" si="915"/>
        <v>0</v>
      </c>
      <c r="X872" s="328">
        <f t="shared" si="916"/>
        <v>0</v>
      </c>
      <c r="Y872" s="328">
        <f t="shared" ref="Y872:Y875" si="923">H872+M872+R872+W872</f>
        <v>3</v>
      </c>
      <c r="Z872" s="329">
        <f t="shared" ref="Z872:Z873" si="924">40000/Y872</f>
        <v>13333.333333333334</v>
      </c>
      <c r="AA872" s="330">
        <f t="shared" si="918"/>
        <v>40000</v>
      </c>
    </row>
    <row r="873" spans="1:27" ht="28.35" customHeight="1">
      <c r="A873" s="325">
        <v>64</v>
      </c>
      <c r="B873" s="299"/>
      <c r="C873" s="326" t="s">
        <v>1275</v>
      </c>
      <c r="D873" s="333" t="s">
        <v>537</v>
      </c>
      <c r="E873" s="327">
        <v>0</v>
      </c>
      <c r="F873" s="327">
        <v>0</v>
      </c>
      <c r="G873" s="327">
        <v>0</v>
      </c>
      <c r="H873" s="341">
        <f t="shared" si="922"/>
        <v>0</v>
      </c>
      <c r="I873" s="328">
        <f t="shared" si="910"/>
        <v>0</v>
      </c>
      <c r="J873" s="327">
        <v>0</v>
      </c>
      <c r="K873" s="327">
        <v>1</v>
      </c>
      <c r="L873" s="327">
        <v>1</v>
      </c>
      <c r="M873" s="341">
        <f t="shared" si="911"/>
        <v>2</v>
      </c>
      <c r="N873" s="328">
        <f t="shared" si="912"/>
        <v>26666.666666666668</v>
      </c>
      <c r="O873" s="327">
        <v>1</v>
      </c>
      <c r="P873" s="327">
        <v>0</v>
      </c>
      <c r="Q873" s="327">
        <v>0</v>
      </c>
      <c r="R873" s="341">
        <f t="shared" si="913"/>
        <v>1</v>
      </c>
      <c r="S873" s="328">
        <f t="shared" si="914"/>
        <v>13333.333333333334</v>
      </c>
      <c r="T873" s="327">
        <v>0</v>
      </c>
      <c r="U873" s="327">
        <v>0</v>
      </c>
      <c r="V873" s="327">
        <v>0</v>
      </c>
      <c r="W873" s="341">
        <f t="shared" si="915"/>
        <v>0</v>
      </c>
      <c r="X873" s="328">
        <f t="shared" si="916"/>
        <v>0</v>
      </c>
      <c r="Y873" s="328">
        <f t="shared" si="923"/>
        <v>3</v>
      </c>
      <c r="Z873" s="329">
        <f t="shared" si="924"/>
        <v>13333.333333333334</v>
      </c>
      <c r="AA873" s="330">
        <f t="shared" si="918"/>
        <v>40000</v>
      </c>
    </row>
    <row r="874" spans="1:27" ht="28.35" customHeight="1">
      <c r="A874" s="331">
        <v>65</v>
      </c>
      <c r="B874" s="299"/>
      <c r="C874" s="326" t="s">
        <v>1276</v>
      </c>
      <c r="D874" s="333" t="s">
        <v>537</v>
      </c>
      <c r="E874" s="327">
        <v>0</v>
      </c>
      <c r="F874" s="327">
        <f t="shared" si="897"/>
        <v>0</v>
      </c>
      <c r="G874" s="327">
        <v>0</v>
      </c>
      <c r="H874" s="341">
        <f t="shared" si="922"/>
        <v>0</v>
      </c>
      <c r="I874" s="328">
        <f t="shared" si="910"/>
        <v>0</v>
      </c>
      <c r="J874" s="327">
        <f>0+0</f>
        <v>0</v>
      </c>
      <c r="K874" s="327">
        <f t="shared" si="871"/>
        <v>0</v>
      </c>
      <c r="L874" s="327">
        <f t="shared" si="871"/>
        <v>0</v>
      </c>
      <c r="M874" s="341">
        <f t="shared" si="911"/>
        <v>0</v>
      </c>
      <c r="N874" s="328">
        <f t="shared" si="912"/>
        <v>0</v>
      </c>
      <c r="O874" s="327">
        <v>0</v>
      </c>
      <c r="P874" s="327">
        <f t="shared" si="898"/>
        <v>0</v>
      </c>
      <c r="Q874" s="327">
        <f t="shared" si="898"/>
        <v>0</v>
      </c>
      <c r="R874" s="341">
        <f t="shared" si="913"/>
        <v>0</v>
      </c>
      <c r="S874" s="328">
        <f t="shared" si="914"/>
        <v>0</v>
      </c>
      <c r="T874" s="327">
        <f t="shared" si="876"/>
        <v>0</v>
      </c>
      <c r="U874" s="327">
        <f t="shared" si="876"/>
        <v>0</v>
      </c>
      <c r="V874" s="327">
        <f t="shared" si="876"/>
        <v>0</v>
      </c>
      <c r="W874" s="341">
        <f t="shared" si="915"/>
        <v>0</v>
      </c>
      <c r="X874" s="328">
        <f t="shared" si="916"/>
        <v>0</v>
      </c>
      <c r="Y874" s="328">
        <f t="shared" si="923"/>
        <v>0</v>
      </c>
      <c r="Z874" s="329">
        <f>13000</f>
        <v>13000</v>
      </c>
      <c r="AA874" s="330">
        <f t="shared" si="918"/>
        <v>0</v>
      </c>
    </row>
    <row r="875" spans="1:27" ht="28.35" customHeight="1" thickBot="1">
      <c r="A875" s="332">
        <v>66</v>
      </c>
      <c r="B875" s="299"/>
      <c r="C875" s="326" t="s">
        <v>1277</v>
      </c>
      <c r="D875" s="333" t="s">
        <v>620</v>
      </c>
      <c r="E875" s="327">
        <v>0</v>
      </c>
      <c r="F875" s="327">
        <f t="shared" si="897"/>
        <v>0</v>
      </c>
      <c r="G875" s="327">
        <f t="shared" si="897"/>
        <v>0</v>
      </c>
      <c r="H875" s="341">
        <f t="shared" si="922"/>
        <v>0</v>
      </c>
      <c r="I875" s="328">
        <f t="shared" si="910"/>
        <v>0</v>
      </c>
      <c r="J875" s="327">
        <f>0+0</f>
        <v>0</v>
      </c>
      <c r="K875" s="327">
        <f t="shared" si="871"/>
        <v>0</v>
      </c>
      <c r="L875" s="327">
        <f t="shared" si="871"/>
        <v>0</v>
      </c>
      <c r="M875" s="341">
        <f t="shared" si="911"/>
        <v>0</v>
      </c>
      <c r="N875" s="328">
        <f t="shared" si="912"/>
        <v>0</v>
      </c>
      <c r="O875" s="327">
        <f>1</f>
        <v>1</v>
      </c>
      <c r="P875" s="327">
        <f t="shared" si="898"/>
        <v>0</v>
      </c>
      <c r="Q875" s="327">
        <f t="shared" si="898"/>
        <v>0</v>
      </c>
      <c r="R875" s="341">
        <f t="shared" si="913"/>
        <v>1</v>
      </c>
      <c r="S875" s="328">
        <f t="shared" si="914"/>
        <v>4581.46</v>
      </c>
      <c r="T875" s="327">
        <f t="shared" si="876"/>
        <v>0</v>
      </c>
      <c r="U875" s="327">
        <f t="shared" si="876"/>
        <v>0</v>
      </c>
      <c r="V875" s="327">
        <f t="shared" si="876"/>
        <v>0</v>
      </c>
      <c r="W875" s="341">
        <f t="shared" si="915"/>
        <v>0</v>
      </c>
      <c r="X875" s="328">
        <f t="shared" si="916"/>
        <v>0</v>
      </c>
      <c r="Y875" s="328">
        <f t="shared" si="923"/>
        <v>1</v>
      </c>
      <c r="Z875" s="329">
        <f>4581.46</f>
        <v>4581.46</v>
      </c>
      <c r="AA875" s="330">
        <f t="shared" si="918"/>
        <v>4581.46</v>
      </c>
    </row>
    <row r="876" spans="1:27" ht="28.35" customHeight="1">
      <c r="A876" s="325">
        <v>67</v>
      </c>
      <c r="B876" s="299"/>
      <c r="C876" s="326" t="s">
        <v>1278</v>
      </c>
      <c r="D876" s="333" t="s">
        <v>364</v>
      </c>
      <c r="E876" s="327">
        <v>0</v>
      </c>
      <c r="F876" s="327">
        <v>0</v>
      </c>
      <c r="G876" s="327">
        <v>0</v>
      </c>
      <c r="H876" s="341">
        <f>SUM(E876:G876)</f>
        <v>0</v>
      </c>
      <c r="I876" s="328">
        <f>H876*$Z876</f>
        <v>0</v>
      </c>
      <c r="J876" s="327">
        <v>0</v>
      </c>
      <c r="K876" s="327">
        <v>0</v>
      </c>
      <c r="L876" s="327">
        <v>0</v>
      </c>
      <c r="M876" s="341">
        <f>SUM(J876:L876)</f>
        <v>0</v>
      </c>
      <c r="N876" s="328">
        <f>M876*$Z876</f>
        <v>0</v>
      </c>
      <c r="O876" s="327">
        <v>0</v>
      </c>
      <c r="P876" s="327">
        <v>0</v>
      </c>
      <c r="Q876" s="327">
        <v>0</v>
      </c>
      <c r="R876" s="341">
        <f>SUM(O876:Q876)</f>
        <v>0</v>
      </c>
      <c r="S876" s="328">
        <f>R876*$Z876</f>
        <v>0</v>
      </c>
      <c r="T876" s="327">
        <v>0</v>
      </c>
      <c r="U876" s="327">
        <v>0</v>
      </c>
      <c r="V876" s="327">
        <v>0</v>
      </c>
      <c r="W876" s="341">
        <f>SUM(T876:V876)</f>
        <v>0</v>
      </c>
      <c r="X876" s="328">
        <f>W876*$Z876</f>
        <v>0</v>
      </c>
      <c r="Y876" s="328">
        <f>H876+M876+R876+W876</f>
        <v>0</v>
      </c>
      <c r="Z876" s="329">
        <f>5200/2</f>
        <v>2600</v>
      </c>
      <c r="AA876" s="330">
        <f>Y876*Z876</f>
        <v>0</v>
      </c>
    </row>
    <row r="877" spans="1:27" ht="28.35" customHeight="1">
      <c r="A877" s="331">
        <v>68</v>
      </c>
      <c r="B877" s="299"/>
      <c r="C877" s="326" t="s">
        <v>1279</v>
      </c>
      <c r="D877" s="333" t="s">
        <v>364</v>
      </c>
      <c r="E877" s="327">
        <v>0</v>
      </c>
      <c r="F877" s="327">
        <v>0</v>
      </c>
      <c r="G877" s="327">
        <v>0</v>
      </c>
      <c r="H877" s="341">
        <f t="shared" ref="H877:H879" si="925">SUM(E877:G877)</f>
        <v>0</v>
      </c>
      <c r="I877" s="328">
        <f t="shared" ref="I877:I880" si="926">H877*$Z877</f>
        <v>0</v>
      </c>
      <c r="J877" s="327">
        <v>0</v>
      </c>
      <c r="K877" s="327">
        <v>0</v>
      </c>
      <c r="L877" s="327">
        <v>0</v>
      </c>
      <c r="M877" s="341">
        <f t="shared" ref="M877:M880" si="927">SUM(J877:L877)</f>
        <v>0</v>
      </c>
      <c r="N877" s="328">
        <f t="shared" ref="N877:N880" si="928">M877*$Z877</f>
        <v>0</v>
      </c>
      <c r="O877" s="327">
        <v>0</v>
      </c>
      <c r="P877" s="327">
        <v>0</v>
      </c>
      <c r="Q877" s="327">
        <v>0</v>
      </c>
      <c r="R877" s="341">
        <f t="shared" ref="R877:R880" si="929">SUM(O877:Q877)</f>
        <v>0</v>
      </c>
      <c r="S877" s="328">
        <f t="shared" ref="S877:S880" si="930">R877*$Z877</f>
        <v>0</v>
      </c>
      <c r="T877" s="327">
        <v>0</v>
      </c>
      <c r="U877" s="327">
        <v>0</v>
      </c>
      <c r="V877" s="327">
        <v>0</v>
      </c>
      <c r="W877" s="341">
        <f t="shared" ref="W877:W880" si="931">SUM(T877:V877)</f>
        <v>0</v>
      </c>
      <c r="X877" s="328">
        <f t="shared" ref="X877:X880" si="932">W877*$Z877</f>
        <v>0</v>
      </c>
      <c r="Y877" s="328">
        <f t="shared" ref="Y877:Y880" si="933">H877+M877+R877+W877</f>
        <v>0</v>
      </c>
      <c r="Z877" s="329">
        <v>2600</v>
      </c>
      <c r="AA877" s="330">
        <f t="shared" ref="AA877:AA880" si="934">Y877*Z877</f>
        <v>0</v>
      </c>
    </row>
    <row r="878" spans="1:27" ht="28.35" customHeight="1" thickBot="1">
      <c r="A878" s="332">
        <v>69</v>
      </c>
      <c r="B878" s="299"/>
      <c r="C878" s="326" t="s">
        <v>1280</v>
      </c>
      <c r="D878" s="333" t="s">
        <v>364</v>
      </c>
      <c r="E878" s="327">
        <v>0</v>
      </c>
      <c r="F878" s="327">
        <v>0</v>
      </c>
      <c r="G878" s="327">
        <v>0</v>
      </c>
      <c r="H878" s="341">
        <f t="shared" si="925"/>
        <v>0</v>
      </c>
      <c r="I878" s="328">
        <f t="shared" si="926"/>
        <v>0</v>
      </c>
      <c r="J878" s="327">
        <v>0</v>
      </c>
      <c r="K878" s="327">
        <v>0</v>
      </c>
      <c r="L878" s="327">
        <v>0</v>
      </c>
      <c r="M878" s="341">
        <f t="shared" si="927"/>
        <v>0</v>
      </c>
      <c r="N878" s="328">
        <f t="shared" si="928"/>
        <v>0</v>
      </c>
      <c r="O878" s="327">
        <v>0</v>
      </c>
      <c r="P878" s="327">
        <v>0</v>
      </c>
      <c r="Q878" s="327">
        <v>0</v>
      </c>
      <c r="R878" s="341">
        <f t="shared" si="929"/>
        <v>0</v>
      </c>
      <c r="S878" s="328">
        <f t="shared" si="930"/>
        <v>0</v>
      </c>
      <c r="T878" s="327">
        <v>0</v>
      </c>
      <c r="U878" s="327">
        <v>0</v>
      </c>
      <c r="V878" s="327">
        <v>0</v>
      </c>
      <c r="W878" s="341">
        <f t="shared" si="931"/>
        <v>0</v>
      </c>
      <c r="X878" s="328">
        <f t="shared" si="932"/>
        <v>0</v>
      </c>
      <c r="Y878" s="328">
        <f t="shared" si="933"/>
        <v>0</v>
      </c>
      <c r="Z878" s="329">
        <f>5200/2</f>
        <v>2600</v>
      </c>
      <c r="AA878" s="330">
        <f t="shared" si="934"/>
        <v>0</v>
      </c>
    </row>
    <row r="879" spans="1:27" ht="28.35" customHeight="1">
      <c r="A879" s="325">
        <v>70</v>
      </c>
      <c r="B879" s="299"/>
      <c r="C879" s="326" t="s">
        <v>1281</v>
      </c>
      <c r="D879" s="333" t="s">
        <v>364</v>
      </c>
      <c r="E879" s="327">
        <v>0</v>
      </c>
      <c r="F879" s="327">
        <v>0</v>
      </c>
      <c r="G879" s="327">
        <v>0</v>
      </c>
      <c r="H879" s="341">
        <f t="shared" si="925"/>
        <v>0</v>
      </c>
      <c r="I879" s="328">
        <f t="shared" si="926"/>
        <v>0</v>
      </c>
      <c r="J879" s="327">
        <v>0</v>
      </c>
      <c r="K879" s="327">
        <v>0</v>
      </c>
      <c r="L879" s="327">
        <v>0</v>
      </c>
      <c r="M879" s="341">
        <f t="shared" si="927"/>
        <v>0</v>
      </c>
      <c r="N879" s="328">
        <f t="shared" si="928"/>
        <v>0</v>
      </c>
      <c r="O879" s="327">
        <v>0</v>
      </c>
      <c r="P879" s="327">
        <v>0</v>
      </c>
      <c r="Q879" s="327">
        <v>0</v>
      </c>
      <c r="R879" s="341">
        <f t="shared" si="929"/>
        <v>0</v>
      </c>
      <c r="S879" s="328">
        <f t="shared" si="930"/>
        <v>0</v>
      </c>
      <c r="T879" s="327">
        <v>0</v>
      </c>
      <c r="U879" s="327">
        <v>0</v>
      </c>
      <c r="V879" s="327">
        <v>0</v>
      </c>
      <c r="W879" s="341">
        <f t="shared" si="931"/>
        <v>0</v>
      </c>
      <c r="X879" s="328">
        <f t="shared" si="932"/>
        <v>0</v>
      </c>
      <c r="Y879" s="328">
        <f t="shared" si="933"/>
        <v>0</v>
      </c>
      <c r="Z879" s="329">
        <v>2600</v>
      </c>
      <c r="AA879" s="330">
        <f t="shared" si="934"/>
        <v>0</v>
      </c>
    </row>
    <row r="880" spans="1:27" ht="28.35" customHeight="1">
      <c r="A880" s="331">
        <v>71</v>
      </c>
      <c r="B880" s="299"/>
      <c r="C880" s="326" t="s">
        <v>1282</v>
      </c>
      <c r="D880" s="333" t="s">
        <v>420</v>
      </c>
      <c r="E880" s="327">
        <f>0+0</f>
        <v>0</v>
      </c>
      <c r="F880" s="327">
        <v>0</v>
      </c>
      <c r="G880" s="327">
        <f t="shared" si="897"/>
        <v>0</v>
      </c>
      <c r="H880" s="341">
        <f t="shared" ref="H880" si="935">SUM(E880:G880)</f>
        <v>0</v>
      </c>
      <c r="I880" s="328">
        <f t="shared" si="926"/>
        <v>0</v>
      </c>
      <c r="J880" s="327">
        <f>0+0</f>
        <v>0</v>
      </c>
      <c r="K880" s="327">
        <f t="shared" si="871"/>
        <v>0</v>
      </c>
      <c r="L880" s="327">
        <f t="shared" si="871"/>
        <v>0</v>
      </c>
      <c r="M880" s="341">
        <f t="shared" si="927"/>
        <v>0</v>
      </c>
      <c r="N880" s="328">
        <f t="shared" si="928"/>
        <v>0</v>
      </c>
      <c r="O880" s="327">
        <f t="shared" si="898"/>
        <v>0</v>
      </c>
      <c r="P880" s="327">
        <f t="shared" si="898"/>
        <v>0</v>
      </c>
      <c r="Q880" s="327">
        <f t="shared" si="898"/>
        <v>0</v>
      </c>
      <c r="R880" s="341">
        <f t="shared" si="929"/>
        <v>0</v>
      </c>
      <c r="S880" s="328">
        <f t="shared" si="930"/>
        <v>0</v>
      </c>
      <c r="T880" s="327">
        <f t="shared" si="876"/>
        <v>0</v>
      </c>
      <c r="U880" s="327">
        <f t="shared" si="876"/>
        <v>0</v>
      </c>
      <c r="V880" s="327">
        <f t="shared" si="876"/>
        <v>0</v>
      </c>
      <c r="W880" s="341">
        <f t="shared" si="931"/>
        <v>0</v>
      </c>
      <c r="X880" s="328">
        <f t="shared" si="932"/>
        <v>0</v>
      </c>
      <c r="Y880" s="328">
        <f t="shared" si="933"/>
        <v>0</v>
      </c>
      <c r="Z880" s="329">
        <f>7200/6</f>
        <v>1200</v>
      </c>
      <c r="AA880" s="330">
        <f t="shared" si="934"/>
        <v>0</v>
      </c>
    </row>
    <row r="881" spans="1:27" ht="28.35" customHeight="1" thickBot="1">
      <c r="A881" s="332">
        <v>72</v>
      </c>
      <c r="B881" s="299"/>
      <c r="C881" s="326"/>
      <c r="D881" s="333"/>
      <c r="E881" s="327"/>
      <c r="F881" s="327"/>
      <c r="G881" s="327"/>
      <c r="H881" s="341"/>
      <c r="I881" s="328"/>
      <c r="J881" s="327"/>
      <c r="K881" s="327"/>
      <c r="L881" s="327"/>
      <c r="M881" s="341"/>
      <c r="N881" s="328"/>
      <c r="O881" s="327"/>
      <c r="P881" s="327"/>
      <c r="Q881" s="327"/>
      <c r="R881" s="341"/>
      <c r="S881" s="328"/>
      <c r="T881" s="327"/>
      <c r="U881" s="327"/>
      <c r="V881" s="327"/>
      <c r="W881" s="341"/>
      <c r="X881" s="328"/>
      <c r="Y881" s="328"/>
      <c r="Z881" s="329"/>
      <c r="AA881" s="330"/>
    </row>
    <row r="882" spans="1:27" ht="28.35" customHeight="1">
      <c r="A882" s="325">
        <v>73</v>
      </c>
      <c r="B882" s="299"/>
      <c r="C882" s="326"/>
      <c r="D882" s="333"/>
      <c r="E882" s="327"/>
      <c r="F882" s="327"/>
      <c r="G882" s="327"/>
      <c r="H882" s="341"/>
      <c r="I882" s="328"/>
      <c r="J882" s="327"/>
      <c r="K882" s="327"/>
      <c r="L882" s="327"/>
      <c r="M882" s="341"/>
      <c r="N882" s="328"/>
      <c r="O882" s="327"/>
      <c r="P882" s="327"/>
      <c r="Q882" s="327"/>
      <c r="R882" s="341"/>
      <c r="S882" s="328"/>
      <c r="T882" s="327"/>
      <c r="U882" s="327"/>
      <c r="V882" s="327"/>
      <c r="W882" s="341"/>
      <c r="X882" s="328"/>
      <c r="Y882" s="328"/>
      <c r="Z882" s="329"/>
      <c r="AA882" s="330"/>
    </row>
    <row r="883" spans="1:27" ht="28.35" customHeight="1">
      <c r="A883" s="331">
        <v>74</v>
      </c>
      <c r="B883" s="299"/>
      <c r="C883" s="326"/>
      <c r="D883" s="333"/>
      <c r="E883" s="327"/>
      <c r="F883" s="327"/>
      <c r="G883" s="327"/>
      <c r="H883" s="341"/>
      <c r="I883" s="328"/>
      <c r="J883" s="327"/>
      <c r="K883" s="327"/>
      <c r="L883" s="327"/>
      <c r="M883" s="341"/>
      <c r="N883" s="328"/>
      <c r="O883" s="327"/>
      <c r="P883" s="327"/>
      <c r="Q883" s="327"/>
      <c r="R883" s="341"/>
      <c r="S883" s="328"/>
      <c r="T883" s="327"/>
      <c r="U883" s="327"/>
      <c r="V883" s="327"/>
      <c r="W883" s="341"/>
      <c r="X883" s="328"/>
      <c r="Y883" s="328"/>
      <c r="Z883" s="329"/>
      <c r="AA883" s="330"/>
    </row>
    <row r="884" spans="1:27" ht="28.35" customHeight="1">
      <c r="A884" s="332"/>
      <c r="B884" s="299"/>
      <c r="C884" s="299"/>
      <c r="D884" s="300"/>
      <c r="E884" s="334"/>
      <c r="F884" s="334"/>
      <c r="G884" s="334"/>
      <c r="H884" s="335"/>
      <c r="I884" s="301"/>
      <c r="J884" s="334"/>
      <c r="K884" s="334"/>
      <c r="L884" s="334"/>
      <c r="M884" s="335"/>
      <c r="N884" s="301"/>
      <c r="O884" s="334"/>
      <c r="P884" s="334"/>
      <c r="Q884" s="334"/>
      <c r="R884" s="335"/>
      <c r="S884" s="301"/>
      <c r="T884" s="334"/>
      <c r="U884" s="334"/>
      <c r="V884" s="334"/>
      <c r="W884" s="335"/>
      <c r="X884" s="301"/>
      <c r="Y884" s="301"/>
      <c r="Z884" s="274"/>
      <c r="AA884" s="346"/>
    </row>
    <row r="885" spans="1:27" ht="30" customHeight="1" thickBot="1">
      <c r="A885" s="331"/>
      <c r="B885" s="299"/>
      <c r="C885" s="299"/>
      <c r="D885" s="300"/>
      <c r="E885" s="334"/>
      <c r="F885" s="334"/>
      <c r="G885" s="334"/>
      <c r="H885" s="335"/>
      <c r="I885" s="301"/>
      <c r="J885" s="334"/>
      <c r="K885" s="334"/>
      <c r="L885" s="334"/>
      <c r="M885" s="335"/>
      <c r="N885" s="301"/>
      <c r="O885" s="334"/>
      <c r="P885" s="334"/>
      <c r="Q885" s="334"/>
      <c r="R885" s="335"/>
      <c r="S885" s="301"/>
      <c r="T885" s="334"/>
      <c r="U885" s="334"/>
      <c r="V885" s="334"/>
      <c r="W885" s="335"/>
      <c r="X885" s="301"/>
      <c r="Y885" s="301"/>
      <c r="Z885" s="274"/>
      <c r="AA885" s="302"/>
    </row>
    <row r="886" spans="1:27" ht="28.35" customHeight="1" thickBot="1">
      <c r="A886" s="256" t="s">
        <v>1283</v>
      </c>
      <c r="B886" s="336"/>
      <c r="C886" s="336"/>
      <c r="D886" s="337"/>
      <c r="E886" s="337"/>
      <c r="F886" s="337"/>
      <c r="G886" s="337"/>
      <c r="H886" s="337"/>
      <c r="I886" s="338"/>
      <c r="J886" s="337"/>
      <c r="K886" s="337"/>
      <c r="L886" s="337"/>
      <c r="M886" s="337"/>
      <c r="N886" s="338"/>
      <c r="O886" s="337"/>
      <c r="P886" s="337"/>
      <c r="Q886" s="337"/>
      <c r="R886" s="337"/>
      <c r="S886" s="338"/>
      <c r="T886" s="337"/>
      <c r="U886" s="337"/>
      <c r="V886" s="337"/>
      <c r="W886" s="337"/>
      <c r="X886" s="338"/>
      <c r="Y886" s="338"/>
      <c r="Z886" s="339"/>
      <c r="AA886" s="340"/>
    </row>
    <row r="887" spans="1:27" ht="28.35" customHeight="1">
      <c r="A887" s="352">
        <v>1</v>
      </c>
      <c r="B887" s="294"/>
      <c r="C887" s="326" t="s">
        <v>1284</v>
      </c>
      <c r="D887" s="333" t="s">
        <v>364</v>
      </c>
      <c r="E887" s="327">
        <v>0</v>
      </c>
      <c r="F887" s="327">
        <v>0</v>
      </c>
      <c r="G887" s="327">
        <v>0</v>
      </c>
      <c r="H887" s="341">
        <f t="shared" ref="H887:H888" si="936">SUM(E887:G887)</f>
        <v>0</v>
      </c>
      <c r="I887" s="328">
        <f t="shared" ref="I887:I888" si="937">H887*$Z887</f>
        <v>0</v>
      </c>
      <c r="J887" s="327">
        <v>0</v>
      </c>
      <c r="K887" s="327">
        <v>0</v>
      </c>
      <c r="L887" s="327">
        <v>0</v>
      </c>
      <c r="M887" s="341">
        <f t="shared" ref="M887:M888" si="938">SUM(J887:L887)</f>
        <v>0</v>
      </c>
      <c r="N887" s="328">
        <f t="shared" ref="N887:N888" si="939">M887*$Z887</f>
        <v>0</v>
      </c>
      <c r="O887" s="327">
        <v>0</v>
      </c>
      <c r="P887" s="327">
        <v>0</v>
      </c>
      <c r="Q887" s="327">
        <v>0</v>
      </c>
      <c r="R887" s="341">
        <f t="shared" ref="R887:R888" si="940">SUM(O887:Q887)</f>
        <v>0</v>
      </c>
      <c r="S887" s="328">
        <f t="shared" ref="S887:S888" si="941">R887*$Z887</f>
        <v>0</v>
      </c>
      <c r="T887" s="327">
        <v>0</v>
      </c>
      <c r="U887" s="327">
        <v>0</v>
      </c>
      <c r="V887" s="327">
        <v>0</v>
      </c>
      <c r="W887" s="341">
        <f t="shared" ref="W887:W888" si="942">SUM(T887:V887)</f>
        <v>0</v>
      </c>
      <c r="X887" s="328">
        <f t="shared" ref="X887:X888" si="943">W887*$Z887</f>
        <v>0</v>
      </c>
      <c r="Y887" s="328">
        <f t="shared" ref="Y887:Y888" si="944">H887+M887+R887+W887</f>
        <v>0</v>
      </c>
      <c r="Z887" s="329">
        <f>480/4</f>
        <v>120</v>
      </c>
      <c r="AA887" s="330">
        <f t="shared" ref="AA887:AA888" si="945">Y887*Z887</f>
        <v>0</v>
      </c>
    </row>
    <row r="888" spans="1:27" ht="32.1" customHeight="1">
      <c r="A888" s="298">
        <v>2</v>
      </c>
      <c r="B888" s="299"/>
      <c r="C888" s="326" t="s">
        <v>1285</v>
      </c>
      <c r="D888" s="333" t="s">
        <v>331</v>
      </c>
      <c r="E888" s="327">
        <v>0</v>
      </c>
      <c r="F888" s="327">
        <v>0</v>
      </c>
      <c r="G888" s="327">
        <v>0</v>
      </c>
      <c r="H888" s="341">
        <f t="shared" si="936"/>
        <v>0</v>
      </c>
      <c r="I888" s="328">
        <f t="shared" si="937"/>
        <v>0</v>
      </c>
      <c r="J888" s="327">
        <v>0</v>
      </c>
      <c r="K888" s="327">
        <v>0</v>
      </c>
      <c r="L888" s="327">
        <v>0</v>
      </c>
      <c r="M888" s="341">
        <f t="shared" si="938"/>
        <v>0</v>
      </c>
      <c r="N888" s="328">
        <f t="shared" si="939"/>
        <v>0</v>
      </c>
      <c r="O888" s="327">
        <v>5</v>
      </c>
      <c r="P888" s="327">
        <v>0</v>
      </c>
      <c r="Q888" s="327">
        <v>0</v>
      </c>
      <c r="R888" s="341">
        <f t="shared" si="940"/>
        <v>5</v>
      </c>
      <c r="S888" s="328">
        <f t="shared" si="941"/>
        <v>3150</v>
      </c>
      <c r="T888" s="327">
        <v>0</v>
      </c>
      <c r="U888" s="327">
        <v>0</v>
      </c>
      <c r="V888" s="327">
        <v>0</v>
      </c>
      <c r="W888" s="341">
        <f t="shared" si="942"/>
        <v>0</v>
      </c>
      <c r="X888" s="328">
        <f t="shared" si="943"/>
        <v>0</v>
      </c>
      <c r="Y888" s="328">
        <f t="shared" si="944"/>
        <v>5</v>
      </c>
      <c r="Z888" s="329">
        <f>3150/Y888</f>
        <v>630</v>
      </c>
      <c r="AA888" s="330">
        <f t="shared" si="945"/>
        <v>3150</v>
      </c>
    </row>
    <row r="889" spans="1:27" ht="32.1" customHeight="1" thickBot="1">
      <c r="A889" s="353">
        <v>3</v>
      </c>
      <c r="B889" s="299"/>
      <c r="C889" s="326" t="s">
        <v>1286</v>
      </c>
      <c r="D889" s="333" t="s">
        <v>364</v>
      </c>
      <c r="E889" s="327">
        <v>0</v>
      </c>
      <c r="F889" s="327">
        <v>0</v>
      </c>
      <c r="G889" s="327">
        <v>0</v>
      </c>
      <c r="H889" s="341">
        <f>SUM(E889:G889)</f>
        <v>0</v>
      </c>
      <c r="I889" s="328">
        <f>H889*$Z889</f>
        <v>0</v>
      </c>
      <c r="J889" s="327">
        <v>0</v>
      </c>
      <c r="K889" s="327">
        <v>0</v>
      </c>
      <c r="L889" s="327">
        <v>5</v>
      </c>
      <c r="M889" s="341">
        <f>SUM(J889:L889)</f>
        <v>5</v>
      </c>
      <c r="N889" s="328">
        <f>M889*$Z889</f>
        <v>7500</v>
      </c>
      <c r="O889" s="327">
        <v>0</v>
      </c>
      <c r="P889" s="327">
        <v>0</v>
      </c>
      <c r="Q889" s="327">
        <v>0</v>
      </c>
      <c r="R889" s="341">
        <f>SUM(O889:Q889)</f>
        <v>0</v>
      </c>
      <c r="S889" s="328">
        <f>R889*$Z889</f>
        <v>0</v>
      </c>
      <c r="T889" s="327">
        <v>0</v>
      </c>
      <c r="U889" s="327">
        <v>0</v>
      </c>
      <c r="V889" s="327">
        <v>0</v>
      </c>
      <c r="W889" s="341">
        <f>SUM(T889:V889)</f>
        <v>0</v>
      </c>
      <c r="X889" s="328">
        <f>W889*$Z889</f>
        <v>0</v>
      </c>
      <c r="Y889" s="328">
        <f>H889+M889+R889+W889</f>
        <v>5</v>
      </c>
      <c r="Z889" s="329">
        <f>7500/5</f>
        <v>1500</v>
      </c>
      <c r="AA889" s="330">
        <f>Y889*Z889</f>
        <v>7500</v>
      </c>
    </row>
    <row r="890" spans="1:27" ht="32.1" customHeight="1">
      <c r="A890" s="352">
        <v>4</v>
      </c>
      <c r="B890" s="299"/>
      <c r="C890" s="326" t="s">
        <v>1287</v>
      </c>
      <c r="D890" s="333" t="s">
        <v>364</v>
      </c>
      <c r="E890" s="327">
        <v>0</v>
      </c>
      <c r="F890" s="327">
        <v>0</v>
      </c>
      <c r="G890" s="327">
        <v>0</v>
      </c>
      <c r="H890" s="341">
        <f t="shared" ref="H890" si="946">SUM(E890:G890)</f>
        <v>0</v>
      </c>
      <c r="I890" s="328">
        <f t="shared" ref="I890:I903" si="947">H890*$Z890</f>
        <v>0</v>
      </c>
      <c r="J890" s="327">
        <v>0</v>
      </c>
      <c r="K890" s="327">
        <v>0</v>
      </c>
      <c r="L890" s="327">
        <v>0</v>
      </c>
      <c r="M890" s="341">
        <f t="shared" ref="M890:M891" si="948">SUM(J890:L890)</f>
        <v>0</v>
      </c>
      <c r="N890" s="328">
        <f t="shared" ref="N890:N903" si="949">M890*$Z890</f>
        <v>0</v>
      </c>
      <c r="O890" s="327">
        <v>0</v>
      </c>
      <c r="P890" s="327">
        <v>0</v>
      </c>
      <c r="Q890" s="327">
        <v>0</v>
      </c>
      <c r="R890" s="341">
        <f t="shared" ref="R890:R891" si="950">SUM(O890:Q890)</f>
        <v>0</v>
      </c>
      <c r="S890" s="328">
        <f t="shared" ref="S890:S903" si="951">R890*$Z890</f>
        <v>0</v>
      </c>
      <c r="T890" s="327">
        <v>0</v>
      </c>
      <c r="U890" s="327">
        <v>0</v>
      </c>
      <c r="V890" s="327">
        <v>0</v>
      </c>
      <c r="W890" s="341">
        <f t="shared" ref="W890:W891" si="952">SUM(T890:V890)</f>
        <v>0</v>
      </c>
      <c r="X890" s="328">
        <f t="shared" ref="X890:X903" si="953">W890*$Z890</f>
        <v>0</v>
      </c>
      <c r="Y890" s="328">
        <f t="shared" ref="Y890:Y903" si="954">H890+M890+R890+W890</f>
        <v>0</v>
      </c>
      <c r="Z890" s="329">
        <f>2500/500</f>
        <v>5</v>
      </c>
      <c r="AA890" s="330">
        <f t="shared" ref="AA890:AA903" si="955">Y890*Z890</f>
        <v>0</v>
      </c>
    </row>
    <row r="891" spans="1:27" ht="32.1" customHeight="1">
      <c r="A891" s="298">
        <v>5</v>
      </c>
      <c r="B891" s="299"/>
      <c r="C891" s="326" t="s">
        <v>1288</v>
      </c>
      <c r="D891" s="333" t="s">
        <v>1289</v>
      </c>
      <c r="E891" s="327">
        <v>0</v>
      </c>
      <c r="F891" s="327">
        <v>0</v>
      </c>
      <c r="G891" s="327">
        <v>0</v>
      </c>
      <c r="H891" s="341">
        <f t="shared" ref="H891:H903" si="956">SUM(E891:G891)</f>
        <v>0</v>
      </c>
      <c r="I891" s="328" t="e">
        <f t="shared" si="947"/>
        <v>#DIV/0!</v>
      </c>
      <c r="J891" s="327">
        <v>0</v>
      </c>
      <c r="K891" s="327">
        <v>0</v>
      </c>
      <c r="L891" s="327">
        <v>0</v>
      </c>
      <c r="M891" s="341">
        <f t="shared" si="948"/>
        <v>0</v>
      </c>
      <c r="N891" s="328" t="e">
        <f t="shared" si="949"/>
        <v>#DIV/0!</v>
      </c>
      <c r="O891" s="327">
        <v>0</v>
      </c>
      <c r="P891" s="327">
        <v>0</v>
      </c>
      <c r="Q891" s="327">
        <v>0</v>
      </c>
      <c r="R891" s="341">
        <f t="shared" si="950"/>
        <v>0</v>
      </c>
      <c r="S891" s="328" t="e">
        <f t="shared" si="951"/>
        <v>#DIV/0!</v>
      </c>
      <c r="T891" s="327">
        <v>0</v>
      </c>
      <c r="U891" s="327">
        <v>0</v>
      </c>
      <c r="V891" s="327">
        <v>0</v>
      </c>
      <c r="W891" s="341">
        <f t="shared" si="952"/>
        <v>0</v>
      </c>
      <c r="X891" s="328" t="e">
        <f t="shared" si="953"/>
        <v>#DIV/0!</v>
      </c>
      <c r="Y891" s="328">
        <f t="shared" si="954"/>
        <v>0</v>
      </c>
      <c r="Z891" s="329" t="e">
        <f>2344/Y891</f>
        <v>#DIV/0!</v>
      </c>
      <c r="AA891" s="330" t="e">
        <f t="shared" si="955"/>
        <v>#DIV/0!</v>
      </c>
    </row>
    <row r="892" spans="1:27" ht="32.1" customHeight="1" thickBot="1">
      <c r="A892" s="353">
        <v>6</v>
      </c>
      <c r="B892" s="299"/>
      <c r="C892" s="326" t="s">
        <v>1290</v>
      </c>
      <c r="D892" s="327" t="s">
        <v>537</v>
      </c>
      <c r="E892" s="327">
        <v>0</v>
      </c>
      <c r="F892" s="327">
        <v>0</v>
      </c>
      <c r="G892" s="327">
        <v>0</v>
      </c>
      <c r="H892" s="341">
        <f t="shared" si="956"/>
        <v>0</v>
      </c>
      <c r="I892" s="328">
        <f t="shared" si="947"/>
        <v>0</v>
      </c>
      <c r="J892" s="327">
        <v>0</v>
      </c>
      <c r="K892" s="327">
        <v>0</v>
      </c>
      <c r="L892" s="327">
        <v>2</v>
      </c>
      <c r="M892" s="341">
        <f t="shared" ref="M892:M903" si="957">SUM(J892:L892)</f>
        <v>2</v>
      </c>
      <c r="N892" s="328">
        <f t="shared" si="949"/>
        <v>2000</v>
      </c>
      <c r="O892" s="327">
        <v>0</v>
      </c>
      <c r="P892" s="327">
        <v>0</v>
      </c>
      <c r="Q892" s="327">
        <v>2</v>
      </c>
      <c r="R892" s="341">
        <f t="shared" ref="R892:R903" si="958">SUM(O892:Q892)</f>
        <v>2</v>
      </c>
      <c r="S892" s="328">
        <f t="shared" si="951"/>
        <v>2000</v>
      </c>
      <c r="T892" s="327">
        <v>0</v>
      </c>
      <c r="U892" s="327">
        <v>0</v>
      </c>
      <c r="V892" s="327">
        <v>0</v>
      </c>
      <c r="W892" s="341">
        <f t="shared" ref="W892:W903" si="959">SUM(T892:V892)</f>
        <v>0</v>
      </c>
      <c r="X892" s="328">
        <f t="shared" si="953"/>
        <v>0</v>
      </c>
      <c r="Y892" s="328">
        <f t="shared" si="954"/>
        <v>4</v>
      </c>
      <c r="Z892" s="329">
        <f>6000/6</f>
        <v>1000</v>
      </c>
      <c r="AA892" s="330">
        <f t="shared" si="955"/>
        <v>4000</v>
      </c>
    </row>
    <row r="893" spans="1:27" ht="32.1" customHeight="1">
      <c r="A893" s="352">
        <v>7</v>
      </c>
      <c r="B893" s="299"/>
      <c r="C893" s="326" t="s">
        <v>1291</v>
      </c>
      <c r="D893" s="333" t="s">
        <v>1292</v>
      </c>
      <c r="E893" s="327">
        <v>0</v>
      </c>
      <c r="F893" s="327">
        <v>0</v>
      </c>
      <c r="G893" s="327">
        <v>0</v>
      </c>
      <c r="H893" s="341">
        <f t="shared" si="956"/>
        <v>0</v>
      </c>
      <c r="I893" s="328">
        <f t="shared" si="947"/>
        <v>0</v>
      </c>
      <c r="J893" s="327">
        <v>0</v>
      </c>
      <c r="K893" s="327">
        <v>10</v>
      </c>
      <c r="L893" s="327">
        <v>0</v>
      </c>
      <c r="M893" s="341">
        <f t="shared" si="957"/>
        <v>10</v>
      </c>
      <c r="N893" s="328">
        <f t="shared" si="949"/>
        <v>202.5</v>
      </c>
      <c r="O893" s="327">
        <v>0</v>
      </c>
      <c r="P893" s="327">
        <v>20</v>
      </c>
      <c r="Q893" s="327">
        <v>0</v>
      </c>
      <c r="R893" s="341">
        <f t="shared" si="958"/>
        <v>20</v>
      </c>
      <c r="S893" s="328">
        <f t="shared" si="951"/>
        <v>405</v>
      </c>
      <c r="T893" s="327">
        <v>0</v>
      </c>
      <c r="U893" s="327">
        <v>10</v>
      </c>
      <c r="V893" s="327">
        <v>0</v>
      </c>
      <c r="W893" s="341">
        <f t="shared" si="959"/>
        <v>10</v>
      </c>
      <c r="X893" s="328">
        <f t="shared" si="953"/>
        <v>202.5</v>
      </c>
      <c r="Y893" s="328">
        <f t="shared" si="954"/>
        <v>40</v>
      </c>
      <c r="Z893" s="329">
        <f>810/Y893</f>
        <v>20.25</v>
      </c>
      <c r="AA893" s="330">
        <f t="shared" si="955"/>
        <v>810</v>
      </c>
    </row>
    <row r="894" spans="1:27" ht="32.1" customHeight="1">
      <c r="A894" s="298">
        <v>8</v>
      </c>
      <c r="B894" s="299"/>
      <c r="C894" s="326" t="s">
        <v>1293</v>
      </c>
      <c r="D894" s="333" t="s">
        <v>364</v>
      </c>
      <c r="E894" s="327">
        <v>0</v>
      </c>
      <c r="F894" s="327">
        <v>0</v>
      </c>
      <c r="G894" s="327">
        <v>0</v>
      </c>
      <c r="H894" s="341">
        <f t="shared" si="956"/>
        <v>0</v>
      </c>
      <c r="I894" s="328">
        <f t="shared" si="947"/>
        <v>0</v>
      </c>
      <c r="J894" s="327">
        <v>0</v>
      </c>
      <c r="K894" s="327">
        <v>0</v>
      </c>
      <c r="L894" s="327">
        <v>0</v>
      </c>
      <c r="M894" s="341">
        <f t="shared" si="957"/>
        <v>0</v>
      </c>
      <c r="N894" s="328">
        <f t="shared" si="949"/>
        <v>0</v>
      </c>
      <c r="O894" s="327">
        <v>0</v>
      </c>
      <c r="P894" s="327">
        <v>0</v>
      </c>
      <c r="Q894" s="327">
        <v>0</v>
      </c>
      <c r="R894" s="341">
        <f t="shared" si="958"/>
        <v>0</v>
      </c>
      <c r="S894" s="328">
        <f t="shared" si="951"/>
        <v>0</v>
      </c>
      <c r="T894" s="327">
        <v>0</v>
      </c>
      <c r="U894" s="327">
        <v>0</v>
      </c>
      <c r="V894" s="327">
        <v>0</v>
      </c>
      <c r="W894" s="341">
        <f t="shared" si="959"/>
        <v>0</v>
      </c>
      <c r="X894" s="328">
        <f t="shared" si="953"/>
        <v>0</v>
      </c>
      <c r="Y894" s="328">
        <f t="shared" si="954"/>
        <v>0</v>
      </c>
      <c r="Z894" s="329">
        <f>6000/5</f>
        <v>1200</v>
      </c>
      <c r="AA894" s="330">
        <f t="shared" si="955"/>
        <v>0</v>
      </c>
    </row>
    <row r="895" spans="1:27" ht="32.1" customHeight="1" thickBot="1">
      <c r="A895" s="353">
        <v>9</v>
      </c>
      <c r="B895" s="299"/>
      <c r="C895" s="326" t="s">
        <v>1294</v>
      </c>
      <c r="D895" s="333" t="s">
        <v>364</v>
      </c>
      <c r="E895" s="327">
        <v>0</v>
      </c>
      <c r="F895" s="327">
        <v>0</v>
      </c>
      <c r="G895" s="327">
        <v>0</v>
      </c>
      <c r="H895" s="341">
        <f t="shared" si="956"/>
        <v>0</v>
      </c>
      <c r="I895" s="328">
        <f t="shared" si="947"/>
        <v>0</v>
      </c>
      <c r="J895" s="327">
        <v>0</v>
      </c>
      <c r="K895" s="327">
        <v>0</v>
      </c>
      <c r="L895" s="327">
        <v>0</v>
      </c>
      <c r="M895" s="341">
        <f t="shared" si="957"/>
        <v>0</v>
      </c>
      <c r="N895" s="328">
        <f t="shared" si="949"/>
        <v>0</v>
      </c>
      <c r="O895" s="327">
        <v>0</v>
      </c>
      <c r="P895" s="327">
        <v>0</v>
      </c>
      <c r="Q895" s="327">
        <v>0</v>
      </c>
      <c r="R895" s="341">
        <f t="shared" si="958"/>
        <v>0</v>
      </c>
      <c r="S895" s="328">
        <f t="shared" si="951"/>
        <v>0</v>
      </c>
      <c r="T895" s="327">
        <v>0</v>
      </c>
      <c r="U895" s="327">
        <v>0</v>
      </c>
      <c r="V895" s="327">
        <v>0</v>
      </c>
      <c r="W895" s="341">
        <f t="shared" si="959"/>
        <v>0</v>
      </c>
      <c r="X895" s="328">
        <f t="shared" si="953"/>
        <v>0</v>
      </c>
      <c r="Y895" s="328">
        <f t="shared" si="954"/>
        <v>0</v>
      </c>
      <c r="Z895" s="329">
        <f>2000/5</f>
        <v>400</v>
      </c>
      <c r="AA895" s="330">
        <f t="shared" si="955"/>
        <v>0</v>
      </c>
    </row>
    <row r="896" spans="1:27" ht="32.1" customHeight="1">
      <c r="A896" s="352">
        <v>10</v>
      </c>
      <c r="B896" s="299"/>
      <c r="C896" s="326" t="s">
        <v>1295</v>
      </c>
      <c r="D896" s="333" t="s">
        <v>364</v>
      </c>
      <c r="E896" s="327">
        <v>0</v>
      </c>
      <c r="F896" s="327">
        <v>0</v>
      </c>
      <c r="G896" s="327">
        <v>0</v>
      </c>
      <c r="H896" s="341">
        <f t="shared" si="956"/>
        <v>0</v>
      </c>
      <c r="I896" s="328">
        <f t="shared" si="947"/>
        <v>0</v>
      </c>
      <c r="J896" s="327">
        <v>0</v>
      </c>
      <c r="K896" s="327">
        <v>0</v>
      </c>
      <c r="L896" s="327">
        <v>3</v>
      </c>
      <c r="M896" s="341">
        <f t="shared" si="957"/>
        <v>3</v>
      </c>
      <c r="N896" s="328">
        <f t="shared" si="949"/>
        <v>1500</v>
      </c>
      <c r="O896" s="327">
        <v>0</v>
      </c>
      <c r="P896" s="327">
        <v>0</v>
      </c>
      <c r="Q896" s="327">
        <v>0</v>
      </c>
      <c r="R896" s="341">
        <f t="shared" si="958"/>
        <v>0</v>
      </c>
      <c r="S896" s="328">
        <f t="shared" si="951"/>
        <v>0</v>
      </c>
      <c r="T896" s="327">
        <v>0</v>
      </c>
      <c r="U896" s="327">
        <v>0</v>
      </c>
      <c r="V896" s="327">
        <v>0</v>
      </c>
      <c r="W896" s="341">
        <f t="shared" si="959"/>
        <v>0</v>
      </c>
      <c r="X896" s="328">
        <f t="shared" si="953"/>
        <v>0</v>
      </c>
      <c r="Y896" s="328">
        <f t="shared" si="954"/>
        <v>3</v>
      </c>
      <c r="Z896" s="329">
        <f>1500/3</f>
        <v>500</v>
      </c>
      <c r="AA896" s="330">
        <f t="shared" si="955"/>
        <v>1500</v>
      </c>
    </row>
    <row r="897" spans="1:27" ht="32.1" customHeight="1">
      <c r="A897" s="298">
        <v>11</v>
      </c>
      <c r="B897" s="299"/>
      <c r="C897" s="326" t="s">
        <v>1295</v>
      </c>
      <c r="D897" s="333" t="s">
        <v>364</v>
      </c>
      <c r="E897" s="327">
        <v>0</v>
      </c>
      <c r="F897" s="327">
        <v>0</v>
      </c>
      <c r="G897" s="327">
        <v>0</v>
      </c>
      <c r="H897" s="341">
        <f t="shared" si="956"/>
        <v>0</v>
      </c>
      <c r="I897" s="328">
        <f t="shared" si="947"/>
        <v>0</v>
      </c>
      <c r="J897" s="327">
        <v>0</v>
      </c>
      <c r="K897" s="327">
        <v>0</v>
      </c>
      <c r="L897" s="327">
        <f>3+2</f>
        <v>5</v>
      </c>
      <c r="M897" s="341">
        <f t="shared" si="957"/>
        <v>5</v>
      </c>
      <c r="N897" s="328">
        <f t="shared" si="949"/>
        <v>5000</v>
      </c>
      <c r="O897" s="327">
        <v>0</v>
      </c>
      <c r="P897" s="327">
        <v>0</v>
      </c>
      <c r="Q897" s="327">
        <v>0</v>
      </c>
      <c r="R897" s="341">
        <f t="shared" si="958"/>
        <v>0</v>
      </c>
      <c r="S897" s="328">
        <f t="shared" si="951"/>
        <v>0</v>
      </c>
      <c r="T897" s="327">
        <v>0</v>
      </c>
      <c r="U897" s="327">
        <v>0</v>
      </c>
      <c r="V897" s="327">
        <v>0</v>
      </c>
      <c r="W897" s="341">
        <f t="shared" si="959"/>
        <v>0</v>
      </c>
      <c r="X897" s="328">
        <f t="shared" si="953"/>
        <v>0</v>
      </c>
      <c r="Y897" s="328">
        <f t="shared" si="954"/>
        <v>5</v>
      </c>
      <c r="Z897" s="329">
        <f>3000/3</f>
        <v>1000</v>
      </c>
      <c r="AA897" s="330">
        <f t="shared" si="955"/>
        <v>5000</v>
      </c>
    </row>
    <row r="898" spans="1:27" ht="32.1" customHeight="1" thickBot="1">
      <c r="A898" s="353">
        <v>12</v>
      </c>
      <c r="B898" s="299"/>
      <c r="C898" s="326" t="s">
        <v>1296</v>
      </c>
      <c r="D898" s="333" t="s">
        <v>364</v>
      </c>
      <c r="E898" s="327">
        <v>0</v>
      </c>
      <c r="F898" s="327">
        <v>0</v>
      </c>
      <c r="G898" s="327">
        <v>0</v>
      </c>
      <c r="H898" s="341">
        <f t="shared" si="956"/>
        <v>0</v>
      </c>
      <c r="I898" s="328" t="e">
        <f t="shared" si="947"/>
        <v>#DIV/0!</v>
      </c>
      <c r="J898" s="327">
        <v>0</v>
      </c>
      <c r="K898" s="327">
        <v>0</v>
      </c>
      <c r="L898" s="327">
        <v>0</v>
      </c>
      <c r="M898" s="341">
        <f t="shared" si="957"/>
        <v>0</v>
      </c>
      <c r="N898" s="328" t="e">
        <f t="shared" si="949"/>
        <v>#DIV/0!</v>
      </c>
      <c r="O898" s="327">
        <v>0</v>
      </c>
      <c r="P898" s="327">
        <v>0</v>
      </c>
      <c r="Q898" s="327">
        <v>0</v>
      </c>
      <c r="R898" s="341">
        <f t="shared" si="958"/>
        <v>0</v>
      </c>
      <c r="S898" s="328" t="e">
        <f t="shared" si="951"/>
        <v>#DIV/0!</v>
      </c>
      <c r="T898" s="327">
        <v>0</v>
      </c>
      <c r="U898" s="327">
        <v>0</v>
      </c>
      <c r="V898" s="327">
        <v>0</v>
      </c>
      <c r="W898" s="341">
        <f t="shared" si="959"/>
        <v>0</v>
      </c>
      <c r="X898" s="328" t="e">
        <f t="shared" si="953"/>
        <v>#DIV/0!</v>
      </c>
      <c r="Y898" s="328">
        <f t="shared" si="954"/>
        <v>0</v>
      </c>
      <c r="Z898" s="329" t="e">
        <f>24500/Y898</f>
        <v>#DIV/0!</v>
      </c>
      <c r="AA898" s="330" t="e">
        <f t="shared" si="955"/>
        <v>#DIV/0!</v>
      </c>
    </row>
    <row r="899" spans="1:27" ht="32.1" customHeight="1">
      <c r="A899" s="352">
        <v>13</v>
      </c>
      <c r="B899" s="299"/>
      <c r="C899" s="326" t="s">
        <v>1297</v>
      </c>
      <c r="D899" s="333" t="s">
        <v>364</v>
      </c>
      <c r="E899" s="327">
        <v>0</v>
      </c>
      <c r="F899" s="327">
        <v>0</v>
      </c>
      <c r="G899" s="327">
        <v>0</v>
      </c>
      <c r="H899" s="341">
        <f t="shared" si="956"/>
        <v>0</v>
      </c>
      <c r="I899" s="328">
        <f t="shared" si="947"/>
        <v>0</v>
      </c>
      <c r="J899" s="327">
        <v>0</v>
      </c>
      <c r="K899" s="327">
        <v>0</v>
      </c>
      <c r="L899" s="327">
        <v>0</v>
      </c>
      <c r="M899" s="341">
        <f t="shared" si="957"/>
        <v>0</v>
      </c>
      <c r="N899" s="328">
        <f t="shared" si="949"/>
        <v>0</v>
      </c>
      <c r="O899" s="327">
        <v>0</v>
      </c>
      <c r="P899" s="327">
        <v>0</v>
      </c>
      <c r="Q899" s="327">
        <v>0</v>
      </c>
      <c r="R899" s="341">
        <f t="shared" si="958"/>
        <v>0</v>
      </c>
      <c r="S899" s="328">
        <f t="shared" si="951"/>
        <v>0</v>
      </c>
      <c r="T899" s="327">
        <v>0</v>
      </c>
      <c r="U899" s="327">
        <v>0</v>
      </c>
      <c r="V899" s="327">
        <v>0</v>
      </c>
      <c r="W899" s="341">
        <f t="shared" si="959"/>
        <v>0</v>
      </c>
      <c r="X899" s="328">
        <f t="shared" si="953"/>
        <v>0</v>
      </c>
      <c r="Y899" s="328">
        <f t="shared" si="954"/>
        <v>0</v>
      </c>
      <c r="Z899" s="329">
        <f>4500/100</f>
        <v>45</v>
      </c>
      <c r="AA899" s="330">
        <f t="shared" si="955"/>
        <v>0</v>
      </c>
    </row>
    <row r="900" spans="1:27" ht="32.1" customHeight="1">
      <c r="A900" s="298">
        <v>14</v>
      </c>
      <c r="B900" s="299"/>
      <c r="C900" s="326" t="s">
        <v>1298</v>
      </c>
      <c r="D900" s="333" t="s">
        <v>364</v>
      </c>
      <c r="E900" s="327">
        <v>0</v>
      </c>
      <c r="F900" s="327">
        <v>0</v>
      </c>
      <c r="G900" s="327">
        <v>0</v>
      </c>
      <c r="H900" s="341">
        <f t="shared" si="956"/>
        <v>0</v>
      </c>
      <c r="I900" s="328">
        <f t="shared" si="947"/>
        <v>0</v>
      </c>
      <c r="J900" s="327">
        <v>0</v>
      </c>
      <c r="K900" s="327">
        <v>0</v>
      </c>
      <c r="L900" s="327">
        <v>0</v>
      </c>
      <c r="M900" s="341">
        <f t="shared" si="957"/>
        <v>0</v>
      </c>
      <c r="N900" s="328">
        <f t="shared" si="949"/>
        <v>0</v>
      </c>
      <c r="O900" s="327">
        <v>0</v>
      </c>
      <c r="P900" s="327">
        <v>0</v>
      </c>
      <c r="Q900" s="327">
        <v>0</v>
      </c>
      <c r="R900" s="341">
        <f t="shared" si="958"/>
        <v>0</v>
      </c>
      <c r="S900" s="328">
        <f t="shared" si="951"/>
        <v>0</v>
      </c>
      <c r="T900" s="327">
        <v>0</v>
      </c>
      <c r="U900" s="327">
        <v>0</v>
      </c>
      <c r="V900" s="327">
        <v>0</v>
      </c>
      <c r="W900" s="341">
        <f t="shared" si="959"/>
        <v>0</v>
      </c>
      <c r="X900" s="328">
        <f t="shared" si="953"/>
        <v>0</v>
      </c>
      <c r="Y900" s="328">
        <f t="shared" si="954"/>
        <v>0</v>
      </c>
      <c r="Z900" s="329">
        <f>2500/100</f>
        <v>25</v>
      </c>
      <c r="AA900" s="330">
        <f t="shared" si="955"/>
        <v>0</v>
      </c>
    </row>
    <row r="901" spans="1:27" ht="32.1" customHeight="1" thickBot="1">
      <c r="A901" s="353">
        <v>15</v>
      </c>
      <c r="B901" s="299"/>
      <c r="C901" s="326" t="s">
        <v>1299</v>
      </c>
      <c r="D901" s="333" t="s">
        <v>537</v>
      </c>
      <c r="E901" s="327">
        <v>0</v>
      </c>
      <c r="F901" s="327">
        <v>0</v>
      </c>
      <c r="G901" s="327">
        <v>0</v>
      </c>
      <c r="H901" s="341">
        <f t="shared" si="956"/>
        <v>0</v>
      </c>
      <c r="I901" s="328">
        <f t="shared" si="947"/>
        <v>0</v>
      </c>
      <c r="J901" s="327">
        <v>0</v>
      </c>
      <c r="K901" s="327">
        <v>0</v>
      </c>
      <c r="L901" s="327">
        <v>0</v>
      </c>
      <c r="M901" s="341">
        <f t="shared" si="957"/>
        <v>0</v>
      </c>
      <c r="N901" s="328">
        <f t="shared" si="949"/>
        <v>0</v>
      </c>
      <c r="O901" s="327">
        <v>0</v>
      </c>
      <c r="P901" s="327">
        <v>0</v>
      </c>
      <c r="Q901" s="327">
        <v>0</v>
      </c>
      <c r="R901" s="341">
        <f t="shared" si="958"/>
        <v>0</v>
      </c>
      <c r="S901" s="328">
        <f t="shared" si="951"/>
        <v>0</v>
      </c>
      <c r="T901" s="327">
        <v>0</v>
      </c>
      <c r="U901" s="327">
        <v>0</v>
      </c>
      <c r="V901" s="327">
        <v>0</v>
      </c>
      <c r="W901" s="341">
        <f t="shared" si="959"/>
        <v>0</v>
      </c>
      <c r="X901" s="328">
        <f t="shared" si="953"/>
        <v>0</v>
      </c>
      <c r="Y901" s="328">
        <f t="shared" si="954"/>
        <v>0</v>
      </c>
      <c r="Z901" s="329">
        <f>60000/6</f>
        <v>10000</v>
      </c>
      <c r="AA901" s="330">
        <f t="shared" si="955"/>
        <v>0</v>
      </c>
    </row>
    <row r="902" spans="1:27" ht="32.1" customHeight="1">
      <c r="A902" s="352">
        <v>16</v>
      </c>
      <c r="B902" s="299"/>
      <c r="C902" s="326" t="s">
        <v>1300</v>
      </c>
      <c r="D902" s="333" t="s">
        <v>596</v>
      </c>
      <c r="E902" s="327">
        <v>0</v>
      </c>
      <c r="F902" s="327">
        <v>0</v>
      </c>
      <c r="G902" s="327">
        <v>0</v>
      </c>
      <c r="H902" s="341">
        <f t="shared" si="956"/>
        <v>0</v>
      </c>
      <c r="I902" s="328">
        <f t="shared" si="947"/>
        <v>0</v>
      </c>
      <c r="J902" s="327">
        <v>0</v>
      </c>
      <c r="K902" s="327">
        <v>0</v>
      </c>
      <c r="L902" s="327">
        <v>0</v>
      </c>
      <c r="M902" s="341">
        <f t="shared" si="957"/>
        <v>0</v>
      </c>
      <c r="N902" s="328">
        <f t="shared" si="949"/>
        <v>0</v>
      </c>
      <c r="O902" s="327">
        <v>3</v>
      </c>
      <c r="P902" s="327">
        <v>0</v>
      </c>
      <c r="Q902" s="327">
        <v>0</v>
      </c>
      <c r="R902" s="341">
        <f t="shared" si="958"/>
        <v>3</v>
      </c>
      <c r="S902" s="328">
        <f t="shared" si="951"/>
        <v>1710</v>
      </c>
      <c r="T902" s="327">
        <v>0</v>
      </c>
      <c r="U902" s="327">
        <v>0</v>
      </c>
      <c r="V902" s="327">
        <v>0</v>
      </c>
      <c r="W902" s="341">
        <f t="shared" si="959"/>
        <v>0</v>
      </c>
      <c r="X902" s="328">
        <f t="shared" si="953"/>
        <v>0</v>
      </c>
      <c r="Y902" s="328">
        <f t="shared" si="954"/>
        <v>3</v>
      </c>
      <c r="Z902" s="329">
        <f>1710/Y902</f>
        <v>570</v>
      </c>
      <c r="AA902" s="330">
        <f t="shared" si="955"/>
        <v>1710</v>
      </c>
    </row>
    <row r="903" spans="1:27" ht="32.1" customHeight="1">
      <c r="A903" s="298">
        <v>17</v>
      </c>
      <c r="B903" s="299"/>
      <c r="C903" s="326" t="s">
        <v>1301</v>
      </c>
      <c r="D903" s="333" t="s">
        <v>596</v>
      </c>
      <c r="E903" s="327">
        <v>0</v>
      </c>
      <c r="F903" s="327">
        <v>0</v>
      </c>
      <c r="G903" s="327">
        <v>0</v>
      </c>
      <c r="H903" s="341">
        <f t="shared" si="956"/>
        <v>0</v>
      </c>
      <c r="I903" s="328">
        <f t="shared" si="947"/>
        <v>0</v>
      </c>
      <c r="J903" s="327">
        <v>0</v>
      </c>
      <c r="K903" s="327">
        <v>0</v>
      </c>
      <c r="L903" s="327">
        <v>0</v>
      </c>
      <c r="M903" s="341">
        <f t="shared" si="957"/>
        <v>0</v>
      </c>
      <c r="N903" s="328">
        <f t="shared" si="949"/>
        <v>0</v>
      </c>
      <c r="O903" s="327">
        <v>3</v>
      </c>
      <c r="P903" s="327">
        <v>0</v>
      </c>
      <c r="Q903" s="327">
        <v>0</v>
      </c>
      <c r="R903" s="341">
        <f t="shared" si="958"/>
        <v>3</v>
      </c>
      <c r="S903" s="328">
        <f t="shared" si="951"/>
        <v>1710</v>
      </c>
      <c r="T903" s="327">
        <v>0</v>
      </c>
      <c r="U903" s="327">
        <v>0</v>
      </c>
      <c r="V903" s="327">
        <v>0</v>
      </c>
      <c r="W903" s="341">
        <f t="shared" si="959"/>
        <v>0</v>
      </c>
      <c r="X903" s="328">
        <f t="shared" si="953"/>
        <v>0</v>
      </c>
      <c r="Y903" s="328">
        <f t="shared" si="954"/>
        <v>3</v>
      </c>
      <c r="Z903" s="329">
        <f>1710/Y903</f>
        <v>570</v>
      </c>
      <c r="AA903" s="330">
        <f t="shared" si="955"/>
        <v>1710</v>
      </c>
    </row>
    <row r="904" spans="1:27" ht="32.1" customHeight="1" thickBot="1">
      <c r="A904" s="353">
        <v>18</v>
      </c>
      <c r="B904" s="299"/>
      <c r="C904" s="326" t="s">
        <v>1302</v>
      </c>
      <c r="D904" s="333" t="s">
        <v>364</v>
      </c>
      <c r="E904" s="327">
        <v>0</v>
      </c>
      <c r="F904" s="327">
        <v>0</v>
      </c>
      <c r="G904" s="327">
        <v>0</v>
      </c>
      <c r="H904" s="341">
        <f>SUM(E904:G904)</f>
        <v>0</v>
      </c>
      <c r="I904" s="328">
        <f>H904*$Z904</f>
        <v>0</v>
      </c>
      <c r="J904" s="327">
        <v>0</v>
      </c>
      <c r="K904" s="327">
        <v>0</v>
      </c>
      <c r="L904" s="327">
        <v>0</v>
      </c>
      <c r="M904" s="341">
        <f>SUM(J904:L904)</f>
        <v>0</v>
      </c>
      <c r="N904" s="328">
        <f>M904*$Z904</f>
        <v>0</v>
      </c>
      <c r="O904" s="327">
        <v>0</v>
      </c>
      <c r="P904" s="327">
        <v>0</v>
      </c>
      <c r="Q904" s="327">
        <v>0</v>
      </c>
      <c r="R904" s="341">
        <f>SUM(O904:Q904)</f>
        <v>0</v>
      </c>
      <c r="S904" s="328">
        <f>R904*$Z904</f>
        <v>0</v>
      </c>
      <c r="T904" s="327">
        <v>0</v>
      </c>
      <c r="U904" s="327">
        <v>0</v>
      </c>
      <c r="V904" s="327">
        <v>0</v>
      </c>
      <c r="W904" s="341">
        <f>SUM(T904:V904)</f>
        <v>0</v>
      </c>
      <c r="X904" s="328">
        <f>W904*$Z904</f>
        <v>0</v>
      </c>
      <c r="Y904" s="328">
        <f>H904+M904+R904+W904</f>
        <v>0</v>
      </c>
      <c r="Z904" s="329">
        <f>4000/1</f>
        <v>4000</v>
      </c>
      <c r="AA904" s="330">
        <f>Y904*Z904</f>
        <v>0</v>
      </c>
    </row>
    <row r="905" spans="1:27" ht="32.1" customHeight="1">
      <c r="A905" s="352">
        <v>19</v>
      </c>
      <c r="B905" s="299"/>
      <c r="C905" s="326" t="s">
        <v>1303</v>
      </c>
      <c r="D905" s="333" t="s">
        <v>1074</v>
      </c>
      <c r="E905" s="327">
        <v>0</v>
      </c>
      <c r="F905" s="327">
        <v>0</v>
      </c>
      <c r="G905" s="327">
        <v>0</v>
      </c>
      <c r="H905" s="341">
        <f t="shared" ref="H905" si="960">SUM(E905:G905)</f>
        <v>0</v>
      </c>
      <c r="I905" s="328">
        <f t="shared" ref="I905:I924" si="961">H905*$Z905</f>
        <v>0</v>
      </c>
      <c r="J905" s="327">
        <v>1</v>
      </c>
      <c r="K905" s="327">
        <v>0</v>
      </c>
      <c r="L905" s="327">
        <v>1</v>
      </c>
      <c r="M905" s="341">
        <f t="shared" ref="M905:M909" si="962">SUM(J905:L905)</f>
        <v>2</v>
      </c>
      <c r="N905" s="328">
        <f t="shared" ref="N905:N924" si="963">M905*$Z905</f>
        <v>748.8</v>
      </c>
      <c r="O905" s="327">
        <v>0</v>
      </c>
      <c r="P905" s="327">
        <v>1</v>
      </c>
      <c r="Q905" s="327">
        <v>0</v>
      </c>
      <c r="R905" s="341">
        <f t="shared" ref="R905:R909" si="964">SUM(O905:Q905)</f>
        <v>1</v>
      </c>
      <c r="S905" s="328">
        <f t="shared" ref="S905:S924" si="965">R905*$Z905</f>
        <v>374.4</v>
      </c>
      <c r="T905" s="327">
        <v>1</v>
      </c>
      <c r="U905" s="327">
        <v>0</v>
      </c>
      <c r="V905" s="327">
        <v>1</v>
      </c>
      <c r="W905" s="341">
        <f t="shared" ref="W905:W909" si="966">SUM(T905:V905)</f>
        <v>2</v>
      </c>
      <c r="X905" s="328">
        <f t="shared" ref="X905:X924" si="967">W905*$Z905</f>
        <v>748.8</v>
      </c>
      <c r="Y905" s="328">
        <f t="shared" ref="Y905:Y921" si="968">H905+M905+R905+W905</f>
        <v>5</v>
      </c>
      <c r="Z905" s="329">
        <f>1872/Y905</f>
        <v>374.4</v>
      </c>
      <c r="AA905" s="330">
        <f t="shared" ref="AA905:AA924" si="969">Y905*Z905</f>
        <v>1872</v>
      </c>
    </row>
    <row r="906" spans="1:27" ht="32.1" customHeight="1">
      <c r="A906" s="298">
        <v>20</v>
      </c>
      <c r="B906" s="299"/>
      <c r="C906" s="326" t="s">
        <v>1304</v>
      </c>
      <c r="D906" s="333" t="s">
        <v>364</v>
      </c>
      <c r="E906" s="327">
        <v>0</v>
      </c>
      <c r="F906" s="327">
        <v>0</v>
      </c>
      <c r="G906" s="327">
        <v>0</v>
      </c>
      <c r="H906" s="341">
        <f t="shared" ref="H906:H924" si="970">SUM(E906:G906)</f>
        <v>0</v>
      </c>
      <c r="I906" s="328" t="e">
        <f t="shared" si="961"/>
        <v>#DIV/0!</v>
      </c>
      <c r="J906" s="327">
        <v>0</v>
      </c>
      <c r="K906" s="327">
        <v>0</v>
      </c>
      <c r="L906" s="327">
        <v>0</v>
      </c>
      <c r="M906" s="341">
        <f t="shared" si="962"/>
        <v>0</v>
      </c>
      <c r="N906" s="328" t="e">
        <f t="shared" si="963"/>
        <v>#DIV/0!</v>
      </c>
      <c r="O906" s="327">
        <v>0</v>
      </c>
      <c r="P906" s="327">
        <v>0</v>
      </c>
      <c r="Q906" s="327">
        <v>0</v>
      </c>
      <c r="R906" s="341">
        <f t="shared" si="964"/>
        <v>0</v>
      </c>
      <c r="S906" s="328" t="e">
        <f t="shared" si="965"/>
        <v>#DIV/0!</v>
      </c>
      <c r="T906" s="327">
        <v>0</v>
      </c>
      <c r="U906" s="327">
        <v>0</v>
      </c>
      <c r="V906" s="327">
        <v>0</v>
      </c>
      <c r="W906" s="341">
        <f t="shared" si="966"/>
        <v>0</v>
      </c>
      <c r="X906" s="328" t="e">
        <f t="shared" si="967"/>
        <v>#DIV/0!</v>
      </c>
      <c r="Y906" s="328">
        <f t="shared" si="968"/>
        <v>0</v>
      </c>
      <c r="Z906" s="329" t="e">
        <f>480/Y906</f>
        <v>#DIV/0!</v>
      </c>
      <c r="AA906" s="330" t="e">
        <f t="shared" si="969"/>
        <v>#DIV/0!</v>
      </c>
    </row>
    <row r="907" spans="1:27" ht="32.1" customHeight="1" thickBot="1">
      <c r="A907" s="353">
        <v>21</v>
      </c>
      <c r="B907" s="299"/>
      <c r="C907" s="326" t="s">
        <v>1305</v>
      </c>
      <c r="D907" s="333" t="s">
        <v>364</v>
      </c>
      <c r="E907" s="327">
        <v>0</v>
      </c>
      <c r="F907" s="327">
        <v>0</v>
      </c>
      <c r="G907" s="327">
        <v>0</v>
      </c>
      <c r="H907" s="341">
        <f t="shared" si="970"/>
        <v>0</v>
      </c>
      <c r="I907" s="328" t="e">
        <f t="shared" si="961"/>
        <v>#DIV/0!</v>
      </c>
      <c r="J907" s="327">
        <v>0</v>
      </c>
      <c r="K907" s="327">
        <v>0</v>
      </c>
      <c r="L907" s="327">
        <v>0</v>
      </c>
      <c r="M907" s="341">
        <f t="shared" si="962"/>
        <v>0</v>
      </c>
      <c r="N907" s="328" t="e">
        <f t="shared" si="963"/>
        <v>#DIV/0!</v>
      </c>
      <c r="O907" s="327">
        <v>0</v>
      </c>
      <c r="P907" s="327">
        <v>0</v>
      </c>
      <c r="Q907" s="327">
        <v>0</v>
      </c>
      <c r="R907" s="341">
        <f t="shared" si="964"/>
        <v>0</v>
      </c>
      <c r="S907" s="328" t="e">
        <f t="shared" si="965"/>
        <v>#DIV/0!</v>
      </c>
      <c r="T907" s="327">
        <v>0</v>
      </c>
      <c r="U907" s="327">
        <v>0</v>
      </c>
      <c r="V907" s="327">
        <v>0</v>
      </c>
      <c r="W907" s="341">
        <f t="shared" si="966"/>
        <v>0</v>
      </c>
      <c r="X907" s="328" t="e">
        <f t="shared" si="967"/>
        <v>#DIV/0!</v>
      </c>
      <c r="Y907" s="328">
        <f t="shared" si="968"/>
        <v>0</v>
      </c>
      <c r="Z907" s="329" t="e">
        <f>280/Y907</f>
        <v>#DIV/0!</v>
      </c>
      <c r="AA907" s="330" t="e">
        <f t="shared" si="969"/>
        <v>#DIV/0!</v>
      </c>
    </row>
    <row r="908" spans="1:27" ht="32.1" customHeight="1">
      <c r="A908" s="352">
        <v>22</v>
      </c>
      <c r="B908" s="299"/>
      <c r="C908" s="354" t="s">
        <v>1306</v>
      </c>
      <c r="D908" s="333" t="s">
        <v>364</v>
      </c>
      <c r="E908" s="327">
        <v>0</v>
      </c>
      <c r="F908" s="327">
        <v>0</v>
      </c>
      <c r="G908" s="327">
        <v>0</v>
      </c>
      <c r="H908" s="341">
        <f t="shared" si="970"/>
        <v>0</v>
      </c>
      <c r="I908" s="328">
        <f t="shared" si="961"/>
        <v>0</v>
      </c>
      <c r="J908" s="327">
        <v>5</v>
      </c>
      <c r="K908" s="327">
        <v>0</v>
      </c>
      <c r="L908" s="327">
        <v>0</v>
      </c>
      <c r="M908" s="341">
        <f t="shared" si="962"/>
        <v>5</v>
      </c>
      <c r="N908" s="328">
        <f t="shared" si="963"/>
        <v>9100</v>
      </c>
      <c r="O908" s="327">
        <v>0</v>
      </c>
      <c r="P908" s="327">
        <v>0</v>
      </c>
      <c r="Q908" s="327">
        <v>0</v>
      </c>
      <c r="R908" s="341">
        <f t="shared" si="964"/>
        <v>0</v>
      </c>
      <c r="S908" s="328">
        <f t="shared" si="965"/>
        <v>0</v>
      </c>
      <c r="T908" s="327">
        <v>0</v>
      </c>
      <c r="U908" s="327">
        <v>0</v>
      </c>
      <c r="V908" s="327">
        <v>0</v>
      </c>
      <c r="W908" s="341">
        <f t="shared" si="966"/>
        <v>0</v>
      </c>
      <c r="X908" s="328">
        <f t="shared" si="967"/>
        <v>0</v>
      </c>
      <c r="Y908" s="328">
        <f t="shared" si="968"/>
        <v>5</v>
      </c>
      <c r="Z908" s="329">
        <f>9100/Y908</f>
        <v>1820</v>
      </c>
      <c r="AA908" s="330">
        <f t="shared" si="969"/>
        <v>9100</v>
      </c>
    </row>
    <row r="909" spans="1:27" ht="32.1" customHeight="1">
      <c r="A909" s="298">
        <v>23</v>
      </c>
      <c r="B909" s="299"/>
      <c r="C909" s="354" t="s">
        <v>1307</v>
      </c>
      <c r="D909" s="333" t="s">
        <v>364</v>
      </c>
      <c r="E909" s="327">
        <v>0</v>
      </c>
      <c r="F909" s="327">
        <v>0</v>
      </c>
      <c r="G909" s="327">
        <v>0</v>
      </c>
      <c r="H909" s="341">
        <f t="shared" si="970"/>
        <v>0</v>
      </c>
      <c r="I909" s="328">
        <f t="shared" si="961"/>
        <v>0</v>
      </c>
      <c r="J909" s="327">
        <v>5</v>
      </c>
      <c r="K909" s="327">
        <v>0</v>
      </c>
      <c r="L909" s="327">
        <v>0</v>
      </c>
      <c r="M909" s="341">
        <f t="shared" si="962"/>
        <v>5</v>
      </c>
      <c r="N909" s="328">
        <f t="shared" si="963"/>
        <v>19200</v>
      </c>
      <c r="O909" s="327">
        <v>0</v>
      </c>
      <c r="P909" s="327">
        <v>0</v>
      </c>
      <c r="Q909" s="327">
        <v>0</v>
      </c>
      <c r="R909" s="341">
        <f t="shared" si="964"/>
        <v>0</v>
      </c>
      <c r="S909" s="328">
        <f t="shared" si="965"/>
        <v>0</v>
      </c>
      <c r="T909" s="327">
        <v>0</v>
      </c>
      <c r="U909" s="327">
        <v>0</v>
      </c>
      <c r="V909" s="327">
        <v>0</v>
      </c>
      <c r="W909" s="341">
        <f t="shared" si="966"/>
        <v>0</v>
      </c>
      <c r="X909" s="328">
        <f t="shared" si="967"/>
        <v>0</v>
      </c>
      <c r="Y909" s="328">
        <f t="shared" si="968"/>
        <v>5</v>
      </c>
      <c r="Z909" s="329">
        <f>19200/Y909</f>
        <v>3840</v>
      </c>
      <c r="AA909" s="330">
        <f t="shared" si="969"/>
        <v>19200</v>
      </c>
    </row>
    <row r="910" spans="1:27" ht="32.1" customHeight="1" thickBot="1">
      <c r="A910" s="353">
        <v>24</v>
      </c>
      <c r="B910" s="299"/>
      <c r="C910" s="326" t="s">
        <v>1308</v>
      </c>
      <c r="D910" s="333" t="s">
        <v>334</v>
      </c>
      <c r="E910" s="327">
        <v>0</v>
      </c>
      <c r="F910" s="327">
        <v>0</v>
      </c>
      <c r="G910" s="327">
        <v>0</v>
      </c>
      <c r="H910" s="341">
        <f t="shared" si="970"/>
        <v>0</v>
      </c>
      <c r="I910" s="328">
        <f t="shared" si="961"/>
        <v>0</v>
      </c>
      <c r="J910" s="327">
        <v>0</v>
      </c>
      <c r="K910" s="327">
        <v>0</v>
      </c>
      <c r="L910" s="327">
        <v>0</v>
      </c>
      <c r="M910" s="341">
        <f>SUM(J910:L910)</f>
        <v>0</v>
      </c>
      <c r="N910" s="328">
        <f t="shared" si="963"/>
        <v>0</v>
      </c>
      <c r="O910" s="327">
        <v>3</v>
      </c>
      <c r="P910" s="327">
        <v>0</v>
      </c>
      <c r="Q910" s="327">
        <v>0</v>
      </c>
      <c r="R910" s="341">
        <f t="shared" ref="R910:R924" si="971">SUM(O910:Q910)</f>
        <v>3</v>
      </c>
      <c r="S910" s="328">
        <f t="shared" si="965"/>
        <v>3108</v>
      </c>
      <c r="T910" s="327">
        <v>0</v>
      </c>
      <c r="U910" s="327">
        <v>0</v>
      </c>
      <c r="V910" s="327">
        <v>0</v>
      </c>
      <c r="W910" s="341">
        <f t="shared" ref="W910:W924" si="972">SUM(T910:V910)</f>
        <v>0</v>
      </c>
      <c r="X910" s="328">
        <f t="shared" si="967"/>
        <v>0</v>
      </c>
      <c r="Y910" s="328">
        <f t="shared" si="968"/>
        <v>3</v>
      </c>
      <c r="Z910" s="329">
        <f>3108/Y910</f>
        <v>1036</v>
      </c>
      <c r="AA910" s="330">
        <f t="shared" si="969"/>
        <v>3108</v>
      </c>
    </row>
    <row r="911" spans="1:27" ht="32.1" customHeight="1">
      <c r="A911" s="352">
        <v>25</v>
      </c>
      <c r="B911" s="299"/>
      <c r="C911" s="326" t="s">
        <v>1309</v>
      </c>
      <c r="D911" s="333" t="s">
        <v>334</v>
      </c>
      <c r="E911" s="327">
        <v>0</v>
      </c>
      <c r="F911" s="327">
        <v>0</v>
      </c>
      <c r="G911" s="327">
        <v>0</v>
      </c>
      <c r="H911" s="341">
        <f t="shared" si="970"/>
        <v>0</v>
      </c>
      <c r="I911" s="328">
        <f t="shared" si="961"/>
        <v>0</v>
      </c>
      <c r="J911" s="327">
        <v>0</v>
      </c>
      <c r="K911" s="327">
        <v>0</v>
      </c>
      <c r="L911" s="327">
        <v>0</v>
      </c>
      <c r="M911" s="341">
        <f t="shared" ref="M911:M917" si="973">SUM(J911:L911)</f>
        <v>0</v>
      </c>
      <c r="N911" s="328">
        <f t="shared" si="963"/>
        <v>0</v>
      </c>
      <c r="O911" s="327">
        <v>3</v>
      </c>
      <c r="P911" s="327">
        <v>0</v>
      </c>
      <c r="Q911" s="327">
        <v>0</v>
      </c>
      <c r="R911" s="341">
        <f t="shared" si="971"/>
        <v>3</v>
      </c>
      <c r="S911" s="328">
        <f t="shared" si="965"/>
        <v>3108</v>
      </c>
      <c r="T911" s="327">
        <v>0</v>
      </c>
      <c r="U911" s="327">
        <v>0</v>
      </c>
      <c r="V911" s="327">
        <v>0</v>
      </c>
      <c r="W911" s="341">
        <f t="shared" si="972"/>
        <v>0</v>
      </c>
      <c r="X911" s="328">
        <f t="shared" si="967"/>
        <v>0</v>
      </c>
      <c r="Y911" s="328">
        <f t="shared" si="968"/>
        <v>3</v>
      </c>
      <c r="Z911" s="329">
        <f>3108/Y911</f>
        <v>1036</v>
      </c>
      <c r="AA911" s="330">
        <f t="shared" si="969"/>
        <v>3108</v>
      </c>
    </row>
    <row r="912" spans="1:27" ht="32.1" customHeight="1">
      <c r="A912" s="298">
        <v>26</v>
      </c>
      <c r="B912" s="299"/>
      <c r="C912" s="326" t="s">
        <v>1310</v>
      </c>
      <c r="D912" s="333" t="s">
        <v>364</v>
      </c>
      <c r="E912" s="327">
        <v>0</v>
      </c>
      <c r="F912" s="327">
        <v>0</v>
      </c>
      <c r="G912" s="327">
        <v>0</v>
      </c>
      <c r="H912" s="341">
        <f t="shared" si="970"/>
        <v>0</v>
      </c>
      <c r="I912" s="328">
        <f t="shared" si="961"/>
        <v>0</v>
      </c>
      <c r="J912" s="327">
        <v>0</v>
      </c>
      <c r="K912" s="327">
        <v>0</v>
      </c>
      <c r="L912" s="327">
        <v>3</v>
      </c>
      <c r="M912" s="341">
        <f t="shared" si="973"/>
        <v>3</v>
      </c>
      <c r="N912" s="328">
        <f t="shared" si="963"/>
        <v>6000</v>
      </c>
      <c r="O912" s="327">
        <v>0</v>
      </c>
      <c r="P912" s="327">
        <v>0</v>
      </c>
      <c r="Q912" s="327">
        <v>0</v>
      </c>
      <c r="R912" s="341">
        <f t="shared" si="971"/>
        <v>0</v>
      </c>
      <c r="S912" s="328">
        <f t="shared" si="965"/>
        <v>0</v>
      </c>
      <c r="T912" s="327">
        <v>0</v>
      </c>
      <c r="U912" s="327">
        <v>0</v>
      </c>
      <c r="V912" s="327">
        <v>0</v>
      </c>
      <c r="W912" s="341">
        <f t="shared" si="972"/>
        <v>0</v>
      </c>
      <c r="X912" s="328">
        <f t="shared" si="967"/>
        <v>0</v>
      </c>
      <c r="Y912" s="328">
        <f t="shared" si="968"/>
        <v>3</v>
      </c>
      <c r="Z912" s="329">
        <f>6000/3</f>
        <v>2000</v>
      </c>
      <c r="AA912" s="330">
        <f t="shared" si="969"/>
        <v>6000</v>
      </c>
    </row>
    <row r="913" spans="1:27" ht="32.1" customHeight="1" thickBot="1">
      <c r="A913" s="353">
        <v>27</v>
      </c>
      <c r="B913" s="299"/>
      <c r="C913" s="326" t="s">
        <v>1311</v>
      </c>
      <c r="D913" s="333" t="s">
        <v>364</v>
      </c>
      <c r="E913" s="327">
        <v>0</v>
      </c>
      <c r="F913" s="327">
        <v>0</v>
      </c>
      <c r="G913" s="327">
        <v>0</v>
      </c>
      <c r="H913" s="341">
        <f t="shared" si="970"/>
        <v>0</v>
      </c>
      <c r="I913" s="328">
        <f t="shared" si="961"/>
        <v>0</v>
      </c>
      <c r="J913" s="327">
        <v>0</v>
      </c>
      <c r="K913" s="327">
        <v>0</v>
      </c>
      <c r="L913" s="327">
        <v>0</v>
      </c>
      <c r="M913" s="341">
        <f t="shared" si="973"/>
        <v>0</v>
      </c>
      <c r="N913" s="328">
        <f t="shared" si="963"/>
        <v>0</v>
      </c>
      <c r="O913" s="327">
        <v>0</v>
      </c>
      <c r="P913" s="327">
        <v>0</v>
      </c>
      <c r="Q913" s="327">
        <v>0</v>
      </c>
      <c r="R913" s="341">
        <f t="shared" si="971"/>
        <v>0</v>
      </c>
      <c r="S913" s="328">
        <f t="shared" si="965"/>
        <v>0</v>
      </c>
      <c r="T913" s="327">
        <v>0</v>
      </c>
      <c r="U913" s="327">
        <v>0</v>
      </c>
      <c r="V913" s="327">
        <v>0</v>
      </c>
      <c r="W913" s="341">
        <f t="shared" si="972"/>
        <v>0</v>
      </c>
      <c r="X913" s="328">
        <f t="shared" si="967"/>
        <v>0</v>
      </c>
      <c r="Y913" s="328">
        <f t="shared" si="968"/>
        <v>0</v>
      </c>
      <c r="Z913" s="329">
        <f>6000/2</f>
        <v>3000</v>
      </c>
      <c r="AA913" s="330">
        <f t="shared" si="969"/>
        <v>0</v>
      </c>
    </row>
    <row r="914" spans="1:27" ht="32.1" customHeight="1">
      <c r="A914" s="352">
        <v>28</v>
      </c>
      <c r="B914" s="299"/>
      <c r="C914" s="326" t="s">
        <v>1312</v>
      </c>
      <c r="D914" s="333" t="s">
        <v>334</v>
      </c>
      <c r="E914" s="327">
        <v>0</v>
      </c>
      <c r="F914" s="327">
        <v>0</v>
      </c>
      <c r="G914" s="327">
        <v>0</v>
      </c>
      <c r="H914" s="341">
        <f t="shared" si="970"/>
        <v>0</v>
      </c>
      <c r="I914" s="328">
        <f t="shared" si="961"/>
        <v>0</v>
      </c>
      <c r="J914" s="327">
        <v>0</v>
      </c>
      <c r="K914" s="327">
        <v>2</v>
      </c>
      <c r="L914" s="327">
        <v>0</v>
      </c>
      <c r="M914" s="341">
        <f t="shared" si="973"/>
        <v>2</v>
      </c>
      <c r="N914" s="328">
        <f t="shared" si="963"/>
        <v>360</v>
      </c>
      <c r="O914" s="327">
        <v>0</v>
      </c>
      <c r="P914" s="327">
        <v>2</v>
      </c>
      <c r="Q914" s="327">
        <v>0</v>
      </c>
      <c r="R914" s="341">
        <f t="shared" si="971"/>
        <v>2</v>
      </c>
      <c r="S914" s="328">
        <f t="shared" si="965"/>
        <v>360</v>
      </c>
      <c r="T914" s="327">
        <v>0</v>
      </c>
      <c r="U914" s="327">
        <v>2</v>
      </c>
      <c r="V914" s="327">
        <v>0</v>
      </c>
      <c r="W914" s="341">
        <f t="shared" si="972"/>
        <v>2</v>
      </c>
      <c r="X914" s="328">
        <f t="shared" si="967"/>
        <v>360</v>
      </c>
      <c r="Y914" s="328">
        <f t="shared" si="968"/>
        <v>6</v>
      </c>
      <c r="Z914" s="329">
        <f>1080/Y914</f>
        <v>180</v>
      </c>
      <c r="AA914" s="330">
        <f t="shared" si="969"/>
        <v>1080</v>
      </c>
    </row>
    <row r="915" spans="1:27" ht="32.1" customHeight="1">
      <c r="A915" s="298">
        <v>29</v>
      </c>
      <c r="B915" s="299"/>
      <c r="C915" s="326" t="s">
        <v>1313</v>
      </c>
      <c r="D915" s="333" t="s">
        <v>364</v>
      </c>
      <c r="E915" s="327">
        <v>0</v>
      </c>
      <c r="F915" s="327">
        <v>0</v>
      </c>
      <c r="G915" s="327">
        <v>0</v>
      </c>
      <c r="H915" s="341">
        <f t="shared" si="970"/>
        <v>0</v>
      </c>
      <c r="I915" s="328">
        <f t="shared" si="961"/>
        <v>0</v>
      </c>
      <c r="J915" s="327">
        <v>0</v>
      </c>
      <c r="K915" s="327">
        <v>0</v>
      </c>
      <c r="L915" s="327">
        <v>0</v>
      </c>
      <c r="M915" s="341">
        <f t="shared" si="973"/>
        <v>0</v>
      </c>
      <c r="N915" s="328">
        <f t="shared" si="963"/>
        <v>0</v>
      </c>
      <c r="O915" s="327">
        <v>0</v>
      </c>
      <c r="P915" s="327">
        <v>0</v>
      </c>
      <c r="Q915" s="327">
        <v>0</v>
      </c>
      <c r="R915" s="341">
        <f t="shared" si="971"/>
        <v>0</v>
      </c>
      <c r="S915" s="328">
        <f t="shared" si="965"/>
        <v>0</v>
      </c>
      <c r="T915" s="327">
        <v>0</v>
      </c>
      <c r="U915" s="327">
        <v>0</v>
      </c>
      <c r="V915" s="327">
        <v>0</v>
      </c>
      <c r="W915" s="341">
        <f t="shared" si="972"/>
        <v>0</v>
      </c>
      <c r="X915" s="328">
        <f t="shared" si="967"/>
        <v>0</v>
      </c>
      <c r="Y915" s="328">
        <f t="shared" si="968"/>
        <v>0</v>
      </c>
      <c r="Z915" s="329">
        <f>12000/24</f>
        <v>500</v>
      </c>
      <c r="AA915" s="330">
        <f t="shared" si="969"/>
        <v>0</v>
      </c>
    </row>
    <row r="916" spans="1:27" ht="32.1" customHeight="1" thickBot="1">
      <c r="A916" s="353">
        <v>30</v>
      </c>
      <c r="B916" s="299"/>
      <c r="C916" s="326" t="s">
        <v>1314</v>
      </c>
      <c r="D916" s="333" t="s">
        <v>364</v>
      </c>
      <c r="E916" s="327">
        <v>0</v>
      </c>
      <c r="F916" s="327">
        <v>0</v>
      </c>
      <c r="G916" s="327">
        <v>0</v>
      </c>
      <c r="H916" s="341">
        <f t="shared" si="970"/>
        <v>0</v>
      </c>
      <c r="I916" s="328">
        <f t="shared" si="961"/>
        <v>0</v>
      </c>
      <c r="J916" s="327">
        <v>0</v>
      </c>
      <c r="K916" s="327">
        <v>0</v>
      </c>
      <c r="L916" s="327">
        <v>0</v>
      </c>
      <c r="M916" s="341">
        <f t="shared" si="973"/>
        <v>0</v>
      </c>
      <c r="N916" s="328">
        <f t="shared" si="963"/>
        <v>0</v>
      </c>
      <c r="O916" s="327">
        <v>0</v>
      </c>
      <c r="P916" s="327">
        <v>0</v>
      </c>
      <c r="Q916" s="327">
        <v>0</v>
      </c>
      <c r="R916" s="341">
        <f t="shared" si="971"/>
        <v>0</v>
      </c>
      <c r="S916" s="328">
        <f t="shared" si="965"/>
        <v>0</v>
      </c>
      <c r="T916" s="327">
        <v>0</v>
      </c>
      <c r="U916" s="327">
        <v>0</v>
      </c>
      <c r="V916" s="327">
        <v>0</v>
      </c>
      <c r="W916" s="341">
        <f t="shared" si="972"/>
        <v>0</v>
      </c>
      <c r="X916" s="328">
        <f t="shared" si="967"/>
        <v>0</v>
      </c>
      <c r="Y916" s="328">
        <f t="shared" si="968"/>
        <v>0</v>
      </c>
      <c r="Z916" s="329">
        <f>57600/48</f>
        <v>1200</v>
      </c>
      <c r="AA916" s="330">
        <f t="shared" si="969"/>
        <v>0</v>
      </c>
    </row>
    <row r="917" spans="1:27" ht="32.1" customHeight="1">
      <c r="A917" s="352">
        <v>31</v>
      </c>
      <c r="B917" s="299"/>
      <c r="C917" s="326" t="s">
        <v>1315</v>
      </c>
      <c r="D917" s="333"/>
      <c r="E917" s="327">
        <v>0</v>
      </c>
      <c r="F917" s="327">
        <v>0</v>
      </c>
      <c r="G917" s="327">
        <v>0</v>
      </c>
      <c r="H917" s="341">
        <f t="shared" si="970"/>
        <v>0</v>
      </c>
      <c r="I917" s="328">
        <f t="shared" si="961"/>
        <v>0</v>
      </c>
      <c r="J917" s="327">
        <v>0</v>
      </c>
      <c r="K917" s="327">
        <v>0</v>
      </c>
      <c r="L917" s="327">
        <v>0</v>
      </c>
      <c r="M917" s="341">
        <f t="shared" si="973"/>
        <v>0</v>
      </c>
      <c r="N917" s="328">
        <f t="shared" si="963"/>
        <v>0</v>
      </c>
      <c r="O917" s="327">
        <v>0</v>
      </c>
      <c r="P917" s="327">
        <v>0</v>
      </c>
      <c r="Q917" s="327">
        <v>0</v>
      </c>
      <c r="R917" s="341">
        <f t="shared" si="971"/>
        <v>0</v>
      </c>
      <c r="S917" s="328">
        <f t="shared" si="965"/>
        <v>0</v>
      </c>
      <c r="T917" s="327">
        <v>0</v>
      </c>
      <c r="U917" s="327">
        <v>0</v>
      </c>
      <c r="V917" s="327">
        <v>0</v>
      </c>
      <c r="W917" s="341">
        <f t="shared" si="972"/>
        <v>0</v>
      </c>
      <c r="X917" s="328">
        <f t="shared" si="967"/>
        <v>0</v>
      </c>
      <c r="Y917" s="328">
        <f t="shared" si="968"/>
        <v>0</v>
      </c>
      <c r="Z917" s="329">
        <f>25000/20</f>
        <v>1250</v>
      </c>
      <c r="AA917" s="330">
        <f t="shared" si="969"/>
        <v>0</v>
      </c>
    </row>
    <row r="918" spans="1:27" ht="32.1" customHeight="1">
      <c r="A918" s="298">
        <v>32</v>
      </c>
      <c r="B918" s="299"/>
      <c r="C918" s="326" t="s">
        <v>1316</v>
      </c>
      <c r="D918" s="333" t="s">
        <v>1317</v>
      </c>
      <c r="E918" s="327">
        <v>0</v>
      </c>
      <c r="F918" s="327">
        <v>0</v>
      </c>
      <c r="G918" s="327">
        <v>0</v>
      </c>
      <c r="H918" s="341">
        <f t="shared" si="970"/>
        <v>0</v>
      </c>
      <c r="I918" s="328">
        <f t="shared" si="961"/>
        <v>0</v>
      </c>
      <c r="J918" s="327">
        <v>0</v>
      </c>
      <c r="K918" s="327">
        <v>0</v>
      </c>
      <c r="L918" s="327">
        <v>0</v>
      </c>
      <c r="M918" s="341">
        <f>SUM(J918:L918)</f>
        <v>0</v>
      </c>
      <c r="N918" s="328">
        <f t="shared" si="963"/>
        <v>0</v>
      </c>
      <c r="O918" s="327">
        <v>0</v>
      </c>
      <c r="P918" s="327">
        <v>0</v>
      </c>
      <c r="Q918" s="327">
        <v>0</v>
      </c>
      <c r="R918" s="341">
        <f t="shared" si="971"/>
        <v>0</v>
      </c>
      <c r="S918" s="328">
        <f t="shared" si="965"/>
        <v>0</v>
      </c>
      <c r="T918" s="327">
        <v>0</v>
      </c>
      <c r="U918" s="327">
        <v>0</v>
      </c>
      <c r="V918" s="327">
        <v>0</v>
      </c>
      <c r="W918" s="341">
        <f t="shared" si="972"/>
        <v>0</v>
      </c>
      <c r="X918" s="328">
        <f t="shared" si="967"/>
        <v>0</v>
      </c>
      <c r="Y918" s="328">
        <f t="shared" si="968"/>
        <v>0</v>
      </c>
      <c r="Z918" s="329">
        <f>60000/24</f>
        <v>2500</v>
      </c>
      <c r="AA918" s="330">
        <f t="shared" si="969"/>
        <v>0</v>
      </c>
    </row>
    <row r="919" spans="1:27" ht="32.1" customHeight="1" thickBot="1">
      <c r="A919" s="353">
        <v>33</v>
      </c>
      <c r="B919" s="299"/>
      <c r="C919" s="326" t="s">
        <v>1318</v>
      </c>
      <c r="D919" s="333" t="s">
        <v>364</v>
      </c>
      <c r="E919" s="327">
        <v>0</v>
      </c>
      <c r="F919" s="327">
        <v>0</v>
      </c>
      <c r="G919" s="327">
        <v>0</v>
      </c>
      <c r="H919" s="341">
        <f t="shared" si="970"/>
        <v>0</v>
      </c>
      <c r="I919" s="328">
        <f t="shared" si="961"/>
        <v>0</v>
      </c>
      <c r="J919" s="327">
        <v>0</v>
      </c>
      <c r="K919" s="327">
        <v>0</v>
      </c>
      <c r="L919" s="327">
        <v>5</v>
      </c>
      <c r="M919" s="341">
        <f t="shared" ref="M919:M924" si="974">SUM(J919:L919)</f>
        <v>5</v>
      </c>
      <c r="N919" s="328">
        <f t="shared" si="963"/>
        <v>10000</v>
      </c>
      <c r="O919" s="327">
        <v>0</v>
      </c>
      <c r="P919" s="327">
        <v>0</v>
      </c>
      <c r="Q919" s="327">
        <v>0</v>
      </c>
      <c r="R919" s="341">
        <f t="shared" si="971"/>
        <v>0</v>
      </c>
      <c r="S919" s="328">
        <f t="shared" si="965"/>
        <v>0</v>
      </c>
      <c r="T919" s="327">
        <v>0</v>
      </c>
      <c r="U919" s="327">
        <v>0</v>
      </c>
      <c r="V919" s="327">
        <v>0</v>
      </c>
      <c r="W919" s="341">
        <f t="shared" si="972"/>
        <v>0</v>
      </c>
      <c r="X919" s="328">
        <f t="shared" si="967"/>
        <v>0</v>
      </c>
      <c r="Y919" s="328">
        <f t="shared" si="968"/>
        <v>5</v>
      </c>
      <c r="Z919" s="329">
        <f>10000/5</f>
        <v>2000</v>
      </c>
      <c r="AA919" s="330">
        <f t="shared" si="969"/>
        <v>10000</v>
      </c>
    </row>
    <row r="920" spans="1:27" ht="32.1" customHeight="1">
      <c r="A920" s="352">
        <v>34</v>
      </c>
      <c r="B920" s="299"/>
      <c r="C920" s="326" t="s">
        <v>1319</v>
      </c>
      <c r="D920" s="333" t="s">
        <v>364</v>
      </c>
      <c r="E920" s="327">
        <v>0</v>
      </c>
      <c r="F920" s="327">
        <v>0</v>
      </c>
      <c r="G920" s="327">
        <v>0</v>
      </c>
      <c r="H920" s="341">
        <f t="shared" si="970"/>
        <v>0</v>
      </c>
      <c r="I920" s="328">
        <f t="shared" si="961"/>
        <v>0</v>
      </c>
      <c r="J920" s="327">
        <v>0</v>
      </c>
      <c r="K920" s="327">
        <v>0</v>
      </c>
      <c r="L920" s="327">
        <v>0</v>
      </c>
      <c r="M920" s="341">
        <f t="shared" si="974"/>
        <v>0</v>
      </c>
      <c r="N920" s="328">
        <f t="shared" si="963"/>
        <v>0</v>
      </c>
      <c r="O920" s="327">
        <v>0</v>
      </c>
      <c r="P920" s="327">
        <v>0</v>
      </c>
      <c r="Q920" s="327">
        <v>0</v>
      </c>
      <c r="R920" s="341">
        <f t="shared" si="971"/>
        <v>0</v>
      </c>
      <c r="S920" s="328">
        <f t="shared" si="965"/>
        <v>0</v>
      </c>
      <c r="T920" s="327">
        <v>0</v>
      </c>
      <c r="U920" s="327">
        <v>0</v>
      </c>
      <c r="V920" s="327">
        <v>0</v>
      </c>
      <c r="W920" s="341">
        <f t="shared" si="972"/>
        <v>0</v>
      </c>
      <c r="X920" s="328">
        <f t="shared" si="967"/>
        <v>0</v>
      </c>
      <c r="Y920" s="328">
        <f t="shared" si="968"/>
        <v>0</v>
      </c>
      <c r="Z920" s="329">
        <f>15000/150</f>
        <v>100</v>
      </c>
      <c r="AA920" s="330">
        <f t="shared" si="969"/>
        <v>0</v>
      </c>
    </row>
    <row r="921" spans="1:27" ht="32.1" customHeight="1">
      <c r="A921" s="298">
        <v>35</v>
      </c>
      <c r="B921" s="299"/>
      <c r="C921" s="326" t="s">
        <v>1320</v>
      </c>
      <c r="D921" s="333" t="s">
        <v>364</v>
      </c>
      <c r="E921" s="327">
        <v>0</v>
      </c>
      <c r="F921" s="327">
        <v>0</v>
      </c>
      <c r="G921" s="327">
        <v>0</v>
      </c>
      <c r="H921" s="341">
        <f t="shared" si="970"/>
        <v>0</v>
      </c>
      <c r="I921" s="328">
        <f t="shared" si="961"/>
        <v>0</v>
      </c>
      <c r="J921" s="327">
        <v>0</v>
      </c>
      <c r="K921" s="327">
        <v>0</v>
      </c>
      <c r="L921" s="327">
        <v>0</v>
      </c>
      <c r="M921" s="341">
        <f t="shared" si="974"/>
        <v>0</v>
      </c>
      <c r="N921" s="328">
        <f t="shared" si="963"/>
        <v>0</v>
      </c>
      <c r="O921" s="327">
        <v>0</v>
      </c>
      <c r="P921" s="327">
        <v>0</v>
      </c>
      <c r="Q921" s="327">
        <v>0</v>
      </c>
      <c r="R921" s="341">
        <f t="shared" si="971"/>
        <v>0</v>
      </c>
      <c r="S921" s="328">
        <f t="shared" si="965"/>
        <v>0</v>
      </c>
      <c r="T921" s="327">
        <v>0</v>
      </c>
      <c r="U921" s="327">
        <v>0</v>
      </c>
      <c r="V921" s="327">
        <v>0</v>
      </c>
      <c r="W921" s="341">
        <f t="shared" si="972"/>
        <v>0</v>
      </c>
      <c r="X921" s="328">
        <f t="shared" si="967"/>
        <v>0</v>
      </c>
      <c r="Y921" s="328">
        <f t="shared" si="968"/>
        <v>0</v>
      </c>
      <c r="Z921" s="329">
        <f>6000/400</f>
        <v>15</v>
      </c>
      <c r="AA921" s="330">
        <f t="shared" si="969"/>
        <v>0</v>
      </c>
    </row>
    <row r="922" spans="1:27" ht="32.1" customHeight="1" thickBot="1">
      <c r="A922" s="353">
        <v>36</v>
      </c>
      <c r="B922" s="299"/>
      <c r="C922" s="326" t="s">
        <v>1321</v>
      </c>
      <c r="D922" s="333" t="s">
        <v>364</v>
      </c>
      <c r="E922" s="327">
        <v>0</v>
      </c>
      <c r="F922" s="327">
        <v>0</v>
      </c>
      <c r="G922" s="327">
        <v>0</v>
      </c>
      <c r="H922" s="341">
        <f t="shared" si="970"/>
        <v>0</v>
      </c>
      <c r="I922" s="328">
        <f t="shared" si="961"/>
        <v>0</v>
      </c>
      <c r="J922" s="327">
        <v>0</v>
      </c>
      <c r="K922" s="327">
        <v>0</v>
      </c>
      <c r="L922" s="327">
        <v>2</v>
      </c>
      <c r="M922" s="341">
        <f t="shared" si="974"/>
        <v>2</v>
      </c>
      <c r="N922" s="328">
        <f t="shared" si="963"/>
        <v>1600</v>
      </c>
      <c r="O922" s="327">
        <v>0</v>
      </c>
      <c r="P922" s="327">
        <v>0</v>
      </c>
      <c r="Q922" s="327">
        <v>0</v>
      </c>
      <c r="R922" s="341">
        <f t="shared" si="971"/>
        <v>0</v>
      </c>
      <c r="S922" s="328">
        <f t="shared" si="965"/>
        <v>0</v>
      </c>
      <c r="T922" s="327">
        <v>0</v>
      </c>
      <c r="U922" s="327">
        <v>0</v>
      </c>
      <c r="V922" s="327">
        <v>0</v>
      </c>
      <c r="W922" s="341">
        <f t="shared" si="972"/>
        <v>0</v>
      </c>
      <c r="X922" s="328">
        <f t="shared" si="967"/>
        <v>0</v>
      </c>
      <c r="Y922" s="328">
        <f>H922+M922+R922+W922</f>
        <v>2</v>
      </c>
      <c r="Z922" s="329">
        <f>1600/Y922</f>
        <v>800</v>
      </c>
      <c r="AA922" s="330">
        <f t="shared" si="969"/>
        <v>1600</v>
      </c>
    </row>
    <row r="923" spans="1:27" ht="32.1" customHeight="1">
      <c r="A923" s="352">
        <v>37</v>
      </c>
      <c r="B923" s="299"/>
      <c r="C923" s="326" t="s">
        <v>1321</v>
      </c>
      <c r="D923" s="333" t="s">
        <v>364</v>
      </c>
      <c r="E923" s="327">
        <v>0</v>
      </c>
      <c r="F923" s="327">
        <v>0</v>
      </c>
      <c r="G923" s="327">
        <v>0</v>
      </c>
      <c r="H923" s="341">
        <f t="shared" si="970"/>
        <v>0</v>
      </c>
      <c r="I923" s="328">
        <f t="shared" si="961"/>
        <v>0</v>
      </c>
      <c r="J923" s="327">
        <v>0</v>
      </c>
      <c r="K923" s="327">
        <v>0</v>
      </c>
      <c r="L923" s="327">
        <v>6</v>
      </c>
      <c r="M923" s="341">
        <f t="shared" si="974"/>
        <v>6</v>
      </c>
      <c r="N923" s="328">
        <f t="shared" si="963"/>
        <v>4800</v>
      </c>
      <c r="O923" s="327">
        <v>0</v>
      </c>
      <c r="P923" s="327">
        <v>0</v>
      </c>
      <c r="Q923" s="327">
        <v>0</v>
      </c>
      <c r="R923" s="341">
        <f t="shared" si="971"/>
        <v>0</v>
      </c>
      <c r="S923" s="328">
        <f t="shared" si="965"/>
        <v>0</v>
      </c>
      <c r="T923" s="327">
        <v>0</v>
      </c>
      <c r="U923" s="327">
        <v>0</v>
      </c>
      <c r="V923" s="327">
        <v>0</v>
      </c>
      <c r="W923" s="341">
        <f t="shared" si="972"/>
        <v>0</v>
      </c>
      <c r="X923" s="328">
        <f t="shared" si="967"/>
        <v>0</v>
      </c>
      <c r="Y923" s="328">
        <f t="shared" ref="Y923:Y924" si="975">H923+M923+R923+W923</f>
        <v>6</v>
      </c>
      <c r="Z923" s="329">
        <f>4800/6</f>
        <v>800</v>
      </c>
      <c r="AA923" s="330">
        <f t="shared" si="969"/>
        <v>4800</v>
      </c>
    </row>
    <row r="924" spans="1:27" ht="32.1" customHeight="1">
      <c r="A924" s="298">
        <v>38</v>
      </c>
      <c r="B924" s="299"/>
      <c r="C924" s="326" t="s">
        <v>1286</v>
      </c>
      <c r="D924" s="333" t="s">
        <v>364</v>
      </c>
      <c r="E924" s="327">
        <v>0</v>
      </c>
      <c r="F924" s="327">
        <v>0</v>
      </c>
      <c r="G924" s="327">
        <v>0</v>
      </c>
      <c r="H924" s="341">
        <f t="shared" si="970"/>
        <v>0</v>
      </c>
      <c r="I924" s="328">
        <f t="shared" si="961"/>
        <v>0</v>
      </c>
      <c r="J924" s="327">
        <v>0</v>
      </c>
      <c r="K924" s="327">
        <v>0</v>
      </c>
      <c r="L924" s="327">
        <v>1</v>
      </c>
      <c r="M924" s="341">
        <f t="shared" si="974"/>
        <v>1</v>
      </c>
      <c r="N924" s="328">
        <f t="shared" si="963"/>
        <v>1500</v>
      </c>
      <c r="O924" s="327">
        <v>0</v>
      </c>
      <c r="P924" s="327">
        <v>0</v>
      </c>
      <c r="Q924" s="327">
        <v>0</v>
      </c>
      <c r="R924" s="341">
        <f t="shared" si="971"/>
        <v>0</v>
      </c>
      <c r="S924" s="328">
        <f t="shared" si="965"/>
        <v>0</v>
      </c>
      <c r="T924" s="327">
        <v>0</v>
      </c>
      <c r="U924" s="327">
        <v>0</v>
      </c>
      <c r="V924" s="327">
        <v>0</v>
      </c>
      <c r="W924" s="341">
        <f t="shared" si="972"/>
        <v>0</v>
      </c>
      <c r="X924" s="328">
        <f t="shared" si="967"/>
        <v>0</v>
      </c>
      <c r="Y924" s="328">
        <f t="shared" si="975"/>
        <v>1</v>
      </c>
      <c r="Z924" s="329">
        <f>1500/Y924</f>
        <v>1500</v>
      </c>
      <c r="AA924" s="330">
        <f t="shared" si="969"/>
        <v>1500</v>
      </c>
    </row>
    <row r="925" spans="1:27" ht="32.1" customHeight="1" thickBot="1">
      <c r="A925" s="353">
        <v>39</v>
      </c>
      <c r="B925" s="299"/>
      <c r="C925" s="326"/>
      <c r="D925" s="333"/>
      <c r="E925" s="327"/>
      <c r="F925" s="327"/>
      <c r="G925" s="327"/>
      <c r="H925" s="341"/>
      <c r="I925" s="328"/>
      <c r="J925" s="327"/>
      <c r="K925" s="327"/>
      <c r="L925" s="327"/>
      <c r="M925" s="341"/>
      <c r="N925" s="328"/>
      <c r="O925" s="327"/>
      <c r="P925" s="327"/>
      <c r="Q925" s="327"/>
      <c r="R925" s="341"/>
      <c r="S925" s="328"/>
      <c r="T925" s="327"/>
      <c r="U925" s="327"/>
      <c r="V925" s="327"/>
      <c r="W925" s="341"/>
      <c r="X925" s="328"/>
      <c r="Y925" s="328"/>
      <c r="Z925" s="329"/>
      <c r="AA925" s="330"/>
    </row>
    <row r="926" spans="1:27" ht="32.1" customHeight="1">
      <c r="A926" s="352">
        <v>40</v>
      </c>
      <c r="B926" s="299"/>
      <c r="C926" s="326"/>
      <c r="D926" s="333"/>
      <c r="E926" s="327"/>
      <c r="F926" s="327"/>
      <c r="G926" s="327"/>
      <c r="H926" s="341"/>
      <c r="I926" s="328"/>
      <c r="J926" s="327"/>
      <c r="K926" s="327"/>
      <c r="L926" s="327"/>
      <c r="M926" s="341"/>
      <c r="N926" s="328"/>
      <c r="O926" s="327"/>
      <c r="P926" s="327"/>
      <c r="Q926" s="327"/>
      <c r="R926" s="341"/>
      <c r="S926" s="328"/>
      <c r="T926" s="327"/>
      <c r="U926" s="327"/>
      <c r="V926" s="327"/>
      <c r="W926" s="341"/>
      <c r="X926" s="328"/>
      <c r="Y926" s="328"/>
      <c r="Z926" s="329"/>
      <c r="AA926" s="330"/>
    </row>
    <row r="927" spans="1:27" ht="32.1" customHeight="1">
      <c r="A927" s="298">
        <v>41</v>
      </c>
      <c r="B927" s="299"/>
      <c r="C927" s="326"/>
      <c r="D927" s="333"/>
      <c r="E927" s="327"/>
      <c r="F927" s="327"/>
      <c r="G927" s="327"/>
      <c r="H927" s="341"/>
      <c r="I927" s="328"/>
      <c r="J927" s="327"/>
      <c r="K927" s="327"/>
      <c r="L927" s="327"/>
      <c r="M927" s="341"/>
      <c r="N927" s="328"/>
      <c r="O927" s="327"/>
      <c r="P927" s="327"/>
      <c r="Q927" s="327"/>
      <c r="R927" s="341"/>
      <c r="S927" s="328"/>
      <c r="T927" s="327"/>
      <c r="U927" s="327"/>
      <c r="V927" s="327"/>
      <c r="W927" s="341"/>
      <c r="X927" s="328"/>
      <c r="Y927" s="328"/>
      <c r="Z927" s="329"/>
      <c r="AA927" s="330"/>
    </row>
    <row r="928" spans="1:27" ht="32.1" customHeight="1" thickBot="1">
      <c r="A928" s="353">
        <v>42</v>
      </c>
      <c r="B928" s="299"/>
      <c r="C928" s="326"/>
      <c r="D928" s="333"/>
      <c r="E928" s="327"/>
      <c r="F928" s="327"/>
      <c r="G928" s="327"/>
      <c r="H928" s="341"/>
      <c r="I928" s="328"/>
      <c r="J928" s="327"/>
      <c r="K928" s="327"/>
      <c r="L928" s="327"/>
      <c r="M928" s="341"/>
      <c r="N928" s="328"/>
      <c r="O928" s="327"/>
      <c r="P928" s="327"/>
      <c r="Q928" s="327"/>
      <c r="R928" s="341"/>
      <c r="S928" s="328"/>
      <c r="T928" s="327"/>
      <c r="U928" s="327"/>
      <c r="V928" s="327"/>
      <c r="W928" s="341"/>
      <c r="X928" s="328"/>
      <c r="Y928" s="328"/>
      <c r="Z928" s="329"/>
      <c r="AA928" s="330"/>
    </row>
    <row r="929" spans="1:27" ht="32.1" customHeight="1">
      <c r="A929" s="352">
        <v>43</v>
      </c>
      <c r="B929" s="299"/>
      <c r="C929" s="326"/>
      <c r="D929" s="333"/>
      <c r="E929" s="327"/>
      <c r="F929" s="327"/>
      <c r="G929" s="327"/>
      <c r="H929" s="341"/>
      <c r="I929" s="328"/>
      <c r="J929" s="327"/>
      <c r="K929" s="327"/>
      <c r="L929" s="327"/>
      <c r="M929" s="341"/>
      <c r="N929" s="328"/>
      <c r="O929" s="327"/>
      <c r="P929" s="327"/>
      <c r="Q929" s="327"/>
      <c r="R929" s="341"/>
      <c r="S929" s="328"/>
      <c r="T929" s="327"/>
      <c r="U929" s="327"/>
      <c r="V929" s="327"/>
      <c r="W929" s="341"/>
      <c r="X929" s="328"/>
      <c r="Y929" s="328"/>
      <c r="Z929" s="329"/>
      <c r="AA929" s="330"/>
    </row>
    <row r="930" spans="1:27" ht="32.1" customHeight="1">
      <c r="A930" s="298">
        <v>44</v>
      </c>
      <c r="B930" s="299"/>
      <c r="C930" s="326"/>
      <c r="D930" s="333"/>
      <c r="E930" s="327"/>
      <c r="F930" s="327"/>
      <c r="G930" s="327"/>
      <c r="H930" s="341"/>
      <c r="I930" s="328"/>
      <c r="J930" s="327"/>
      <c r="K930" s="327"/>
      <c r="L930" s="327"/>
      <c r="M930" s="341"/>
      <c r="N930" s="328"/>
      <c r="O930" s="327"/>
      <c r="P930" s="327"/>
      <c r="Q930" s="327"/>
      <c r="R930" s="341"/>
      <c r="S930" s="328"/>
      <c r="T930" s="327"/>
      <c r="U930" s="327"/>
      <c r="V930" s="327"/>
      <c r="W930" s="341"/>
      <c r="X930" s="328"/>
      <c r="Y930" s="328"/>
      <c r="Z930" s="329"/>
      <c r="AA930" s="330"/>
    </row>
    <row r="931" spans="1:27" ht="32.1" customHeight="1" thickBot="1">
      <c r="A931" s="353">
        <v>45</v>
      </c>
      <c r="B931" s="299"/>
      <c r="C931" s="326"/>
      <c r="D931" s="333"/>
      <c r="E931" s="327"/>
      <c r="F931" s="327"/>
      <c r="G931" s="327"/>
      <c r="H931" s="341"/>
      <c r="I931" s="328"/>
      <c r="J931" s="327"/>
      <c r="K931" s="327"/>
      <c r="L931" s="327"/>
      <c r="M931" s="341"/>
      <c r="N931" s="328"/>
      <c r="O931" s="327"/>
      <c r="P931" s="327"/>
      <c r="Q931" s="327"/>
      <c r="R931" s="341"/>
      <c r="S931" s="328"/>
      <c r="T931" s="327"/>
      <c r="U931" s="327"/>
      <c r="V931" s="327"/>
      <c r="W931" s="341"/>
      <c r="X931" s="328"/>
      <c r="Y931" s="328"/>
      <c r="Z931" s="329"/>
      <c r="AA931" s="330"/>
    </row>
    <row r="932" spans="1:27" ht="32.1" customHeight="1">
      <c r="A932" s="352">
        <v>46</v>
      </c>
      <c r="B932" s="299"/>
      <c r="C932" s="326"/>
      <c r="D932" s="333"/>
      <c r="E932" s="327"/>
      <c r="F932" s="327"/>
      <c r="G932" s="327"/>
      <c r="H932" s="341"/>
      <c r="I932" s="328"/>
      <c r="J932" s="327"/>
      <c r="K932" s="327"/>
      <c r="L932" s="327"/>
      <c r="M932" s="341"/>
      <c r="N932" s="328"/>
      <c r="O932" s="327"/>
      <c r="P932" s="327"/>
      <c r="Q932" s="327"/>
      <c r="R932" s="341"/>
      <c r="S932" s="328"/>
      <c r="T932" s="327"/>
      <c r="U932" s="327"/>
      <c r="V932" s="327"/>
      <c r="W932" s="341"/>
      <c r="X932" s="328"/>
      <c r="Y932" s="328"/>
      <c r="Z932" s="329"/>
      <c r="AA932" s="330"/>
    </row>
    <row r="933" spans="1:27" ht="32.1" customHeight="1">
      <c r="A933" s="298">
        <v>47</v>
      </c>
      <c r="B933" s="299"/>
      <c r="C933" s="347"/>
      <c r="D933" s="333"/>
      <c r="E933" s="327"/>
      <c r="F933" s="327"/>
      <c r="G933" s="327"/>
      <c r="H933" s="341"/>
      <c r="I933" s="328"/>
      <c r="J933" s="327"/>
      <c r="K933" s="327"/>
      <c r="L933" s="327"/>
      <c r="M933" s="341"/>
      <c r="N933" s="328"/>
      <c r="O933" s="327"/>
      <c r="P933" s="327"/>
      <c r="Q933" s="327"/>
      <c r="R933" s="341"/>
      <c r="S933" s="328"/>
      <c r="T933" s="327"/>
      <c r="U933" s="327"/>
      <c r="V933" s="327"/>
      <c r="W933" s="341"/>
      <c r="X933" s="328"/>
      <c r="Y933" s="328"/>
      <c r="Z933" s="329"/>
      <c r="AA933" s="330"/>
    </row>
    <row r="934" spans="1:27" ht="32.1" customHeight="1" thickBot="1">
      <c r="A934" s="353">
        <v>48</v>
      </c>
      <c r="B934" s="299"/>
      <c r="C934" s="326"/>
      <c r="D934" s="333"/>
      <c r="E934" s="327"/>
      <c r="F934" s="327"/>
      <c r="G934" s="327"/>
      <c r="H934" s="341"/>
      <c r="I934" s="328"/>
      <c r="J934" s="327"/>
      <c r="K934" s="327"/>
      <c r="L934" s="327"/>
      <c r="M934" s="341"/>
      <c r="N934" s="328"/>
      <c r="O934" s="327"/>
      <c r="P934" s="327"/>
      <c r="Q934" s="327"/>
      <c r="R934" s="341"/>
      <c r="S934" s="328"/>
      <c r="T934" s="327"/>
      <c r="U934" s="327"/>
      <c r="V934" s="327"/>
      <c r="W934" s="341"/>
      <c r="X934" s="328"/>
      <c r="Y934" s="328"/>
      <c r="Z934" s="329"/>
      <c r="AA934" s="330"/>
    </row>
    <row r="935" spans="1:27" ht="32.1" customHeight="1">
      <c r="A935" s="352">
        <v>49</v>
      </c>
      <c r="B935" s="299"/>
      <c r="C935" s="326"/>
      <c r="D935" s="333"/>
      <c r="E935" s="327"/>
      <c r="F935" s="327"/>
      <c r="G935" s="327"/>
      <c r="H935" s="341"/>
      <c r="I935" s="328"/>
      <c r="J935" s="327"/>
      <c r="K935" s="327"/>
      <c r="L935" s="327"/>
      <c r="M935" s="341"/>
      <c r="N935" s="328"/>
      <c r="O935" s="327"/>
      <c r="P935" s="327"/>
      <c r="Q935" s="327"/>
      <c r="R935" s="341"/>
      <c r="S935" s="328"/>
      <c r="T935" s="327"/>
      <c r="U935" s="327"/>
      <c r="V935" s="327"/>
      <c r="W935" s="341"/>
      <c r="X935" s="328"/>
      <c r="Y935" s="328"/>
      <c r="Z935" s="329"/>
      <c r="AA935" s="330"/>
    </row>
    <row r="936" spans="1:27" ht="32.1" customHeight="1">
      <c r="A936" s="298">
        <v>50</v>
      </c>
      <c r="B936" s="299"/>
      <c r="C936" s="354"/>
      <c r="D936" s="333"/>
      <c r="E936" s="327"/>
      <c r="F936" s="327"/>
      <c r="G936" s="327"/>
      <c r="H936" s="341"/>
      <c r="I936" s="328"/>
      <c r="J936" s="327"/>
      <c r="K936" s="327"/>
      <c r="L936" s="327"/>
      <c r="M936" s="341"/>
      <c r="N936" s="328"/>
      <c r="O936" s="327"/>
      <c r="P936" s="327"/>
      <c r="Q936" s="327"/>
      <c r="R936" s="341"/>
      <c r="S936" s="328"/>
      <c r="T936" s="327"/>
      <c r="U936" s="327"/>
      <c r="V936" s="327"/>
      <c r="W936" s="341"/>
      <c r="X936" s="328"/>
      <c r="Y936" s="328"/>
      <c r="Z936" s="329"/>
      <c r="AA936" s="330"/>
    </row>
    <row r="937" spans="1:27" ht="32.1" customHeight="1" thickBot="1">
      <c r="A937" s="353">
        <v>51</v>
      </c>
      <c r="B937" s="299"/>
      <c r="C937" s="326"/>
      <c r="D937" s="333"/>
      <c r="E937" s="327"/>
      <c r="F937" s="327"/>
      <c r="G937" s="327"/>
      <c r="H937" s="341"/>
      <c r="I937" s="328"/>
      <c r="J937" s="327"/>
      <c r="K937" s="327"/>
      <c r="L937" s="327"/>
      <c r="M937" s="341"/>
      <c r="N937" s="328"/>
      <c r="O937" s="327"/>
      <c r="P937" s="327"/>
      <c r="Q937" s="327"/>
      <c r="R937" s="341"/>
      <c r="S937" s="328"/>
      <c r="T937" s="327"/>
      <c r="U937" s="327"/>
      <c r="V937" s="327"/>
      <c r="W937" s="341"/>
      <c r="X937" s="328"/>
      <c r="Y937" s="328"/>
      <c r="Z937" s="329"/>
      <c r="AA937" s="330"/>
    </row>
    <row r="938" spans="1:27" ht="32.1" customHeight="1">
      <c r="A938" s="352">
        <v>52</v>
      </c>
      <c r="B938" s="299"/>
      <c r="C938" s="326"/>
      <c r="D938" s="333"/>
      <c r="E938" s="327"/>
      <c r="F938" s="327"/>
      <c r="G938" s="327"/>
      <c r="H938" s="341"/>
      <c r="I938" s="328"/>
      <c r="J938" s="327"/>
      <c r="K938" s="327"/>
      <c r="L938" s="327"/>
      <c r="M938" s="341"/>
      <c r="N938" s="328"/>
      <c r="O938" s="327"/>
      <c r="P938" s="327"/>
      <c r="Q938" s="327"/>
      <c r="R938" s="341"/>
      <c r="S938" s="328"/>
      <c r="T938" s="327"/>
      <c r="U938" s="327"/>
      <c r="V938" s="327"/>
      <c r="W938" s="341"/>
      <c r="X938" s="328"/>
      <c r="Y938" s="328"/>
      <c r="Z938" s="329"/>
      <c r="AA938" s="330"/>
    </row>
    <row r="939" spans="1:27" ht="32.1" customHeight="1">
      <c r="A939" s="298">
        <v>53</v>
      </c>
      <c r="B939" s="299"/>
      <c r="C939" s="326"/>
      <c r="D939" s="333"/>
      <c r="E939" s="327"/>
      <c r="F939" s="327"/>
      <c r="G939" s="327"/>
      <c r="H939" s="341"/>
      <c r="I939" s="328"/>
      <c r="J939" s="327"/>
      <c r="K939" s="327"/>
      <c r="L939" s="327"/>
      <c r="M939" s="341"/>
      <c r="N939" s="328"/>
      <c r="O939" s="327"/>
      <c r="P939" s="327"/>
      <c r="Q939" s="327"/>
      <c r="R939" s="341"/>
      <c r="S939" s="328"/>
      <c r="T939" s="327"/>
      <c r="U939" s="327"/>
      <c r="V939" s="327"/>
      <c r="W939" s="341"/>
      <c r="X939" s="328"/>
      <c r="Y939" s="328"/>
      <c r="Z939" s="329"/>
      <c r="AA939" s="330"/>
    </row>
    <row r="940" spans="1:27" ht="32.1" customHeight="1">
      <c r="A940" s="298"/>
      <c r="B940" s="299"/>
      <c r="C940" s="299"/>
      <c r="D940" s="300"/>
      <c r="E940" s="334"/>
      <c r="F940" s="334"/>
      <c r="G940" s="334"/>
      <c r="H940" s="335"/>
      <c r="I940" s="301"/>
      <c r="J940" s="334"/>
      <c r="K940" s="334"/>
      <c r="L940" s="334"/>
      <c r="M940" s="335"/>
      <c r="N940" s="301"/>
      <c r="O940" s="334"/>
      <c r="P940" s="334"/>
      <c r="Q940" s="334"/>
      <c r="R940" s="335"/>
      <c r="S940" s="301"/>
      <c r="T940" s="334"/>
      <c r="U940" s="334"/>
      <c r="V940" s="334"/>
      <c r="W940" s="335"/>
      <c r="X940" s="301"/>
      <c r="Y940" s="301"/>
      <c r="Z940" s="274"/>
      <c r="AA940" s="346"/>
    </row>
    <row r="941" spans="1:27" ht="32.1" customHeight="1">
      <c r="A941" s="298"/>
      <c r="B941" s="299"/>
      <c r="C941" s="299"/>
      <c r="D941" s="300"/>
      <c r="E941" s="334"/>
      <c r="F941" s="334"/>
      <c r="G941" s="334"/>
      <c r="H941" s="335"/>
      <c r="I941" s="301"/>
      <c r="J941" s="334"/>
      <c r="K941" s="334"/>
      <c r="L941" s="334"/>
      <c r="M941" s="335"/>
      <c r="N941" s="301"/>
      <c r="O941" s="334"/>
      <c r="P941" s="334"/>
      <c r="Q941" s="334"/>
      <c r="R941" s="335"/>
      <c r="S941" s="301"/>
      <c r="T941" s="334"/>
      <c r="U941" s="334"/>
      <c r="V941" s="334"/>
      <c r="W941" s="335"/>
      <c r="X941" s="301"/>
      <c r="Y941" s="301"/>
      <c r="Z941" s="274"/>
      <c r="AA941" s="346"/>
    </row>
    <row r="942" spans="1:27" ht="32.1" customHeight="1">
      <c r="A942" s="298"/>
      <c r="B942" s="299"/>
      <c r="C942" s="299"/>
      <c r="D942" s="300"/>
      <c r="E942" s="334"/>
      <c r="F942" s="334"/>
      <c r="G942" s="334"/>
      <c r="H942" s="335"/>
      <c r="I942" s="301"/>
      <c r="J942" s="334"/>
      <c r="K942" s="334"/>
      <c r="L942" s="334"/>
      <c r="M942" s="335"/>
      <c r="N942" s="301"/>
      <c r="O942" s="334"/>
      <c r="P942" s="334"/>
      <c r="Q942" s="334"/>
      <c r="R942" s="335"/>
      <c r="S942" s="301"/>
      <c r="T942" s="334"/>
      <c r="U942" s="334"/>
      <c r="V942" s="334"/>
      <c r="W942" s="335"/>
      <c r="X942" s="301"/>
      <c r="Y942" s="301"/>
      <c r="Z942" s="274"/>
      <c r="AA942" s="346"/>
    </row>
    <row r="943" spans="1:27" ht="32.1" customHeight="1">
      <c r="A943" s="353"/>
      <c r="B943" s="299"/>
      <c r="C943" s="299"/>
      <c r="D943" s="300"/>
      <c r="E943" s="334"/>
      <c r="F943" s="334"/>
      <c r="G943" s="334"/>
      <c r="H943" s="335"/>
      <c r="I943" s="301"/>
      <c r="J943" s="334"/>
      <c r="K943" s="334"/>
      <c r="L943" s="334"/>
      <c r="M943" s="335"/>
      <c r="N943" s="301"/>
      <c r="O943" s="334"/>
      <c r="P943" s="334"/>
      <c r="Q943" s="334"/>
      <c r="R943" s="335"/>
      <c r="S943" s="301"/>
      <c r="T943" s="334"/>
      <c r="U943" s="334"/>
      <c r="V943" s="334"/>
      <c r="W943" s="335"/>
      <c r="X943" s="301"/>
      <c r="Y943" s="301"/>
      <c r="Z943" s="274"/>
      <c r="AA943" s="346"/>
    </row>
    <row r="944" spans="1:27" ht="32.1" customHeight="1" thickBot="1">
      <c r="A944" s="355"/>
      <c r="B944" s="304"/>
      <c r="C944" s="304"/>
      <c r="D944" s="305"/>
      <c r="E944" s="356"/>
      <c r="F944" s="356"/>
      <c r="G944" s="356"/>
      <c r="H944" s="357"/>
      <c r="I944" s="306"/>
      <c r="J944" s="356"/>
      <c r="K944" s="356"/>
      <c r="L944" s="356"/>
      <c r="M944" s="357"/>
      <c r="N944" s="306"/>
      <c r="O944" s="356"/>
      <c r="P944" s="356"/>
      <c r="Q944" s="356"/>
      <c r="R944" s="357"/>
      <c r="S944" s="306"/>
      <c r="T944" s="356"/>
      <c r="U944" s="356"/>
      <c r="V944" s="356"/>
      <c r="W944" s="357"/>
      <c r="X944" s="306"/>
      <c r="Y944" s="306"/>
      <c r="Z944" s="285"/>
      <c r="AA944" s="307"/>
    </row>
    <row r="945" spans="1:28" ht="32.1" customHeight="1" thickBot="1">
      <c r="A945" s="358"/>
      <c r="B945" s="359"/>
      <c r="C945" s="360"/>
      <c r="D945" s="361"/>
      <c r="E945" s="361"/>
      <c r="F945" s="361"/>
      <c r="G945" s="361"/>
      <c r="H945" s="362"/>
      <c r="I945" s="363"/>
      <c r="J945" s="361"/>
      <c r="K945" s="361"/>
      <c r="L945" s="361"/>
      <c r="M945" s="362"/>
      <c r="N945" s="363"/>
      <c r="O945" s="361"/>
      <c r="P945" s="361"/>
      <c r="Q945" s="361"/>
      <c r="R945" s="362"/>
      <c r="S945" s="363"/>
      <c r="T945" s="361"/>
      <c r="U945" s="361"/>
      <c r="V945" s="361"/>
      <c r="W945" s="362"/>
      <c r="X945" s="363"/>
      <c r="Y945" s="363"/>
      <c r="Z945" s="364"/>
      <c r="AA945" s="365"/>
    </row>
    <row r="946" spans="1:28" ht="32.1" customHeight="1" thickBot="1">
      <c r="A946" s="769" t="s">
        <v>1322</v>
      </c>
      <c r="B946" s="770"/>
      <c r="C946" s="771"/>
      <c r="D946" s="366"/>
      <c r="E946" s="203"/>
      <c r="F946" s="203"/>
      <c r="G946" s="203"/>
      <c r="H946" s="203"/>
      <c r="I946" s="204"/>
      <c r="J946" s="203"/>
      <c r="K946" s="203"/>
      <c r="L946" s="203"/>
      <c r="M946" s="203"/>
      <c r="N946" s="204"/>
      <c r="O946" s="203"/>
      <c r="P946" s="203"/>
      <c r="Q946" s="203"/>
      <c r="R946" s="203"/>
      <c r="S946" s="204"/>
      <c r="T946" s="203"/>
      <c r="U946" s="203"/>
      <c r="V946" s="203"/>
      <c r="W946" s="203"/>
      <c r="X946" s="204"/>
      <c r="Y946" s="735" t="e">
        <f>SUM(AA34:AA944)</f>
        <v>#DIV/0!</v>
      </c>
      <c r="Z946" s="736"/>
      <c r="AA946" s="737"/>
    </row>
    <row r="947" spans="1:28" ht="32.1" customHeight="1" thickBot="1">
      <c r="A947" s="732" t="s">
        <v>1323</v>
      </c>
      <c r="B947" s="733"/>
      <c r="C947" s="734"/>
      <c r="D947" s="367"/>
      <c r="E947" s="162"/>
      <c r="F947" s="162"/>
      <c r="G947" s="162"/>
      <c r="H947" s="162"/>
      <c r="I947" s="163"/>
      <c r="J947" s="162"/>
      <c r="K947" s="162"/>
      <c r="L947" s="162"/>
      <c r="M947" s="162"/>
      <c r="N947" s="163"/>
      <c r="O947" s="162"/>
      <c r="P947" s="162"/>
      <c r="Q947" s="162"/>
      <c r="R947" s="162"/>
      <c r="S947" s="163"/>
      <c r="T947" s="162"/>
      <c r="U947" s="162"/>
      <c r="V947" s="162"/>
      <c r="W947" s="162"/>
      <c r="X947" s="163"/>
      <c r="Y947" s="735" t="e">
        <f>Y946*0.1</f>
        <v>#DIV/0!</v>
      </c>
      <c r="Z947" s="736"/>
      <c r="AA947" s="737"/>
    </row>
    <row r="948" spans="1:28" ht="32.1" customHeight="1" thickBot="1">
      <c r="A948" s="732" t="s">
        <v>1324</v>
      </c>
      <c r="B948" s="733"/>
      <c r="C948" s="734"/>
      <c r="D948" s="367"/>
      <c r="E948" s="162"/>
      <c r="F948" s="162"/>
      <c r="G948" s="162"/>
      <c r="H948" s="162"/>
      <c r="I948" s="163"/>
      <c r="J948" s="162"/>
      <c r="K948" s="162"/>
      <c r="L948" s="162"/>
      <c r="M948" s="162"/>
      <c r="N948" s="163"/>
      <c r="O948" s="162"/>
      <c r="P948" s="162"/>
      <c r="Q948" s="162"/>
      <c r="R948" s="162"/>
      <c r="S948" s="163"/>
      <c r="T948" s="162"/>
      <c r="U948" s="162"/>
      <c r="V948" s="162"/>
      <c r="W948" s="162"/>
      <c r="X948" s="163"/>
      <c r="Y948" s="735" t="e">
        <f>SUM(Y946:AA947)</f>
        <v>#DIV/0!</v>
      </c>
      <c r="Z948" s="736"/>
      <c r="AA948" s="737"/>
    </row>
    <row r="949" spans="1:28" ht="32.1" customHeight="1" thickBot="1">
      <c r="A949" s="738" t="s">
        <v>1325</v>
      </c>
      <c r="B949" s="739"/>
      <c r="C949" s="740"/>
      <c r="D949" s="368"/>
      <c r="E949" s="368"/>
      <c r="F949" s="368"/>
      <c r="G949" s="368"/>
      <c r="H949" s="368"/>
      <c r="I949" s="369"/>
      <c r="J949" s="368"/>
      <c r="K949" s="368"/>
      <c r="L949" s="368"/>
      <c r="M949" s="368"/>
      <c r="N949" s="369"/>
      <c r="O949" s="368"/>
      <c r="P949" s="368"/>
      <c r="Q949" s="368"/>
      <c r="R949" s="368"/>
      <c r="S949" s="369"/>
      <c r="T949" s="368"/>
      <c r="U949" s="368"/>
      <c r="V949" s="368"/>
      <c r="W949" s="368"/>
      <c r="X949" s="369"/>
      <c r="Y949" s="741">
        <v>0</v>
      </c>
      <c r="Z949" s="742"/>
      <c r="AA949" s="743"/>
    </row>
    <row r="950" spans="1:28" ht="32.1" customHeight="1" thickBot="1">
      <c r="A950" s="738" t="s">
        <v>1326</v>
      </c>
      <c r="B950" s="739"/>
      <c r="C950" s="740"/>
      <c r="D950" s="370"/>
      <c r="E950" s="162"/>
      <c r="F950" s="162"/>
      <c r="G950" s="162"/>
      <c r="H950" s="162"/>
      <c r="I950" s="163"/>
      <c r="J950" s="162"/>
      <c r="K950" s="162"/>
      <c r="L950" s="162"/>
      <c r="M950" s="162"/>
      <c r="N950" s="163"/>
      <c r="O950" s="162"/>
      <c r="P950" s="162"/>
      <c r="Q950" s="162"/>
      <c r="R950" s="162"/>
      <c r="S950" s="163"/>
      <c r="T950" s="162"/>
      <c r="U950" s="162"/>
      <c r="V950" s="162"/>
      <c r="W950" s="162"/>
      <c r="X950" s="165"/>
      <c r="Y950" s="744">
        <v>0</v>
      </c>
      <c r="Z950" s="745"/>
      <c r="AA950" s="746"/>
    </row>
    <row r="951" spans="1:28" ht="32.1" customHeight="1" thickBot="1">
      <c r="A951" s="704" t="s">
        <v>1327</v>
      </c>
      <c r="B951" s="705"/>
      <c r="C951" s="705"/>
      <c r="D951" s="706"/>
      <c r="E951" s="723"/>
      <c r="F951" s="724"/>
      <c r="G951" s="725"/>
      <c r="H951" s="707">
        <f>SUM(I34:I391)</f>
        <v>585384.19999999995</v>
      </c>
      <c r="I951" s="708"/>
      <c r="J951" s="709"/>
      <c r="K951" s="710"/>
      <c r="L951" s="711"/>
      <c r="M951" s="707">
        <f>SUM(N34:N391)</f>
        <v>2081.0280000000002</v>
      </c>
      <c r="N951" s="708"/>
      <c r="O951" s="709"/>
      <c r="P951" s="710"/>
      <c r="Q951" s="711"/>
      <c r="R951" s="707">
        <f>SUM(S34:S391)</f>
        <v>0</v>
      </c>
      <c r="S951" s="708"/>
      <c r="T951" s="709"/>
      <c r="U951" s="710"/>
      <c r="V951" s="711"/>
      <c r="W951" s="707">
        <f>SUM(X34:X391)</f>
        <v>0</v>
      </c>
      <c r="X951" s="708"/>
      <c r="Y951" s="700">
        <f>H951+M951+R951+W951</f>
        <v>587465.228</v>
      </c>
      <c r="Z951" s="701"/>
      <c r="AA951" s="702"/>
    </row>
    <row r="952" spans="1:28" ht="32.1" customHeight="1" thickBot="1">
      <c r="A952" s="704" t="s">
        <v>1328</v>
      </c>
      <c r="B952" s="705"/>
      <c r="C952" s="705"/>
      <c r="D952" s="706"/>
      <c r="E952" s="726"/>
      <c r="F952" s="727"/>
      <c r="G952" s="728"/>
      <c r="H952" s="718">
        <f>SUM([1]APP!$I$389:$I$936)</f>
        <v>3046767.8838655464</v>
      </c>
      <c r="I952" s="719"/>
      <c r="J952" s="712"/>
      <c r="K952" s="713"/>
      <c r="L952" s="714"/>
      <c r="M952" s="718">
        <f>SUM([1]APP!$N$389:$N$936)</f>
        <v>561698.06613445375</v>
      </c>
      <c r="N952" s="719"/>
      <c r="O952" s="712"/>
      <c r="P952" s="713"/>
      <c r="Q952" s="714"/>
      <c r="R952" s="718">
        <f>SUM([1]APP!$S$389:$S$936)</f>
        <v>541334.08470588224</v>
      </c>
      <c r="S952" s="719"/>
      <c r="T952" s="712"/>
      <c r="U952" s="713"/>
      <c r="V952" s="714"/>
      <c r="W952" s="718">
        <f>SUM([1]APP!$X$389:$X$936)</f>
        <v>138990.29529411765</v>
      </c>
      <c r="X952" s="719"/>
      <c r="Y952" s="720">
        <f>H952+M952+R952+W952</f>
        <v>4288790.33</v>
      </c>
      <c r="Z952" s="721"/>
      <c r="AA952" s="722"/>
    </row>
    <row r="953" spans="1:28" ht="32.1" customHeight="1" thickBot="1">
      <c r="A953" s="704" t="s">
        <v>1329</v>
      </c>
      <c r="B953" s="705"/>
      <c r="C953" s="705"/>
      <c r="D953" s="706"/>
      <c r="E953" s="729"/>
      <c r="F953" s="730"/>
      <c r="G953" s="731"/>
      <c r="H953" s="698">
        <f>SUM(H951:I952)</f>
        <v>3632152.0838655466</v>
      </c>
      <c r="I953" s="699"/>
      <c r="J953" s="715"/>
      <c r="K953" s="716"/>
      <c r="L953" s="717"/>
      <c r="M953" s="698">
        <f>SUM(M951:N952)</f>
        <v>563779.0941344538</v>
      </c>
      <c r="N953" s="699"/>
      <c r="O953" s="715"/>
      <c r="P953" s="716"/>
      <c r="Q953" s="717"/>
      <c r="R953" s="698">
        <f>SUM(R951:S952)</f>
        <v>541334.08470588224</v>
      </c>
      <c r="S953" s="699"/>
      <c r="T953" s="715"/>
      <c r="U953" s="716"/>
      <c r="V953" s="717"/>
      <c r="W953" s="698">
        <f>SUM(W951:X952)</f>
        <v>138990.29529411765</v>
      </c>
      <c r="X953" s="699"/>
      <c r="Y953" s="700">
        <f>H953+M953+R953+W953</f>
        <v>4876255.5580000002</v>
      </c>
      <c r="Z953" s="701"/>
      <c r="AA953" s="702"/>
    </row>
    <row r="954" spans="1:28" ht="15.75">
      <c r="A954" s="371" t="s">
        <v>1330</v>
      </c>
      <c r="B954" s="372"/>
      <c r="C954" s="373"/>
      <c r="D954" s="374"/>
      <c r="E954" s="375"/>
      <c r="F954" s="375"/>
      <c r="G954" s="375"/>
      <c r="H954" s="376"/>
      <c r="I954" s="377"/>
      <c r="J954" s="375"/>
      <c r="K954" s="375"/>
      <c r="L954" s="375"/>
      <c r="M954" s="376"/>
      <c r="N954" s="377"/>
      <c r="O954" s="375"/>
      <c r="P954" s="375"/>
      <c r="Q954" s="375"/>
      <c r="R954" s="376"/>
      <c r="S954" s="377"/>
      <c r="T954" s="375"/>
      <c r="U954" s="375"/>
      <c r="V954" s="375"/>
      <c r="W954" s="376"/>
      <c r="X954" s="377"/>
      <c r="Y954" s="377"/>
      <c r="Z954" s="378"/>
      <c r="AA954" s="379"/>
    </row>
    <row r="955" spans="1:28" ht="30" customHeight="1">
      <c r="A955" s="380"/>
      <c r="B955" s="372"/>
      <c r="C955" s="373"/>
      <c r="D955" s="374"/>
      <c r="E955" s="375"/>
      <c r="F955" s="375"/>
      <c r="G955" s="375"/>
      <c r="H955" s="376"/>
      <c r="I955" s="377"/>
      <c r="J955" s="375"/>
      <c r="K955" s="375"/>
      <c r="L955" s="375"/>
      <c r="M955" s="376"/>
      <c r="N955" s="377"/>
      <c r="O955" s="375"/>
      <c r="P955" s="375"/>
      <c r="Q955" s="375"/>
      <c r="R955" s="376"/>
      <c r="S955" s="377"/>
      <c r="T955" s="375"/>
      <c r="U955" s="375"/>
      <c r="V955" s="375"/>
      <c r="W955" s="376"/>
      <c r="X955" s="377"/>
      <c r="Y955" s="377"/>
      <c r="Z955" s="378"/>
      <c r="AA955" s="379"/>
    </row>
    <row r="956" spans="1:28" ht="32.1" customHeight="1">
      <c r="A956" s="380"/>
      <c r="B956" s="380"/>
      <c r="C956" s="381"/>
      <c r="D956" s="374"/>
      <c r="E956" s="375"/>
      <c r="F956" s="375"/>
      <c r="G956" s="375"/>
      <c r="H956" s="376"/>
      <c r="I956" s="377"/>
      <c r="J956" s="375"/>
      <c r="K956" s="375"/>
      <c r="L956" s="375"/>
      <c r="M956" s="376"/>
      <c r="N956" s="377"/>
      <c r="O956" s="375"/>
      <c r="P956" s="375"/>
      <c r="Q956" s="375"/>
      <c r="R956" s="376"/>
      <c r="S956" s="377"/>
      <c r="T956" s="375"/>
      <c r="U956" s="375"/>
      <c r="V956" s="375"/>
      <c r="W956" s="376"/>
      <c r="X956" s="377"/>
      <c r="Y956" s="377"/>
      <c r="Z956" s="378"/>
      <c r="AA956" s="379"/>
    </row>
    <row r="957" spans="1:28" ht="30" customHeight="1">
      <c r="A957" s="382" t="s">
        <v>1331</v>
      </c>
      <c r="B957" s="383"/>
      <c r="C957" s="383"/>
      <c r="D957" s="383"/>
      <c r="E957" s="383"/>
      <c r="F957" s="383"/>
      <c r="G957" s="383"/>
      <c r="H957" s="383"/>
      <c r="I957" s="383"/>
      <c r="J957" s="383"/>
      <c r="K957" s="383"/>
      <c r="L957" s="383"/>
      <c r="M957" s="383"/>
      <c r="N957" s="383"/>
      <c r="O957" s="383"/>
      <c r="P957" s="383"/>
      <c r="Q957" s="383"/>
      <c r="R957" s="383"/>
      <c r="S957" s="383"/>
      <c r="T957" s="383"/>
      <c r="U957" s="383"/>
      <c r="V957" s="383"/>
      <c r="W957" s="383"/>
      <c r="X957" s="383"/>
      <c r="Y957" s="383"/>
      <c r="Z957" s="383"/>
      <c r="AA957" s="383"/>
    </row>
    <row r="958" spans="1:28" ht="15.75">
      <c r="A958" s="384"/>
      <c r="B958" s="384"/>
      <c r="C958" s="385"/>
      <c r="D958" s="385"/>
      <c r="E958" s="386"/>
      <c r="F958" s="386"/>
      <c r="G958" s="387"/>
      <c r="H958" s="387"/>
      <c r="I958" s="388"/>
      <c r="J958" s="386"/>
      <c r="K958" s="386"/>
      <c r="L958" s="387"/>
      <c r="M958" s="387"/>
      <c r="N958" s="388"/>
      <c r="O958" s="386"/>
      <c r="P958" s="386"/>
      <c r="Q958" s="387"/>
      <c r="R958" s="387"/>
      <c r="S958" s="388"/>
      <c r="T958" s="386"/>
      <c r="U958" s="386"/>
      <c r="V958" s="387"/>
      <c r="W958" s="387"/>
      <c r="X958" s="388"/>
      <c r="Y958" s="389"/>
      <c r="Z958" s="390"/>
      <c r="AA958" s="391"/>
    </row>
    <row r="959" spans="1:28" ht="24" customHeight="1">
      <c r="A959" s="392" t="s">
        <v>140</v>
      </c>
      <c r="B959" s="393"/>
      <c r="D959" s="159"/>
      <c r="E959" s="159"/>
      <c r="F959" s="394"/>
      <c r="G959" s="159"/>
      <c r="H959" s="395" t="s">
        <v>1332</v>
      </c>
      <c r="J959" s="373"/>
      <c r="K959" s="373"/>
      <c r="L959" s="159"/>
      <c r="M959" s="159"/>
      <c r="N959" s="396"/>
      <c r="O959" s="373"/>
      <c r="P959" s="373"/>
      <c r="Q959" s="397" t="s">
        <v>1333</v>
      </c>
      <c r="S959" s="398"/>
      <c r="T959" s="159"/>
      <c r="U959" s="159"/>
      <c r="V959" s="159"/>
      <c r="W959" s="373"/>
      <c r="X959" s="389"/>
      <c r="Y959" s="389"/>
      <c r="Z959" s="378"/>
      <c r="AA959" s="399"/>
    </row>
    <row r="960" spans="1:28" s="403" customFormat="1" ht="22.35" customHeight="1">
      <c r="A960" s="400"/>
      <c r="B960" s="400"/>
      <c r="C960" s="401"/>
      <c r="D960" s="159"/>
      <c r="E960" s="159"/>
      <c r="F960" s="159"/>
      <c r="G960" s="159"/>
      <c r="H960" s="373"/>
      <c r="I960" s="398"/>
      <c r="J960" s="159"/>
      <c r="K960" s="159"/>
      <c r="L960" s="159"/>
      <c r="M960" s="373"/>
      <c r="N960" s="398"/>
      <c r="O960" s="159"/>
      <c r="P960" s="159"/>
      <c r="Q960" s="159"/>
      <c r="R960" s="373"/>
      <c r="S960" s="398"/>
      <c r="T960" s="159"/>
      <c r="U960" s="159"/>
      <c r="V960" s="159"/>
      <c r="W960" s="373"/>
      <c r="X960" s="389"/>
      <c r="Y960" s="389"/>
      <c r="Z960" s="378"/>
      <c r="AA960" s="399"/>
      <c r="AB960" s="402"/>
    </row>
    <row r="961" spans="1:27" ht="18.600000000000001" customHeight="1" thickBot="1">
      <c r="A961" s="404"/>
      <c r="B961" s="405"/>
      <c r="C961" s="703" t="s">
        <v>1334</v>
      </c>
      <c r="D961" s="703"/>
      <c r="E961" s="703"/>
      <c r="F961" s="703"/>
      <c r="G961" s="384"/>
      <c r="H961" s="406"/>
      <c r="I961" s="703" t="s">
        <v>1335</v>
      </c>
      <c r="J961" s="703"/>
      <c r="K961" s="703"/>
      <c r="L961" s="703"/>
      <c r="M961" s="703"/>
      <c r="N961" s="703"/>
      <c r="O961" s="703"/>
      <c r="P961" s="407"/>
      <c r="Q961" s="407"/>
      <c r="R961" s="703" t="s">
        <v>1336</v>
      </c>
      <c r="S961" s="703"/>
      <c r="T961" s="703"/>
      <c r="U961" s="703"/>
      <c r="V961" s="703"/>
      <c r="W961" s="703"/>
      <c r="X961" s="703"/>
      <c r="Y961" s="703"/>
      <c r="Z961" s="407"/>
      <c r="AA961" s="408"/>
    </row>
    <row r="962" spans="1:27">
      <c r="A962" s="394"/>
      <c r="B962" s="400"/>
      <c r="C962" s="695" t="s">
        <v>1337</v>
      </c>
      <c r="D962" s="695"/>
      <c r="E962" s="695"/>
      <c r="F962" s="695"/>
      <c r="G962" s="409"/>
      <c r="H962" s="159"/>
      <c r="I962" s="696" t="s">
        <v>1338</v>
      </c>
      <c r="J962" s="696"/>
      <c r="K962" s="696"/>
      <c r="L962" s="696"/>
      <c r="M962" s="696"/>
      <c r="N962" s="696"/>
      <c r="O962" s="696"/>
      <c r="P962" s="373"/>
      <c r="Q962" s="373"/>
      <c r="R962" s="697" t="s">
        <v>1339</v>
      </c>
      <c r="S962" s="697"/>
      <c r="T962" s="697"/>
      <c r="U962" s="697"/>
      <c r="V962" s="697"/>
      <c r="W962" s="697"/>
      <c r="X962" s="697"/>
      <c r="Y962" s="697"/>
      <c r="Z962" s="373"/>
      <c r="AA962" s="389"/>
    </row>
    <row r="963" spans="1:27" ht="22.35" customHeight="1"/>
    <row r="964" spans="1:27" ht="16.5" thickBot="1">
      <c r="A964" s="410" t="s">
        <v>1340</v>
      </c>
      <c r="C964" s="411" t="s">
        <v>1341</v>
      </c>
    </row>
  </sheetData>
  <mergeCells count="77">
    <mergeCell ref="A7:AA7"/>
    <mergeCell ref="A1:AA1"/>
    <mergeCell ref="A2:AA2"/>
    <mergeCell ref="A3:AA3"/>
    <mergeCell ref="A4:AA4"/>
    <mergeCell ref="A5:AA5"/>
    <mergeCell ref="A19:AA19"/>
    <mergeCell ref="A8:AA8"/>
    <mergeCell ref="A9:AA9"/>
    <mergeCell ref="A10:AA10"/>
    <mergeCell ref="A11:AA11"/>
    <mergeCell ref="A12:AA12"/>
    <mergeCell ref="A13:AA13"/>
    <mergeCell ref="A14:AA14"/>
    <mergeCell ref="A15:AA15"/>
    <mergeCell ref="A16:AA16"/>
    <mergeCell ref="A17:AA17"/>
    <mergeCell ref="A18:AA18"/>
    <mergeCell ref="A20:AA20"/>
    <mergeCell ref="A21:AA21"/>
    <mergeCell ref="A22:AA22"/>
    <mergeCell ref="A23:AA23"/>
    <mergeCell ref="D25:K25"/>
    <mergeCell ref="X25:Z25"/>
    <mergeCell ref="D26:H26"/>
    <mergeCell ref="O26:T26"/>
    <mergeCell ref="X26:Z26"/>
    <mergeCell ref="D27:K28"/>
    <mergeCell ref="X27:Z27"/>
    <mergeCell ref="X28:Z28"/>
    <mergeCell ref="A947:C947"/>
    <mergeCell ref="Y947:AA947"/>
    <mergeCell ref="A30:C31"/>
    <mergeCell ref="D30:D31"/>
    <mergeCell ref="E30:X30"/>
    <mergeCell ref="Y30:Y31"/>
    <mergeCell ref="Z30:Z31"/>
    <mergeCell ref="AA30:AA31"/>
    <mergeCell ref="A32:AA32"/>
    <mergeCell ref="Z368:AA368"/>
    <mergeCell ref="A393:AA393"/>
    <mergeCell ref="A946:C946"/>
    <mergeCell ref="Y946:AA946"/>
    <mergeCell ref="A948:C948"/>
    <mergeCell ref="Y948:AA948"/>
    <mergeCell ref="A949:C949"/>
    <mergeCell ref="Y949:AA949"/>
    <mergeCell ref="A950:C950"/>
    <mergeCell ref="Y950:AA950"/>
    <mergeCell ref="R951:S951"/>
    <mergeCell ref="T951:V953"/>
    <mergeCell ref="W951:X951"/>
    <mergeCell ref="Y951:AA951"/>
    <mergeCell ref="A952:D952"/>
    <mergeCell ref="H952:I952"/>
    <mergeCell ref="M952:N952"/>
    <mergeCell ref="R952:S952"/>
    <mergeCell ref="W952:X952"/>
    <mergeCell ref="Y952:AA952"/>
    <mergeCell ref="A951:D951"/>
    <mergeCell ref="E951:G953"/>
    <mergeCell ref="H951:I951"/>
    <mergeCell ref="J951:L953"/>
    <mergeCell ref="M951:N951"/>
    <mergeCell ref="O951:Q953"/>
    <mergeCell ref="C962:F962"/>
    <mergeCell ref="I962:O962"/>
    <mergeCell ref="R962:Y962"/>
    <mergeCell ref="R953:S953"/>
    <mergeCell ref="W953:X953"/>
    <mergeCell ref="Y953:AA953"/>
    <mergeCell ref="C961:F961"/>
    <mergeCell ref="I961:O961"/>
    <mergeCell ref="R961:Y961"/>
    <mergeCell ref="A953:D953"/>
    <mergeCell ref="H953:I953"/>
    <mergeCell ref="M953:N953"/>
  </mergeCells>
  <conditionalFormatting sqref="AB32">
    <cfRule type="cellIs" dxfId="68" priority="1" stopIfTrue="1" operator="equal">
      <formula>#N/A</formula>
    </cfRule>
    <cfRule type="cellIs" dxfId="67" priority="2" stopIfTrue="1" operator="equal">
      <formula>#N/A</formula>
    </cfRule>
  </conditionalFormatting>
  <dataValidations count="2">
    <dataValidation type="custom" allowBlank="1" showInputMessage="1" showErrorMessage="1" sqref="J87:L88 J82:L85 T67:V69 E191:G342 J351:L352 E34:G34 E71:G80 T191:V342 E354:G354 T354:V354 T40:V42 E90:G90 E133:G189 T133:V189 O133:Q189 T90:V90 O90:Q90 J90:L90 T71:V80 O71:Q80 J71:L80 O67:Q69 J67:L69 E67:G69 E44:G65 O40:Q42 J40:L42 E40:G42 J34:L34 O34:Q34 T38:V38 T34:V34 O191:Q342 J191:L342 E349:G349 T349:V349 O349:Q349 J349:L349 O354:Q354 J354:L354 E356:G359 T356:V359 O356:Q359 J356:L359 E344:G345 T344:V345 J133:L189 J409:L500 E92:G109 T92:V109 O92:Q109 J92:L109 O344:Q345 J344:L345 E36:G36 J36:L36 O36:Q36 T36:V36 E38:G38 J38:L38 O38:Q38 T44:V65 O44:Q65 J44:L65 E82:G85 T82:V85 O82:Q85 E87:G88 T87:V88 O87:Q88 E347:G347 T347:V347 O347:Q347 J347:L347 E351:G352 T351:V352 O351:Q352 E361:G367 T361:V367 O361:Q367 J361:L367 E370:G385 T370:V385 O370:Q385 J370:L385 E387:G389 T387:V389 O387:Q389 J387:L389 E391:G391 T391:V391 O391:Q391 J391:L391 E395:G398 T395:V398 O395:Q398 J395:L398 E402:G403 T402:V403 O402:Q403 J402:L403 E409:G500 T409:V500 O409:Q500 T118:V131 E118:G131 J118:L131 O118:Q131 E114:G116 T111:V112 T114:V116 O111:Q112 O114:Q116 J111:L112 J114:L116 E111:G112">
      <formula1>ISBLANK(E33)=FALSE</formula1>
    </dataValidation>
    <dataValidation type="custom" allowBlank="1" showInputMessage="1" showErrorMessage="1" sqref="E190:G190 E117:G117 J117:L117 O117:Q117 T117:V117 E113:G113 T113:V113 O113:Q113 J113:L113">
      <formula1>ISBLANK(E111)=FALSE</formula1>
    </dataValidation>
  </dataValidations>
  <pageMargins left="0.12" right="0.12" top="0.5" bottom="0.39" header="0.3" footer="0.19"/>
  <pageSetup paperSize="14" scale="73" orientation="landscape" horizontalDpi="360" verticalDpi="360" r:id="rId1"/>
  <headerFooter>
    <oddFooter>&amp;LPPMP CSE 2020&amp;R&amp;P</oddFooter>
  </headerFooter>
  <colBreaks count="1" manualBreakCount="1">
    <brk id="2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view="pageBreakPreview" zoomScale="90" zoomScaleNormal="137" zoomScaleSheetLayoutView="90" workbookViewId="0">
      <pane xSplit="3" ySplit="4" topLeftCell="D5" activePane="bottomRight" state="frozen"/>
      <selection pane="topRight" activeCell="D1" sqref="D1"/>
      <selection pane="bottomLeft" activeCell="A5" sqref="A5"/>
      <selection pane="bottomRight" activeCell="D56" sqref="D56"/>
    </sheetView>
  </sheetViews>
  <sheetFormatPr defaultRowHeight="36.75" customHeight="1"/>
  <cols>
    <col min="1" max="1" width="19.875" style="11" customWidth="1"/>
    <col min="2" max="2" width="21" style="11" customWidth="1"/>
    <col min="3" max="3" width="10" style="11" customWidth="1"/>
    <col min="4" max="4" width="20.875" style="11" customWidth="1"/>
    <col min="5" max="5" width="9.625" style="11" customWidth="1"/>
    <col min="6" max="6" width="8.25" style="11" customWidth="1"/>
    <col min="7" max="7" width="7.875" style="11" customWidth="1"/>
    <col min="8" max="8" width="8.25" style="11" customWidth="1"/>
    <col min="9" max="9" width="6.875" style="11" customWidth="1"/>
    <col min="10" max="10" width="6.75" style="11" customWidth="1"/>
    <col min="11" max="11" width="7.875" style="11" customWidth="1"/>
    <col min="12" max="12" width="7.25" style="11" customWidth="1"/>
    <col min="13" max="13" width="20.625" style="11" customWidth="1"/>
    <col min="14" max="42" width="8.375" style="11" hidden="1" customWidth="1"/>
    <col min="43" max="43" width="19.125" style="10" customWidth="1"/>
    <col min="44" max="44" width="20.375" style="11" customWidth="1"/>
    <col min="45" max="256" width="8.5" style="11" customWidth="1"/>
    <col min="257" max="1023" width="10.625" customWidth="1"/>
    <col min="1024" max="1024" width="9" customWidth="1"/>
  </cols>
  <sheetData>
    <row r="1" spans="1:44" s="1" customFormat="1" ht="18">
      <c r="C1" s="2" t="s">
        <v>93</v>
      </c>
      <c r="J1" s="3"/>
      <c r="K1" s="3"/>
      <c r="L1" s="3"/>
      <c r="N1" s="2" t="s">
        <v>0</v>
      </c>
      <c r="AC1" s="3"/>
      <c r="AD1" s="3"/>
      <c r="AE1" s="3"/>
      <c r="AF1" s="3"/>
      <c r="AQ1" s="37"/>
    </row>
    <row r="2" spans="1:44" s="5" customFormat="1" ht="13.5" thickBot="1">
      <c r="A2" s="4"/>
      <c r="J2" s="4"/>
      <c r="K2" s="4"/>
      <c r="L2" s="4"/>
      <c r="AC2" s="4"/>
      <c r="AD2" s="4"/>
      <c r="AE2" s="4"/>
      <c r="AF2" s="4"/>
      <c r="AQ2" s="10"/>
    </row>
    <row r="3" spans="1:44" s="6" customFormat="1" ht="18" customHeight="1" thickBot="1">
      <c r="A3" s="789" t="s">
        <v>1</v>
      </c>
      <c r="B3" s="790" t="s">
        <v>2</v>
      </c>
      <c r="C3" s="791" t="s">
        <v>3</v>
      </c>
      <c r="D3" s="790" t="s">
        <v>4</v>
      </c>
      <c r="E3" s="790" t="s">
        <v>5</v>
      </c>
      <c r="F3" s="790"/>
      <c r="G3" s="790"/>
      <c r="H3" s="790"/>
      <c r="I3" s="788" t="s">
        <v>6</v>
      </c>
      <c r="J3" s="790" t="s">
        <v>7</v>
      </c>
      <c r="K3" s="790"/>
      <c r="L3" s="790"/>
      <c r="M3" s="795" t="s">
        <v>8</v>
      </c>
      <c r="N3" s="796" t="s">
        <v>3</v>
      </c>
      <c r="O3" s="793" t="s">
        <v>4</v>
      </c>
      <c r="P3" s="792" t="s">
        <v>5</v>
      </c>
      <c r="Q3" s="792"/>
      <c r="R3" s="792"/>
      <c r="S3" s="792"/>
      <c r="T3" s="792"/>
      <c r="U3" s="792"/>
      <c r="V3" s="792"/>
      <c r="W3" s="792"/>
      <c r="X3" s="792"/>
      <c r="Y3" s="792"/>
      <c r="Z3" s="792"/>
      <c r="AA3" s="792"/>
      <c r="AB3" s="793" t="s">
        <v>6</v>
      </c>
      <c r="AC3" s="792" t="s">
        <v>9</v>
      </c>
      <c r="AD3" s="792"/>
      <c r="AE3" s="792"/>
      <c r="AF3" s="793" t="s">
        <v>10</v>
      </c>
      <c r="AG3" s="792" t="s">
        <v>11</v>
      </c>
      <c r="AH3" s="792"/>
      <c r="AI3" s="792"/>
      <c r="AJ3" s="792"/>
      <c r="AK3" s="792"/>
      <c r="AL3" s="792"/>
      <c r="AM3" s="792"/>
      <c r="AN3" s="792"/>
      <c r="AO3" s="792"/>
      <c r="AP3" s="794" t="s">
        <v>12</v>
      </c>
      <c r="AQ3" s="412" t="s">
        <v>180</v>
      </c>
      <c r="AR3" s="412" t="s">
        <v>210</v>
      </c>
    </row>
    <row r="4" spans="1:44" s="9" customFormat="1" ht="35.25" thickTop="1" thickBot="1">
      <c r="A4" s="789"/>
      <c r="B4" s="790"/>
      <c r="C4" s="791"/>
      <c r="D4" s="790"/>
      <c r="E4" s="33" t="s">
        <v>13</v>
      </c>
      <c r="F4" s="7" t="s">
        <v>14</v>
      </c>
      <c r="G4" s="7" t="s">
        <v>15</v>
      </c>
      <c r="H4" s="7" t="s">
        <v>16</v>
      </c>
      <c r="I4" s="788"/>
      <c r="J4" s="8" t="s">
        <v>17</v>
      </c>
      <c r="K4" s="8" t="s">
        <v>18</v>
      </c>
      <c r="L4" s="8" t="s">
        <v>19</v>
      </c>
      <c r="M4" s="795"/>
      <c r="N4" s="796"/>
      <c r="O4" s="793"/>
      <c r="P4" s="413" t="s">
        <v>20</v>
      </c>
      <c r="Q4" s="414" t="s">
        <v>21</v>
      </c>
      <c r="R4" s="415" t="s">
        <v>22</v>
      </c>
      <c r="S4" s="415" t="s">
        <v>23</v>
      </c>
      <c r="T4" s="415" t="s">
        <v>24</v>
      </c>
      <c r="U4" s="415" t="s">
        <v>25</v>
      </c>
      <c r="V4" s="415" t="s">
        <v>26</v>
      </c>
      <c r="W4" s="415" t="s">
        <v>27</v>
      </c>
      <c r="X4" s="415" t="s">
        <v>16</v>
      </c>
      <c r="Y4" s="415" t="s">
        <v>28</v>
      </c>
      <c r="Z4" s="415" t="s">
        <v>29</v>
      </c>
      <c r="AA4" s="415" t="s">
        <v>30</v>
      </c>
      <c r="AB4" s="793"/>
      <c r="AC4" s="416" t="s">
        <v>17</v>
      </c>
      <c r="AD4" s="417" t="s">
        <v>18</v>
      </c>
      <c r="AE4" s="418" t="s">
        <v>19</v>
      </c>
      <c r="AF4" s="793"/>
      <c r="AG4" s="414" t="s">
        <v>31</v>
      </c>
      <c r="AH4" s="415" t="s">
        <v>22</v>
      </c>
      <c r="AI4" s="415" t="s">
        <v>23</v>
      </c>
      <c r="AJ4" s="415" t="s">
        <v>24</v>
      </c>
      <c r="AK4" s="415" t="s">
        <v>25</v>
      </c>
      <c r="AL4" s="415" t="s">
        <v>26</v>
      </c>
      <c r="AM4" s="415" t="s">
        <v>27</v>
      </c>
      <c r="AN4" s="415" t="s">
        <v>16</v>
      </c>
      <c r="AO4" s="415" t="s">
        <v>29</v>
      </c>
      <c r="AP4" s="794"/>
      <c r="AQ4" s="419"/>
      <c r="AR4" s="419"/>
    </row>
    <row r="5" spans="1:44" s="48" customFormat="1" ht="147" thickTop="1">
      <c r="A5" s="32" t="s">
        <v>105</v>
      </c>
      <c r="B5" s="57" t="s">
        <v>99</v>
      </c>
      <c r="C5" s="38" t="s">
        <v>94</v>
      </c>
      <c r="D5" s="39" t="s">
        <v>41</v>
      </c>
      <c r="E5" s="40">
        <v>43753</v>
      </c>
      <c r="F5" s="40">
        <v>43773</v>
      </c>
      <c r="G5" s="40">
        <v>43838</v>
      </c>
      <c r="H5" s="40">
        <v>43840</v>
      </c>
      <c r="I5" s="41" t="s">
        <v>86</v>
      </c>
      <c r="J5" s="42">
        <f t="shared" ref="J5:J31" si="0">SUM(K5:L5)</f>
        <v>12280</v>
      </c>
      <c r="K5" s="42"/>
      <c r="L5" s="42">
        <v>12280</v>
      </c>
      <c r="M5" s="34" t="s">
        <v>149</v>
      </c>
      <c r="N5" s="43"/>
      <c r="O5" s="44"/>
      <c r="P5" s="44"/>
      <c r="Q5" s="44"/>
      <c r="R5" s="44"/>
      <c r="S5" s="44"/>
      <c r="T5" s="44"/>
      <c r="U5" s="44"/>
      <c r="V5" s="44"/>
      <c r="W5" s="44"/>
      <c r="X5" s="44"/>
      <c r="Y5" s="44"/>
      <c r="Z5" s="44"/>
      <c r="AA5" s="44"/>
      <c r="AB5" s="45"/>
      <c r="AC5" s="46"/>
      <c r="AD5" s="46"/>
      <c r="AE5" s="47"/>
      <c r="AF5" s="46"/>
      <c r="AG5" s="44"/>
      <c r="AH5" s="44"/>
      <c r="AI5" s="44"/>
      <c r="AJ5" s="44"/>
      <c r="AK5" s="44"/>
      <c r="AL5" s="44"/>
      <c r="AM5" s="44"/>
      <c r="AN5" s="44"/>
      <c r="AO5" s="45"/>
      <c r="AP5" s="44"/>
      <c r="AQ5" s="36" t="s">
        <v>182</v>
      </c>
      <c r="AR5" s="58" t="s">
        <v>212</v>
      </c>
    </row>
    <row r="6" spans="1:44" s="48" customFormat="1" ht="135" customHeight="1">
      <c r="A6" s="32" t="s">
        <v>104</v>
      </c>
      <c r="B6" s="50" t="s">
        <v>95</v>
      </c>
      <c r="C6" s="38" t="s">
        <v>96</v>
      </c>
      <c r="D6" s="39" t="s">
        <v>32</v>
      </c>
      <c r="E6" s="40">
        <v>43760</v>
      </c>
      <c r="F6" s="40">
        <v>43780</v>
      </c>
      <c r="G6" s="40">
        <v>43838</v>
      </c>
      <c r="H6" s="40">
        <v>43840</v>
      </c>
      <c r="I6" s="41" t="s">
        <v>86</v>
      </c>
      <c r="J6" s="42">
        <f t="shared" si="0"/>
        <v>6879</v>
      </c>
      <c r="K6" s="42"/>
      <c r="L6" s="42">
        <v>6879</v>
      </c>
      <c r="M6" s="34" t="s">
        <v>150</v>
      </c>
      <c r="N6" s="43"/>
      <c r="O6" s="44"/>
      <c r="P6" s="44"/>
      <c r="Q6" s="44"/>
      <c r="R6" s="44"/>
      <c r="S6" s="44"/>
      <c r="T6" s="44"/>
      <c r="U6" s="44"/>
      <c r="V6" s="44"/>
      <c r="W6" s="44"/>
      <c r="X6" s="44"/>
      <c r="Y6" s="44"/>
      <c r="Z6" s="44"/>
      <c r="AA6" s="44"/>
      <c r="AB6" s="45"/>
      <c r="AC6" s="46"/>
      <c r="AD6" s="46"/>
      <c r="AE6" s="47"/>
      <c r="AF6" s="46"/>
      <c r="AG6" s="44"/>
      <c r="AH6" s="44"/>
      <c r="AI6" s="44"/>
      <c r="AJ6" s="44"/>
      <c r="AK6" s="44"/>
      <c r="AL6" s="44"/>
      <c r="AM6" s="44"/>
      <c r="AN6" s="44"/>
      <c r="AO6" s="45"/>
      <c r="AP6" s="44"/>
      <c r="AQ6" s="36" t="s">
        <v>184</v>
      </c>
      <c r="AR6" s="59" t="s">
        <v>1342</v>
      </c>
    </row>
    <row r="7" spans="1:44" s="48" customFormat="1" ht="167.1" customHeight="1">
      <c r="A7" s="32" t="s">
        <v>104</v>
      </c>
      <c r="B7" s="50" t="s">
        <v>151</v>
      </c>
      <c r="C7" s="38" t="s">
        <v>96</v>
      </c>
      <c r="D7" s="39" t="s">
        <v>32</v>
      </c>
      <c r="E7" s="40">
        <v>43760</v>
      </c>
      <c r="F7" s="40">
        <v>43780</v>
      </c>
      <c r="G7" s="40">
        <v>43838</v>
      </c>
      <c r="H7" s="40">
        <v>43840</v>
      </c>
      <c r="I7" s="41" t="s">
        <v>86</v>
      </c>
      <c r="J7" s="42">
        <f t="shared" si="0"/>
        <v>1352</v>
      </c>
      <c r="K7" s="42"/>
      <c r="L7" s="42">
        <v>1352</v>
      </c>
      <c r="M7" s="34" t="s">
        <v>152</v>
      </c>
      <c r="N7" s="43"/>
      <c r="O7" s="44"/>
      <c r="P7" s="44"/>
      <c r="Q7" s="44"/>
      <c r="R7" s="44"/>
      <c r="S7" s="44"/>
      <c r="T7" s="44"/>
      <c r="U7" s="44"/>
      <c r="V7" s="44"/>
      <c r="W7" s="44"/>
      <c r="X7" s="44"/>
      <c r="Y7" s="44"/>
      <c r="Z7" s="44"/>
      <c r="AA7" s="44"/>
      <c r="AB7" s="45"/>
      <c r="AC7" s="46"/>
      <c r="AD7" s="46"/>
      <c r="AE7" s="47"/>
      <c r="AF7" s="46"/>
      <c r="AG7" s="44"/>
      <c r="AH7" s="44"/>
      <c r="AI7" s="44"/>
      <c r="AJ7" s="44"/>
      <c r="AK7" s="44"/>
      <c r="AL7" s="44"/>
      <c r="AM7" s="44"/>
      <c r="AN7" s="44"/>
      <c r="AO7" s="45"/>
      <c r="AP7" s="44"/>
      <c r="AQ7" s="36" t="s">
        <v>213</v>
      </c>
      <c r="AR7" s="59" t="s">
        <v>211</v>
      </c>
    </row>
    <row r="8" spans="1:44" s="48" customFormat="1" ht="149.44999999999999" customHeight="1">
      <c r="A8" s="32" t="s">
        <v>103</v>
      </c>
      <c r="B8" s="50" t="s">
        <v>102</v>
      </c>
      <c r="C8" s="38" t="s">
        <v>96</v>
      </c>
      <c r="D8" s="39" t="s">
        <v>41</v>
      </c>
      <c r="E8" s="41" t="str">
        <f>IF(D8="","",IF((OR(D8=data_validation!A$1,D8=data_validation!A$2,D8=data_validation!A$5,D8=data_validation!A$6,D8=data_validation!A$14,D8=data_validation!A$16)),"Indicate Date","N/A"))</f>
        <v>N/A</v>
      </c>
      <c r="F8" s="41" t="str">
        <f>IF(D8="","",IF((OR(D8=data_validation!A$1,D8=data_validation!A$2)),"Indicate Date","N/A"))</f>
        <v>N/A</v>
      </c>
      <c r="G8" s="40">
        <v>43859</v>
      </c>
      <c r="H8" s="40">
        <v>43861</v>
      </c>
      <c r="I8" s="41" t="s">
        <v>86</v>
      </c>
      <c r="J8" s="42">
        <f t="shared" si="0"/>
        <v>5267</v>
      </c>
      <c r="K8" s="42">
        <v>5267</v>
      </c>
      <c r="L8" s="42"/>
      <c r="M8" s="34" t="s">
        <v>203</v>
      </c>
      <c r="N8" s="43"/>
      <c r="O8" s="44"/>
      <c r="P8" s="44"/>
      <c r="Q8" s="44"/>
      <c r="R8" s="44"/>
      <c r="S8" s="44"/>
      <c r="T8" s="44"/>
      <c r="U8" s="44"/>
      <c r="V8" s="44"/>
      <c r="W8" s="44"/>
      <c r="X8" s="44"/>
      <c r="Y8" s="44"/>
      <c r="Z8" s="44"/>
      <c r="AA8" s="44"/>
      <c r="AB8" s="45"/>
      <c r="AC8" s="46"/>
      <c r="AD8" s="46"/>
      <c r="AE8" s="47"/>
      <c r="AF8" s="46"/>
      <c r="AG8" s="44"/>
      <c r="AH8" s="44"/>
      <c r="AI8" s="44"/>
      <c r="AJ8" s="44"/>
      <c r="AK8" s="44"/>
      <c r="AL8" s="44"/>
      <c r="AM8" s="44"/>
      <c r="AN8" s="44"/>
      <c r="AO8" s="45"/>
      <c r="AP8" s="44"/>
      <c r="AQ8" s="36" t="s">
        <v>181</v>
      </c>
    </row>
    <row r="9" spans="1:44" s="48" customFormat="1" ht="111" customHeight="1">
      <c r="A9" s="32" t="s">
        <v>103</v>
      </c>
      <c r="B9" s="50" t="s">
        <v>106</v>
      </c>
      <c r="C9" s="38" t="s">
        <v>96</v>
      </c>
      <c r="D9" s="39" t="s">
        <v>32</v>
      </c>
      <c r="E9" s="40">
        <v>43852</v>
      </c>
      <c r="F9" s="40">
        <v>43872</v>
      </c>
      <c r="G9" s="40">
        <v>43875</v>
      </c>
      <c r="H9" s="40">
        <v>43877</v>
      </c>
      <c r="I9" s="41" t="s">
        <v>86</v>
      </c>
      <c r="J9" s="42">
        <f t="shared" si="0"/>
        <v>2084</v>
      </c>
      <c r="K9" s="49">
        <v>2084</v>
      </c>
      <c r="L9" s="42"/>
      <c r="M9" s="34" t="s">
        <v>195</v>
      </c>
      <c r="N9" s="43"/>
      <c r="O9" s="44"/>
      <c r="P9" s="44"/>
      <c r="Q9" s="44"/>
      <c r="R9" s="44"/>
      <c r="S9" s="44"/>
      <c r="T9" s="44"/>
      <c r="U9" s="44"/>
      <c r="V9" s="44"/>
      <c r="W9" s="44"/>
      <c r="X9" s="44"/>
      <c r="Y9" s="44"/>
      <c r="Z9" s="44"/>
      <c r="AA9" s="44"/>
      <c r="AB9" s="45"/>
      <c r="AC9" s="46"/>
      <c r="AD9" s="46"/>
      <c r="AE9" s="47"/>
      <c r="AF9" s="46"/>
      <c r="AG9" s="44"/>
      <c r="AH9" s="44"/>
      <c r="AI9" s="44"/>
      <c r="AJ9" s="44"/>
      <c r="AK9" s="44"/>
      <c r="AL9" s="44"/>
      <c r="AM9" s="44"/>
      <c r="AN9" s="44"/>
      <c r="AO9" s="45"/>
      <c r="AP9" s="44"/>
      <c r="AQ9" s="36" t="s">
        <v>192</v>
      </c>
    </row>
    <row r="10" spans="1:44" s="48" customFormat="1" ht="114" customHeight="1">
      <c r="A10" s="32" t="s">
        <v>103</v>
      </c>
      <c r="B10" s="50" t="s">
        <v>106</v>
      </c>
      <c r="C10" s="38" t="s">
        <v>96</v>
      </c>
      <c r="D10" s="39" t="s">
        <v>32</v>
      </c>
      <c r="E10" s="40">
        <v>43922</v>
      </c>
      <c r="F10" s="40">
        <v>43942</v>
      </c>
      <c r="G10" s="40">
        <v>43945</v>
      </c>
      <c r="H10" s="40">
        <v>43947</v>
      </c>
      <c r="I10" s="41" t="s">
        <v>86</v>
      </c>
      <c r="J10" s="42">
        <f t="shared" ref="J10" si="1">SUM(K10:L10)</f>
        <v>2085</v>
      </c>
      <c r="K10" s="49">
        <v>2085</v>
      </c>
      <c r="L10" s="42"/>
      <c r="M10" s="34" t="s">
        <v>194</v>
      </c>
      <c r="N10" s="43"/>
      <c r="O10" s="44"/>
      <c r="P10" s="44"/>
      <c r="Q10" s="44"/>
      <c r="R10" s="44"/>
      <c r="S10" s="44"/>
      <c r="T10" s="44"/>
      <c r="U10" s="44"/>
      <c r="V10" s="44"/>
      <c r="W10" s="44"/>
      <c r="X10" s="44"/>
      <c r="Y10" s="44"/>
      <c r="Z10" s="44"/>
      <c r="AA10" s="44"/>
      <c r="AB10" s="45"/>
      <c r="AC10" s="46"/>
      <c r="AD10" s="46"/>
      <c r="AE10" s="47"/>
      <c r="AF10" s="46"/>
      <c r="AG10" s="44"/>
      <c r="AH10" s="44"/>
      <c r="AI10" s="44"/>
      <c r="AJ10" s="44"/>
      <c r="AK10" s="44"/>
      <c r="AL10" s="44"/>
      <c r="AM10" s="44"/>
      <c r="AN10" s="44"/>
      <c r="AO10" s="45"/>
      <c r="AP10" s="44"/>
      <c r="AQ10" s="36" t="s">
        <v>193</v>
      </c>
    </row>
    <row r="11" spans="1:44" s="48" customFormat="1" ht="114.6" customHeight="1">
      <c r="A11" s="32" t="s">
        <v>104</v>
      </c>
      <c r="B11" s="50" t="s">
        <v>107</v>
      </c>
      <c r="C11" s="38" t="s">
        <v>96</v>
      </c>
      <c r="D11" s="39" t="s">
        <v>32</v>
      </c>
      <c r="E11" s="40">
        <v>43775</v>
      </c>
      <c r="F11" s="40">
        <v>43795</v>
      </c>
      <c r="G11" s="40">
        <v>43838</v>
      </c>
      <c r="H11" s="40">
        <v>43840</v>
      </c>
      <c r="I11" s="41" t="s">
        <v>86</v>
      </c>
      <c r="J11" s="42">
        <f t="shared" si="0"/>
        <v>1660</v>
      </c>
      <c r="K11" s="42">
        <v>1660</v>
      </c>
      <c r="L11" s="42"/>
      <c r="M11" s="34" t="s">
        <v>196</v>
      </c>
      <c r="N11" s="43"/>
      <c r="O11" s="44"/>
      <c r="P11" s="44"/>
      <c r="Q11" s="44"/>
      <c r="R11" s="44"/>
      <c r="S11" s="44"/>
      <c r="T11" s="44"/>
      <c r="U11" s="44"/>
      <c r="V11" s="44"/>
      <c r="W11" s="44"/>
      <c r="X11" s="44"/>
      <c r="Y11" s="44"/>
      <c r="Z11" s="44"/>
      <c r="AA11" s="44"/>
      <c r="AB11" s="45"/>
      <c r="AC11" s="46"/>
      <c r="AD11" s="46"/>
      <c r="AE11" s="47"/>
      <c r="AF11" s="46"/>
      <c r="AG11" s="44"/>
      <c r="AH11" s="44"/>
      <c r="AI11" s="44"/>
      <c r="AJ11" s="44"/>
      <c r="AK11" s="44"/>
      <c r="AL11" s="44"/>
      <c r="AM11" s="44"/>
      <c r="AN11" s="44"/>
      <c r="AO11" s="45"/>
      <c r="AP11" s="44"/>
      <c r="AQ11" s="35"/>
    </row>
    <row r="12" spans="1:44" s="48" customFormat="1" ht="97.7" customHeight="1">
      <c r="A12" s="32" t="s">
        <v>109</v>
      </c>
      <c r="B12" s="50" t="s">
        <v>108</v>
      </c>
      <c r="C12" s="38" t="s">
        <v>96</v>
      </c>
      <c r="D12" s="39" t="s">
        <v>32</v>
      </c>
      <c r="E12" s="40">
        <v>43782</v>
      </c>
      <c r="F12" s="40">
        <v>43802</v>
      </c>
      <c r="G12" s="40">
        <v>43845</v>
      </c>
      <c r="H12" s="40">
        <v>43847</v>
      </c>
      <c r="I12" s="41" t="s">
        <v>86</v>
      </c>
      <c r="J12" s="42">
        <f t="shared" si="0"/>
        <v>3005</v>
      </c>
      <c r="K12" s="42">
        <v>3005</v>
      </c>
      <c r="L12" s="42"/>
      <c r="M12" s="34" t="s">
        <v>197</v>
      </c>
      <c r="N12" s="43"/>
      <c r="O12" s="44"/>
      <c r="P12" s="44"/>
      <c r="Q12" s="44"/>
      <c r="R12" s="44"/>
      <c r="S12" s="44"/>
      <c r="T12" s="44"/>
      <c r="U12" s="44"/>
      <c r="V12" s="44"/>
      <c r="W12" s="44"/>
      <c r="X12" s="44"/>
      <c r="Y12" s="44"/>
      <c r="Z12" s="44"/>
      <c r="AA12" s="44"/>
      <c r="AB12" s="45"/>
      <c r="AC12" s="46"/>
      <c r="AD12" s="46"/>
      <c r="AE12" s="47"/>
      <c r="AF12" s="46"/>
      <c r="AG12" s="44"/>
      <c r="AH12" s="44"/>
      <c r="AI12" s="44"/>
      <c r="AJ12" s="44"/>
      <c r="AK12" s="44"/>
      <c r="AL12" s="44"/>
      <c r="AM12" s="44"/>
      <c r="AN12" s="44"/>
      <c r="AO12" s="45"/>
      <c r="AP12" s="44"/>
      <c r="AQ12" s="35"/>
    </row>
    <row r="13" spans="1:44" s="48" customFormat="1" ht="38.450000000000003" customHeight="1">
      <c r="A13" s="32" t="s">
        <v>110</v>
      </c>
      <c r="B13" s="57" t="s">
        <v>153</v>
      </c>
      <c r="C13" s="38" t="s">
        <v>111</v>
      </c>
      <c r="D13" s="39" t="s">
        <v>45</v>
      </c>
      <c r="E13" s="40">
        <v>43880</v>
      </c>
      <c r="F13" s="41" t="str">
        <f>IF(D13="","",IF((OR(D13=data_validation!A$1,D13=data_validation!A$2)),"Indicate Date","N/A"))</f>
        <v>N/A</v>
      </c>
      <c r="G13" s="40">
        <v>43887</v>
      </c>
      <c r="H13" s="40">
        <v>43889</v>
      </c>
      <c r="I13" s="41" t="s">
        <v>86</v>
      </c>
      <c r="J13" s="42">
        <f t="shared" si="0"/>
        <v>259</v>
      </c>
      <c r="K13" s="42">
        <v>259</v>
      </c>
      <c r="L13" s="42"/>
      <c r="M13" s="34" t="s">
        <v>154</v>
      </c>
      <c r="N13" s="43"/>
      <c r="O13" s="44"/>
      <c r="P13" s="44"/>
      <c r="Q13" s="44"/>
      <c r="R13" s="44"/>
      <c r="S13" s="44"/>
      <c r="T13" s="44"/>
      <c r="U13" s="44"/>
      <c r="V13" s="44"/>
      <c r="W13" s="44"/>
      <c r="X13" s="44"/>
      <c r="Y13" s="44"/>
      <c r="Z13" s="44"/>
      <c r="AA13" s="44"/>
      <c r="AB13" s="45"/>
      <c r="AC13" s="46"/>
      <c r="AD13" s="46"/>
      <c r="AE13" s="47"/>
      <c r="AF13" s="46"/>
      <c r="AG13" s="44"/>
      <c r="AH13" s="44"/>
      <c r="AI13" s="44"/>
      <c r="AJ13" s="44"/>
      <c r="AK13" s="44"/>
      <c r="AL13" s="44"/>
      <c r="AM13" s="44"/>
      <c r="AN13" s="44"/>
      <c r="AO13" s="45"/>
      <c r="AP13" s="44"/>
      <c r="AQ13" s="35"/>
    </row>
    <row r="14" spans="1:44" s="48" customFormat="1" ht="102.6" customHeight="1">
      <c r="A14" s="32" t="s">
        <v>114</v>
      </c>
      <c r="B14" s="50" t="s">
        <v>112</v>
      </c>
      <c r="C14" s="38" t="s">
        <v>113</v>
      </c>
      <c r="D14" s="39" t="s">
        <v>45</v>
      </c>
      <c r="E14" s="40">
        <v>43852</v>
      </c>
      <c r="F14" s="41" t="str">
        <f>IF(D14="","",IF((OR(D14=data_validation!A$1,D14=data_validation!A$2)),"Indicate Date","N/A"))</f>
        <v>N/A</v>
      </c>
      <c r="G14" s="40">
        <v>43875</v>
      </c>
      <c r="H14" s="40">
        <v>43877</v>
      </c>
      <c r="I14" s="41" t="s">
        <v>86</v>
      </c>
      <c r="J14" s="42">
        <f t="shared" si="0"/>
        <v>292</v>
      </c>
      <c r="K14" s="42">
        <v>292</v>
      </c>
      <c r="L14" s="42"/>
      <c r="M14" s="34" t="s">
        <v>198</v>
      </c>
      <c r="N14" s="43"/>
      <c r="O14" s="44"/>
      <c r="P14" s="44"/>
      <c r="Q14" s="44"/>
      <c r="R14" s="44"/>
      <c r="S14" s="44"/>
      <c r="T14" s="44"/>
      <c r="U14" s="44"/>
      <c r="V14" s="44"/>
      <c r="W14" s="44"/>
      <c r="X14" s="44"/>
      <c r="Y14" s="44"/>
      <c r="Z14" s="44"/>
      <c r="AA14" s="44"/>
      <c r="AB14" s="45"/>
      <c r="AC14" s="46"/>
      <c r="AD14" s="46"/>
      <c r="AE14" s="47"/>
      <c r="AF14" s="46"/>
      <c r="AG14" s="44"/>
      <c r="AH14" s="44"/>
      <c r="AI14" s="44"/>
      <c r="AJ14" s="44"/>
      <c r="AK14" s="44"/>
      <c r="AL14" s="44"/>
      <c r="AM14" s="44"/>
      <c r="AN14" s="44"/>
      <c r="AO14" s="45"/>
      <c r="AP14" s="44"/>
      <c r="AQ14" s="35"/>
    </row>
    <row r="15" spans="1:44" s="48" customFormat="1" ht="12.75">
      <c r="A15" s="32" t="s">
        <v>97</v>
      </c>
      <c r="B15" s="50" t="s">
        <v>115</v>
      </c>
      <c r="C15" s="41" t="s">
        <v>98</v>
      </c>
      <c r="D15" s="39" t="s">
        <v>34</v>
      </c>
      <c r="E15" s="41" t="str">
        <f>IF(D15="","",IF((OR(D15=data_validation!A$1,D15=data_validation!A$2,D15=data_validation!A$5,D15=data_validation!A$6,D15=data_validation!A$14,D15=data_validation!A$16)),"Indicate Date","N/A"))</f>
        <v>N/A</v>
      </c>
      <c r="F15" s="41" t="str">
        <f>IF(D15="","",IF((OR(D15=data_validation!A$1,D15=data_validation!A$2)),"Indicate Date","N/A"))</f>
        <v>N/A</v>
      </c>
      <c r="G15" s="40">
        <v>43859</v>
      </c>
      <c r="H15" s="40">
        <v>43861</v>
      </c>
      <c r="I15" s="41" t="s">
        <v>86</v>
      </c>
      <c r="J15" s="42">
        <f t="shared" si="0"/>
        <v>200</v>
      </c>
      <c r="K15" s="42">
        <v>200</v>
      </c>
      <c r="L15" s="42"/>
      <c r="M15" s="51" t="s">
        <v>155</v>
      </c>
      <c r="N15" s="43"/>
      <c r="O15" s="44"/>
      <c r="P15" s="44"/>
      <c r="Q15" s="44"/>
      <c r="R15" s="44"/>
      <c r="S15" s="44"/>
      <c r="T15" s="44"/>
      <c r="U15" s="44"/>
      <c r="V15" s="44"/>
      <c r="W15" s="44"/>
      <c r="X15" s="44"/>
      <c r="Y15" s="44"/>
      <c r="Z15" s="44"/>
      <c r="AA15" s="44"/>
      <c r="AB15" s="45"/>
      <c r="AC15" s="46"/>
      <c r="AD15" s="46"/>
      <c r="AE15" s="47"/>
      <c r="AF15" s="46"/>
      <c r="AG15" s="44"/>
      <c r="AH15" s="44"/>
      <c r="AI15" s="44"/>
      <c r="AJ15" s="44"/>
      <c r="AK15" s="44"/>
      <c r="AL15" s="44"/>
      <c r="AM15" s="44"/>
      <c r="AN15" s="44"/>
      <c r="AO15" s="45"/>
      <c r="AP15" s="44"/>
      <c r="AQ15" s="35"/>
    </row>
    <row r="16" spans="1:44" s="48" customFormat="1" ht="81" customHeight="1">
      <c r="A16" s="32" t="s">
        <v>208</v>
      </c>
      <c r="B16" s="57" t="s">
        <v>157</v>
      </c>
      <c r="C16" s="38" t="s">
        <v>209</v>
      </c>
      <c r="D16" s="39" t="s">
        <v>34</v>
      </c>
      <c r="E16" s="41" t="str">
        <f>IF(D16="","",IF((OR(D16=data_validation!A$1,D16=data_validation!A$2,D16=data_validation!A$5,D16=data_validation!A$6,D16=data_validation!A$14,D16=data_validation!A$16)),"Indicate Date","N/A"))</f>
        <v>N/A</v>
      </c>
      <c r="F16" s="41" t="str">
        <f>IF(D16="","",IF((OR(D16=data_validation!A$1,D16=data_validation!A$2)),"Indicate Date","N/A"))</f>
        <v>N/A</v>
      </c>
      <c r="G16" s="40">
        <v>43859</v>
      </c>
      <c r="H16" s="40">
        <v>43861</v>
      </c>
      <c r="I16" s="41" t="s">
        <v>86</v>
      </c>
      <c r="J16" s="42">
        <f t="shared" si="0"/>
        <v>272</v>
      </c>
      <c r="K16" s="42">
        <v>272</v>
      </c>
      <c r="L16" s="42"/>
      <c r="M16" s="34" t="s">
        <v>199</v>
      </c>
      <c r="N16" s="43"/>
      <c r="O16" s="44"/>
      <c r="P16" s="44"/>
      <c r="Q16" s="44"/>
      <c r="R16" s="44"/>
      <c r="S16" s="44"/>
      <c r="T16" s="44"/>
      <c r="U16" s="44"/>
      <c r="V16" s="44"/>
      <c r="W16" s="44"/>
      <c r="X16" s="44"/>
      <c r="Y16" s="44"/>
      <c r="Z16" s="44"/>
      <c r="AA16" s="44"/>
      <c r="AB16" s="45"/>
      <c r="AC16" s="46"/>
      <c r="AD16" s="46"/>
      <c r="AE16" s="47"/>
      <c r="AF16" s="46"/>
      <c r="AG16" s="44"/>
      <c r="AH16" s="44"/>
      <c r="AI16" s="44"/>
      <c r="AJ16" s="44"/>
      <c r="AK16" s="44"/>
      <c r="AL16" s="44"/>
      <c r="AM16" s="44"/>
      <c r="AN16" s="44"/>
      <c r="AO16" s="45"/>
      <c r="AP16" s="44"/>
      <c r="AQ16" s="36" t="s">
        <v>183</v>
      </c>
    </row>
    <row r="17" spans="1:43" s="48" customFormat="1" ht="26.45" customHeight="1">
      <c r="A17" s="32" t="s">
        <v>118</v>
      </c>
      <c r="B17" s="57" t="s">
        <v>116</v>
      </c>
      <c r="C17" s="41" t="s">
        <v>117</v>
      </c>
      <c r="D17" s="39" t="s">
        <v>34</v>
      </c>
      <c r="E17" s="41" t="str">
        <f>IF(D17="","",IF((OR(D17=data_validation!A$1,D17=data_validation!A$2,D17=data_validation!A$5,D17=data_validation!A$6,D17=data_validation!A$14,D17=data_validation!A$16)),"Indicate Date","N/A"))</f>
        <v>N/A</v>
      </c>
      <c r="F17" s="41" t="str">
        <f>IF(D17="","",IF((OR(D17=data_validation!A$1,D17=data_validation!A$2)),"Indicate Date","N/A"))</f>
        <v>N/A</v>
      </c>
      <c r="G17" s="40">
        <v>43859</v>
      </c>
      <c r="H17" s="40">
        <v>43861</v>
      </c>
      <c r="I17" s="41" t="s">
        <v>86</v>
      </c>
      <c r="J17" s="42">
        <f t="shared" si="0"/>
        <v>180</v>
      </c>
      <c r="K17" s="42">
        <v>180</v>
      </c>
      <c r="L17" s="42"/>
      <c r="M17" s="51" t="s">
        <v>156</v>
      </c>
      <c r="N17" s="43"/>
      <c r="O17" s="44"/>
      <c r="P17" s="44"/>
      <c r="Q17" s="44"/>
      <c r="R17" s="44"/>
      <c r="S17" s="44"/>
      <c r="T17" s="44"/>
      <c r="U17" s="44"/>
      <c r="V17" s="44"/>
      <c r="W17" s="44"/>
      <c r="X17" s="44"/>
      <c r="Y17" s="44"/>
      <c r="Z17" s="44"/>
      <c r="AA17" s="44"/>
      <c r="AB17" s="45"/>
      <c r="AC17" s="46"/>
      <c r="AD17" s="46"/>
      <c r="AE17" s="47"/>
      <c r="AF17" s="46"/>
      <c r="AG17" s="44"/>
      <c r="AH17" s="44"/>
      <c r="AI17" s="44"/>
      <c r="AJ17" s="44"/>
      <c r="AK17" s="44"/>
      <c r="AL17" s="44"/>
      <c r="AM17" s="44"/>
      <c r="AN17" s="44"/>
      <c r="AO17" s="45"/>
      <c r="AP17" s="44"/>
      <c r="AQ17" s="35"/>
    </row>
    <row r="18" spans="1:43" s="48" customFormat="1" ht="12.75">
      <c r="A18" s="32" t="s">
        <v>118</v>
      </c>
      <c r="B18" s="50" t="s">
        <v>119</v>
      </c>
      <c r="C18" s="41" t="s">
        <v>117</v>
      </c>
      <c r="D18" s="39" t="s">
        <v>33</v>
      </c>
      <c r="E18" s="40">
        <v>43887</v>
      </c>
      <c r="F18" s="40">
        <v>43907</v>
      </c>
      <c r="G18" s="40">
        <v>43910</v>
      </c>
      <c r="H18" s="40">
        <v>43912</v>
      </c>
      <c r="I18" s="41" t="s">
        <v>86</v>
      </c>
      <c r="J18" s="42">
        <f t="shared" si="0"/>
        <v>300</v>
      </c>
      <c r="K18" s="42">
        <v>300</v>
      </c>
      <c r="L18" s="42"/>
      <c r="M18" s="51" t="s">
        <v>158</v>
      </c>
      <c r="N18" s="43"/>
      <c r="O18" s="44"/>
      <c r="P18" s="44"/>
      <c r="Q18" s="44"/>
      <c r="R18" s="44"/>
      <c r="S18" s="44"/>
      <c r="T18" s="44"/>
      <c r="U18" s="44"/>
      <c r="V18" s="44"/>
      <c r="W18" s="44"/>
      <c r="X18" s="44"/>
      <c r="Y18" s="44"/>
      <c r="Z18" s="44"/>
      <c r="AA18" s="44"/>
      <c r="AB18" s="45"/>
      <c r="AC18" s="46"/>
      <c r="AD18" s="46"/>
      <c r="AE18" s="47"/>
      <c r="AF18" s="46"/>
      <c r="AG18" s="44"/>
      <c r="AH18" s="44"/>
      <c r="AI18" s="44"/>
      <c r="AJ18" s="44"/>
      <c r="AK18" s="44"/>
      <c r="AL18" s="44"/>
      <c r="AM18" s="44"/>
      <c r="AN18" s="44"/>
      <c r="AO18" s="45"/>
      <c r="AP18" s="44"/>
      <c r="AQ18" s="35"/>
    </row>
    <row r="19" spans="1:43" s="48" customFormat="1" ht="12.75">
      <c r="A19" s="32" t="s">
        <v>136</v>
      </c>
      <c r="B19" s="50" t="s">
        <v>119</v>
      </c>
      <c r="C19" s="41" t="s">
        <v>120</v>
      </c>
      <c r="D19" s="39" t="s">
        <v>33</v>
      </c>
      <c r="E19" s="40">
        <v>43887</v>
      </c>
      <c r="F19" s="40">
        <v>43907</v>
      </c>
      <c r="G19" s="40">
        <v>43910</v>
      </c>
      <c r="H19" s="40">
        <v>43912</v>
      </c>
      <c r="I19" s="41" t="s">
        <v>86</v>
      </c>
      <c r="J19" s="42">
        <f t="shared" si="0"/>
        <v>300</v>
      </c>
      <c r="K19" s="42">
        <v>300</v>
      </c>
      <c r="L19" s="42"/>
      <c r="M19" s="51" t="s">
        <v>159</v>
      </c>
      <c r="N19" s="43"/>
      <c r="O19" s="44"/>
      <c r="P19" s="44"/>
      <c r="Q19" s="44"/>
      <c r="R19" s="44"/>
      <c r="S19" s="44"/>
      <c r="T19" s="44"/>
      <c r="U19" s="44"/>
      <c r="V19" s="44"/>
      <c r="W19" s="44"/>
      <c r="X19" s="44"/>
      <c r="Y19" s="44"/>
      <c r="Z19" s="44"/>
      <c r="AA19" s="44"/>
      <c r="AB19" s="45"/>
      <c r="AC19" s="46"/>
      <c r="AD19" s="46"/>
      <c r="AE19" s="47"/>
      <c r="AF19" s="46"/>
      <c r="AG19" s="44"/>
      <c r="AH19" s="44"/>
      <c r="AI19" s="44"/>
      <c r="AJ19" s="44"/>
      <c r="AK19" s="44"/>
      <c r="AL19" s="44"/>
      <c r="AM19" s="44"/>
      <c r="AN19" s="44"/>
      <c r="AO19" s="45"/>
      <c r="AP19" s="44"/>
      <c r="AQ19" s="35"/>
    </row>
    <row r="20" spans="1:43" s="48" customFormat="1" ht="39.6" customHeight="1">
      <c r="A20" s="32" t="s">
        <v>129</v>
      </c>
      <c r="B20" s="50" t="s">
        <v>119</v>
      </c>
      <c r="C20" s="41" t="s">
        <v>122</v>
      </c>
      <c r="D20" s="39" t="s">
        <v>32</v>
      </c>
      <c r="E20" s="40">
        <v>43894</v>
      </c>
      <c r="F20" s="40">
        <v>43914</v>
      </c>
      <c r="G20" s="40">
        <v>43917</v>
      </c>
      <c r="H20" s="40">
        <v>43919</v>
      </c>
      <c r="I20" s="41" t="s">
        <v>86</v>
      </c>
      <c r="J20" s="42">
        <f t="shared" si="0"/>
        <v>1415</v>
      </c>
      <c r="K20" s="42">
        <v>1415</v>
      </c>
      <c r="L20" s="42"/>
      <c r="M20" s="34" t="s">
        <v>160</v>
      </c>
      <c r="N20" s="43"/>
      <c r="O20" s="44"/>
      <c r="P20" s="44"/>
      <c r="Q20" s="44"/>
      <c r="R20" s="44"/>
      <c r="S20" s="44"/>
      <c r="T20" s="44"/>
      <c r="U20" s="44"/>
      <c r="V20" s="44"/>
      <c r="W20" s="44"/>
      <c r="X20" s="44"/>
      <c r="Y20" s="44"/>
      <c r="Z20" s="44"/>
      <c r="AA20" s="44"/>
      <c r="AB20" s="45"/>
      <c r="AC20" s="46"/>
      <c r="AD20" s="46"/>
      <c r="AE20" s="47"/>
      <c r="AF20" s="46"/>
      <c r="AG20" s="44"/>
      <c r="AH20" s="44"/>
      <c r="AI20" s="44"/>
      <c r="AJ20" s="44"/>
      <c r="AK20" s="44"/>
      <c r="AL20" s="44"/>
      <c r="AM20" s="44"/>
      <c r="AN20" s="44"/>
      <c r="AO20" s="45"/>
      <c r="AP20" s="44"/>
      <c r="AQ20" s="35"/>
    </row>
    <row r="21" spans="1:43" s="48" customFormat="1" ht="167.45" customHeight="1">
      <c r="A21" s="32" t="s">
        <v>207</v>
      </c>
      <c r="B21" s="57" t="s">
        <v>123</v>
      </c>
      <c r="C21" s="38" t="s">
        <v>185</v>
      </c>
      <c r="D21" s="39" t="s">
        <v>32</v>
      </c>
      <c r="E21" s="40">
        <v>43782</v>
      </c>
      <c r="F21" s="40">
        <v>43802</v>
      </c>
      <c r="G21" s="40">
        <v>43845</v>
      </c>
      <c r="H21" s="40">
        <v>43847</v>
      </c>
      <c r="I21" s="41" t="s">
        <v>86</v>
      </c>
      <c r="J21" s="42">
        <f t="shared" si="0"/>
        <v>900</v>
      </c>
      <c r="K21" s="42">
        <v>900</v>
      </c>
      <c r="L21" s="42"/>
      <c r="M21" s="34" t="s">
        <v>186</v>
      </c>
      <c r="N21" s="43"/>
      <c r="O21" s="44"/>
      <c r="P21" s="44"/>
      <c r="Q21" s="44"/>
      <c r="R21" s="44"/>
      <c r="S21" s="44"/>
      <c r="T21" s="44"/>
      <c r="U21" s="44"/>
      <c r="V21" s="44"/>
      <c r="W21" s="44"/>
      <c r="X21" s="44"/>
      <c r="Y21" s="44"/>
      <c r="Z21" s="44"/>
      <c r="AA21" s="44"/>
      <c r="AB21" s="45"/>
      <c r="AC21" s="46"/>
      <c r="AD21" s="46"/>
      <c r="AE21" s="47"/>
      <c r="AF21" s="46"/>
      <c r="AG21" s="44"/>
      <c r="AH21" s="44"/>
      <c r="AI21" s="44"/>
      <c r="AJ21" s="44"/>
      <c r="AK21" s="44"/>
      <c r="AL21" s="44"/>
      <c r="AM21" s="44"/>
      <c r="AN21" s="44"/>
      <c r="AO21" s="45"/>
      <c r="AP21" s="44"/>
      <c r="AQ21" s="35"/>
    </row>
    <row r="22" spans="1:43" s="48" customFormat="1" ht="70.7" customHeight="1">
      <c r="A22" s="32" t="s">
        <v>206</v>
      </c>
      <c r="B22" s="57" t="s">
        <v>123</v>
      </c>
      <c r="C22" s="38" t="s">
        <v>187</v>
      </c>
      <c r="D22" s="39" t="s">
        <v>45</v>
      </c>
      <c r="E22" s="40">
        <v>43782</v>
      </c>
      <c r="F22" s="40">
        <v>43802</v>
      </c>
      <c r="G22" s="40">
        <v>43845</v>
      </c>
      <c r="H22" s="40">
        <v>43847</v>
      </c>
      <c r="I22" s="41" t="s">
        <v>86</v>
      </c>
      <c r="J22" s="42">
        <f t="shared" si="0"/>
        <v>44</v>
      </c>
      <c r="K22" s="42">
        <v>44</v>
      </c>
      <c r="L22" s="42"/>
      <c r="M22" s="34" t="s">
        <v>188</v>
      </c>
      <c r="N22" s="43"/>
      <c r="O22" s="44"/>
      <c r="P22" s="44"/>
      <c r="Q22" s="44"/>
      <c r="R22" s="44"/>
      <c r="S22" s="44"/>
      <c r="T22" s="44"/>
      <c r="U22" s="44"/>
      <c r="V22" s="44"/>
      <c r="W22" s="44"/>
      <c r="X22" s="44"/>
      <c r="Y22" s="44"/>
      <c r="Z22" s="44"/>
      <c r="AA22" s="44"/>
      <c r="AB22" s="45"/>
      <c r="AC22" s="46"/>
      <c r="AD22" s="46"/>
      <c r="AE22" s="47"/>
      <c r="AF22" s="46"/>
      <c r="AG22" s="44"/>
      <c r="AH22" s="44"/>
      <c r="AI22" s="44"/>
      <c r="AJ22" s="44"/>
      <c r="AK22" s="44"/>
      <c r="AL22" s="44"/>
      <c r="AM22" s="44"/>
      <c r="AN22" s="44"/>
      <c r="AO22" s="45"/>
      <c r="AP22" s="44"/>
      <c r="AQ22" s="35"/>
    </row>
    <row r="23" spans="1:43" s="48" customFormat="1" ht="25.7" customHeight="1">
      <c r="A23" s="32" t="s">
        <v>97</v>
      </c>
      <c r="B23" s="57" t="s">
        <v>123</v>
      </c>
      <c r="C23" s="38" t="s">
        <v>98</v>
      </c>
      <c r="D23" s="39" t="s">
        <v>45</v>
      </c>
      <c r="E23" s="40">
        <v>43782</v>
      </c>
      <c r="F23" s="40">
        <v>43802</v>
      </c>
      <c r="G23" s="40">
        <v>43845</v>
      </c>
      <c r="H23" s="40">
        <v>43847</v>
      </c>
      <c r="I23" s="41" t="s">
        <v>86</v>
      </c>
      <c r="J23" s="42">
        <f t="shared" ref="J23" si="2">SUM(K23:L23)</f>
        <v>55</v>
      </c>
      <c r="K23" s="42">
        <v>55</v>
      </c>
      <c r="L23" s="42"/>
      <c r="M23" s="51" t="s">
        <v>189</v>
      </c>
      <c r="N23" s="43"/>
      <c r="O23" s="44"/>
      <c r="P23" s="44"/>
      <c r="Q23" s="44"/>
      <c r="R23" s="44"/>
      <c r="S23" s="44"/>
      <c r="T23" s="44"/>
      <c r="U23" s="44"/>
      <c r="V23" s="44"/>
      <c r="W23" s="44"/>
      <c r="X23" s="44"/>
      <c r="Y23" s="44"/>
      <c r="Z23" s="44"/>
      <c r="AA23" s="44"/>
      <c r="AB23" s="45"/>
      <c r="AC23" s="46"/>
      <c r="AD23" s="46"/>
      <c r="AE23" s="47"/>
      <c r="AF23" s="46"/>
      <c r="AG23" s="44"/>
      <c r="AH23" s="44"/>
      <c r="AI23" s="44"/>
      <c r="AJ23" s="44"/>
      <c r="AK23" s="44"/>
      <c r="AL23" s="44"/>
      <c r="AM23" s="44"/>
      <c r="AN23" s="44"/>
      <c r="AO23" s="45"/>
      <c r="AP23" s="44"/>
      <c r="AQ23" s="35"/>
    </row>
    <row r="24" spans="1:43" s="48" customFormat="1" ht="34.700000000000003" customHeight="1">
      <c r="A24" s="32" t="s">
        <v>118</v>
      </c>
      <c r="B24" s="57" t="s">
        <v>123</v>
      </c>
      <c r="C24" s="38" t="s">
        <v>117</v>
      </c>
      <c r="D24" s="39" t="s">
        <v>34</v>
      </c>
      <c r="E24" s="41" t="str">
        <f>IF(D24="","",IF((OR(D24=data_validation!A$1,D24=data_validation!A$2,D24=data_validation!A$5,D24=data_validation!A$6,D24=data_validation!A$14,D24=data_validation!A$16)),"Indicate Date","N/A"))</f>
        <v>N/A</v>
      </c>
      <c r="F24" s="41" t="str">
        <f>IF(D24="","",IF((OR(D24=data_validation!A$1,D24=data_validation!A$2)),"Indicate Date","N/A"))</f>
        <v>N/A</v>
      </c>
      <c r="G24" s="40">
        <v>43866</v>
      </c>
      <c r="H24" s="40">
        <v>43868</v>
      </c>
      <c r="I24" s="41" t="s">
        <v>86</v>
      </c>
      <c r="J24" s="42">
        <f t="shared" si="0"/>
        <v>325</v>
      </c>
      <c r="K24" s="42">
        <v>325</v>
      </c>
      <c r="L24" s="42"/>
      <c r="M24" s="34" t="s">
        <v>161</v>
      </c>
      <c r="N24" s="43"/>
      <c r="O24" s="44"/>
      <c r="P24" s="44"/>
      <c r="Q24" s="44"/>
      <c r="R24" s="44"/>
      <c r="S24" s="44"/>
      <c r="T24" s="44"/>
      <c r="U24" s="44"/>
      <c r="V24" s="44"/>
      <c r="W24" s="44"/>
      <c r="X24" s="44"/>
      <c r="Y24" s="44"/>
      <c r="Z24" s="44"/>
      <c r="AA24" s="44"/>
      <c r="AB24" s="45"/>
      <c r="AC24" s="46"/>
      <c r="AD24" s="46"/>
      <c r="AE24" s="47"/>
      <c r="AF24" s="46"/>
      <c r="AG24" s="44"/>
      <c r="AH24" s="44"/>
      <c r="AI24" s="44"/>
      <c r="AJ24" s="44"/>
      <c r="AK24" s="44"/>
      <c r="AL24" s="44"/>
      <c r="AM24" s="44"/>
      <c r="AN24" s="44"/>
      <c r="AO24" s="45"/>
      <c r="AP24" s="44"/>
      <c r="AQ24" s="35"/>
    </row>
    <row r="25" spans="1:43" s="48" customFormat="1" ht="22.5">
      <c r="A25" s="32" t="s">
        <v>118</v>
      </c>
      <c r="B25" s="57" t="s">
        <v>123</v>
      </c>
      <c r="C25" s="38" t="s">
        <v>117</v>
      </c>
      <c r="D25" s="39" t="s">
        <v>34</v>
      </c>
      <c r="E25" s="41" t="str">
        <f>IF(D25="","",IF((OR(D25=data_validation!A$1,D25=data_validation!A$2,D25=data_validation!A$5,D25=data_validation!A$6,D25=data_validation!A$14,D25=data_validation!A$16)),"Indicate Date","N/A"))</f>
        <v>N/A</v>
      </c>
      <c r="F25" s="41" t="str">
        <f>IF(D25="","",IF((OR(D25=data_validation!A$1,D25=data_validation!A$2)),"Indicate Date","N/A"))</f>
        <v>N/A</v>
      </c>
      <c r="G25" s="40">
        <v>43866</v>
      </c>
      <c r="H25" s="40">
        <v>43868</v>
      </c>
      <c r="I25" s="41" t="s">
        <v>86</v>
      </c>
      <c r="J25" s="42">
        <f t="shared" si="0"/>
        <v>30</v>
      </c>
      <c r="K25" s="42">
        <v>30</v>
      </c>
      <c r="L25" s="42"/>
      <c r="M25" s="51" t="s">
        <v>162</v>
      </c>
      <c r="N25" s="43"/>
      <c r="O25" s="44"/>
      <c r="P25" s="44"/>
      <c r="Q25" s="44"/>
      <c r="R25" s="44"/>
      <c r="S25" s="44"/>
      <c r="T25" s="44"/>
      <c r="U25" s="44"/>
      <c r="V25" s="44"/>
      <c r="W25" s="44"/>
      <c r="X25" s="44"/>
      <c r="Y25" s="44"/>
      <c r="Z25" s="44"/>
      <c r="AA25" s="44"/>
      <c r="AB25" s="45"/>
      <c r="AC25" s="46"/>
      <c r="AD25" s="46"/>
      <c r="AE25" s="47"/>
      <c r="AF25" s="46"/>
      <c r="AG25" s="44"/>
      <c r="AH25" s="44"/>
      <c r="AI25" s="44"/>
      <c r="AJ25" s="44"/>
      <c r="AK25" s="44"/>
      <c r="AL25" s="44"/>
      <c r="AM25" s="44"/>
      <c r="AN25" s="44"/>
      <c r="AO25" s="45"/>
      <c r="AP25" s="44"/>
      <c r="AQ25" s="35"/>
    </row>
    <row r="26" spans="1:43" s="48" customFormat="1" ht="33.75">
      <c r="A26" s="32" t="s">
        <v>97</v>
      </c>
      <c r="B26" s="57" t="s">
        <v>123</v>
      </c>
      <c r="C26" s="38" t="s">
        <v>98</v>
      </c>
      <c r="D26" s="39" t="s">
        <v>34</v>
      </c>
      <c r="E26" s="41" t="str">
        <f>IF(D26="","",IF((OR(D26=data_validation!A$1,D26=data_validation!A$2,D26=data_validation!A$5,D26=data_validation!A$6,D26=data_validation!A$14,D26=data_validation!A$16)),"Indicate Date","N/A"))</f>
        <v>N/A</v>
      </c>
      <c r="F26" s="41" t="str">
        <f>IF(D26="","",IF((OR(D26=data_validation!A$1,D26=data_validation!A$2)),"Indicate Date","N/A"))</f>
        <v>N/A</v>
      </c>
      <c r="G26" s="40">
        <v>43866</v>
      </c>
      <c r="H26" s="40">
        <v>43868</v>
      </c>
      <c r="I26" s="41" t="s">
        <v>86</v>
      </c>
      <c r="J26" s="42">
        <f t="shared" ref="J26" si="3">SUM(K26:L26)</f>
        <v>408</v>
      </c>
      <c r="K26" s="42">
        <f>108+300</f>
        <v>408</v>
      </c>
      <c r="L26" s="42"/>
      <c r="M26" s="34" t="s">
        <v>205</v>
      </c>
      <c r="N26" s="43"/>
      <c r="O26" s="44"/>
      <c r="P26" s="44"/>
      <c r="Q26" s="44"/>
      <c r="R26" s="44"/>
      <c r="S26" s="44"/>
      <c r="T26" s="44"/>
      <c r="U26" s="44"/>
      <c r="V26" s="44"/>
      <c r="W26" s="44"/>
      <c r="X26" s="44"/>
      <c r="Y26" s="44"/>
      <c r="Z26" s="44"/>
      <c r="AA26" s="44"/>
      <c r="AB26" s="45"/>
      <c r="AC26" s="46"/>
      <c r="AD26" s="46"/>
      <c r="AE26" s="47"/>
      <c r="AF26" s="46"/>
      <c r="AG26" s="44"/>
      <c r="AH26" s="44"/>
      <c r="AI26" s="44"/>
      <c r="AJ26" s="44"/>
      <c r="AK26" s="44"/>
      <c r="AL26" s="44"/>
      <c r="AM26" s="44"/>
      <c r="AN26" s="44"/>
      <c r="AO26" s="45"/>
      <c r="AP26" s="44"/>
      <c r="AQ26" s="56"/>
    </row>
    <row r="27" spans="1:43" s="48" customFormat="1" ht="22.5">
      <c r="A27" s="32" t="s">
        <v>118</v>
      </c>
      <c r="B27" s="57" t="s">
        <v>123</v>
      </c>
      <c r="C27" s="38" t="s">
        <v>117</v>
      </c>
      <c r="D27" s="39" t="s">
        <v>34</v>
      </c>
      <c r="E27" s="41" t="str">
        <f>IF(D27="","",IF((OR(D27=data_validation!A$1,D27=data_validation!A$2,D27=data_validation!A$5,D27=data_validation!A$6,D27=data_validation!A$14,D27=data_validation!A$16)),"Indicate Date","N/A"))</f>
        <v>N/A</v>
      </c>
      <c r="F27" s="41" t="str">
        <f>IF(D27="","",IF((OR(D27=data_validation!A$1,D27=data_validation!A$2)),"Indicate Date","N/A"))</f>
        <v>N/A</v>
      </c>
      <c r="G27" s="40">
        <v>43866</v>
      </c>
      <c r="H27" s="40">
        <v>43868</v>
      </c>
      <c r="I27" s="41" t="s">
        <v>86</v>
      </c>
      <c r="J27" s="42">
        <f t="shared" si="0"/>
        <v>108</v>
      </c>
      <c r="K27" s="42">
        <v>108</v>
      </c>
      <c r="L27" s="42"/>
      <c r="M27" s="34" t="s">
        <v>163</v>
      </c>
      <c r="N27" s="43"/>
      <c r="O27" s="44"/>
      <c r="P27" s="44"/>
      <c r="Q27" s="44"/>
      <c r="R27" s="44"/>
      <c r="S27" s="44"/>
      <c r="T27" s="44"/>
      <c r="U27" s="44"/>
      <c r="V27" s="44"/>
      <c r="W27" s="44"/>
      <c r="X27" s="44"/>
      <c r="Y27" s="44"/>
      <c r="Z27" s="44"/>
      <c r="AA27" s="44"/>
      <c r="AB27" s="45"/>
      <c r="AC27" s="46"/>
      <c r="AD27" s="46"/>
      <c r="AE27" s="47"/>
      <c r="AF27" s="46"/>
      <c r="AG27" s="44"/>
      <c r="AH27" s="44"/>
      <c r="AI27" s="44"/>
      <c r="AJ27" s="44"/>
      <c r="AK27" s="44"/>
      <c r="AL27" s="44"/>
      <c r="AM27" s="44"/>
      <c r="AN27" s="44"/>
      <c r="AO27" s="45"/>
      <c r="AP27" s="44"/>
      <c r="AQ27" s="35"/>
    </row>
    <row r="28" spans="1:43" s="48" customFormat="1" ht="22.5">
      <c r="A28" s="32" t="s">
        <v>129</v>
      </c>
      <c r="B28" s="57" t="s">
        <v>123</v>
      </c>
      <c r="C28" s="38" t="s">
        <v>122</v>
      </c>
      <c r="D28" s="39" t="s">
        <v>34</v>
      </c>
      <c r="E28" s="41" t="str">
        <f>IF(D28="","",IF((OR(D28=data_validation!A$1,D28=data_validation!A$2,D28=data_validation!A$5,D28=data_validation!A$6,D28=data_validation!A$14,D28=data_validation!A$16)),"Indicate Date","N/A"))</f>
        <v>N/A</v>
      </c>
      <c r="F28" s="41" t="str">
        <f>IF(D28="","",IF((OR(D28=data_validation!A$1,D28=data_validation!A$2)),"Indicate Date","N/A"))</f>
        <v>N/A</v>
      </c>
      <c r="G28" s="40">
        <v>43866</v>
      </c>
      <c r="H28" s="40">
        <v>43868</v>
      </c>
      <c r="I28" s="41" t="s">
        <v>86</v>
      </c>
      <c r="J28" s="42">
        <f t="shared" ref="J28" si="4">SUM(K28:L28)</f>
        <v>27</v>
      </c>
      <c r="K28" s="42">
        <v>27</v>
      </c>
      <c r="L28" s="42"/>
      <c r="M28" s="34" t="s">
        <v>164</v>
      </c>
      <c r="N28" s="43"/>
      <c r="O28" s="44"/>
      <c r="P28" s="44"/>
      <c r="Q28" s="44"/>
      <c r="R28" s="44"/>
      <c r="S28" s="44"/>
      <c r="T28" s="44"/>
      <c r="U28" s="44"/>
      <c r="V28" s="44"/>
      <c r="W28" s="44"/>
      <c r="X28" s="44"/>
      <c r="Y28" s="44"/>
      <c r="Z28" s="44"/>
      <c r="AA28" s="44"/>
      <c r="AB28" s="45"/>
      <c r="AC28" s="46"/>
      <c r="AD28" s="46"/>
      <c r="AE28" s="47"/>
      <c r="AF28" s="46"/>
      <c r="AG28" s="44"/>
      <c r="AH28" s="44"/>
      <c r="AI28" s="44"/>
      <c r="AJ28" s="44"/>
      <c r="AK28" s="44"/>
      <c r="AL28" s="44"/>
      <c r="AM28" s="44"/>
      <c r="AN28" s="44"/>
      <c r="AO28" s="45"/>
      <c r="AP28" s="44"/>
      <c r="AQ28" s="35"/>
    </row>
    <row r="29" spans="1:43" s="48" customFormat="1" ht="29.45" customHeight="1">
      <c r="A29" s="32" t="s">
        <v>97</v>
      </c>
      <c r="B29" s="57" t="s">
        <v>124</v>
      </c>
      <c r="C29" s="41" t="s">
        <v>98</v>
      </c>
      <c r="D29" s="39" t="s">
        <v>32</v>
      </c>
      <c r="E29" s="40">
        <v>43938</v>
      </c>
      <c r="F29" s="40">
        <v>43958</v>
      </c>
      <c r="G29" s="40">
        <v>43961</v>
      </c>
      <c r="H29" s="40">
        <v>43963</v>
      </c>
      <c r="I29" s="41" t="s">
        <v>86</v>
      </c>
      <c r="J29" s="42">
        <f t="shared" si="0"/>
        <v>250</v>
      </c>
      <c r="K29" s="42">
        <v>250</v>
      </c>
      <c r="L29" s="42"/>
      <c r="M29" s="51" t="s">
        <v>166</v>
      </c>
      <c r="N29" s="43"/>
      <c r="O29" s="44"/>
      <c r="P29" s="44"/>
      <c r="Q29" s="44"/>
      <c r="R29" s="44"/>
      <c r="S29" s="44"/>
      <c r="T29" s="44"/>
      <c r="U29" s="44"/>
      <c r="V29" s="44"/>
      <c r="W29" s="44"/>
      <c r="X29" s="44"/>
      <c r="Y29" s="44"/>
      <c r="Z29" s="44"/>
      <c r="AA29" s="44"/>
      <c r="AB29" s="45"/>
      <c r="AC29" s="46"/>
      <c r="AD29" s="46"/>
      <c r="AE29" s="47"/>
      <c r="AF29" s="46"/>
      <c r="AG29" s="44"/>
      <c r="AH29" s="44"/>
      <c r="AI29" s="44"/>
      <c r="AJ29" s="44"/>
      <c r="AK29" s="44"/>
      <c r="AL29" s="44"/>
      <c r="AM29" s="44"/>
      <c r="AN29" s="44"/>
      <c r="AO29" s="45"/>
      <c r="AP29" s="44"/>
      <c r="AQ29" s="35"/>
    </row>
    <row r="30" spans="1:43" s="48" customFormat="1" ht="27.6" customHeight="1">
      <c r="A30" s="32" t="s">
        <v>97</v>
      </c>
      <c r="B30" s="57" t="s">
        <v>125</v>
      </c>
      <c r="C30" s="41" t="s">
        <v>98</v>
      </c>
      <c r="D30" s="52" t="s">
        <v>45</v>
      </c>
      <c r="E30" s="40">
        <v>43880</v>
      </c>
      <c r="F30" s="41" t="str">
        <f>IF(D30="","",IF((OR(D30=data_validation!A$1,D30=data_validation!A$2)),"Indicate Date","N/A"))</f>
        <v>N/A</v>
      </c>
      <c r="G30" s="40">
        <v>43887</v>
      </c>
      <c r="H30" s="40">
        <v>43889</v>
      </c>
      <c r="I30" s="41" t="s">
        <v>86</v>
      </c>
      <c r="J30" s="42">
        <f t="shared" si="0"/>
        <v>80</v>
      </c>
      <c r="K30" s="42">
        <v>80</v>
      </c>
      <c r="L30" s="42"/>
      <c r="M30" s="51" t="s">
        <v>167</v>
      </c>
      <c r="N30" s="43"/>
      <c r="O30" s="44"/>
      <c r="P30" s="44"/>
      <c r="Q30" s="44"/>
      <c r="R30" s="44"/>
      <c r="S30" s="44"/>
      <c r="T30" s="44"/>
      <c r="U30" s="44"/>
      <c r="V30" s="44"/>
      <c r="W30" s="44"/>
      <c r="X30" s="44"/>
      <c r="Y30" s="44"/>
      <c r="Z30" s="44"/>
      <c r="AA30" s="44"/>
      <c r="AB30" s="45"/>
      <c r="AC30" s="46"/>
      <c r="AD30" s="46"/>
      <c r="AE30" s="47"/>
      <c r="AF30" s="46"/>
      <c r="AG30" s="44"/>
      <c r="AH30" s="44"/>
      <c r="AI30" s="44"/>
      <c r="AJ30" s="44"/>
      <c r="AK30" s="44"/>
      <c r="AL30" s="44"/>
      <c r="AM30" s="44"/>
      <c r="AN30" s="44"/>
      <c r="AO30" s="45"/>
      <c r="AP30" s="44"/>
      <c r="AQ30" s="35"/>
    </row>
    <row r="31" spans="1:43" s="48" customFormat="1" ht="25.7" customHeight="1">
      <c r="A31" s="32" t="s">
        <v>97</v>
      </c>
      <c r="B31" s="57" t="s">
        <v>126</v>
      </c>
      <c r="C31" s="41" t="s">
        <v>98</v>
      </c>
      <c r="D31" s="39" t="s">
        <v>34</v>
      </c>
      <c r="E31" s="41" t="str">
        <f>IF(D31="","",IF((OR(D31=data_validation!A$1,D31=data_validation!A$2,D31=data_validation!A$5,D31=data_validation!A$6,D31=data_validation!A$14,D31=data_validation!A$16)),"Indicate Date","N/A"))</f>
        <v>N/A</v>
      </c>
      <c r="F31" s="41" t="str">
        <f>IF(D31="","",IF((OR(D31=data_validation!A$1,D31=data_validation!A$2)),"Indicate Date","N/A"))</f>
        <v>N/A</v>
      </c>
      <c r="G31" s="40">
        <v>43873</v>
      </c>
      <c r="H31" s="40">
        <v>43875</v>
      </c>
      <c r="I31" s="41" t="s">
        <v>86</v>
      </c>
      <c r="J31" s="42">
        <f t="shared" si="0"/>
        <v>2343</v>
      </c>
      <c r="K31" s="42">
        <v>2343</v>
      </c>
      <c r="L31" s="42"/>
      <c r="M31" s="51" t="s">
        <v>168</v>
      </c>
      <c r="N31" s="43"/>
      <c r="O31" s="44"/>
      <c r="P31" s="44"/>
      <c r="Q31" s="44"/>
      <c r="R31" s="44"/>
      <c r="S31" s="44"/>
      <c r="T31" s="44"/>
      <c r="U31" s="44"/>
      <c r="V31" s="44"/>
      <c r="W31" s="44"/>
      <c r="X31" s="44"/>
      <c r="Y31" s="44"/>
      <c r="Z31" s="44"/>
      <c r="AA31" s="44"/>
      <c r="AB31" s="45"/>
      <c r="AC31" s="46"/>
      <c r="AD31" s="46"/>
      <c r="AE31" s="47"/>
      <c r="AF31" s="46"/>
      <c r="AG31" s="44"/>
      <c r="AH31" s="44"/>
      <c r="AI31" s="44"/>
      <c r="AJ31" s="44"/>
      <c r="AK31" s="44"/>
      <c r="AL31" s="44"/>
      <c r="AM31" s="44"/>
      <c r="AN31" s="44"/>
      <c r="AO31" s="45"/>
      <c r="AP31" s="44"/>
      <c r="AQ31" s="35"/>
    </row>
    <row r="32" spans="1:43" s="48" customFormat="1" ht="31.35" customHeight="1">
      <c r="A32" s="32" t="s">
        <v>97</v>
      </c>
      <c r="B32" s="57" t="s">
        <v>127</v>
      </c>
      <c r="C32" s="41" t="s">
        <v>98</v>
      </c>
      <c r="D32" s="52" t="s">
        <v>45</v>
      </c>
      <c r="E32" s="40">
        <v>43880</v>
      </c>
      <c r="F32" s="41" t="str">
        <f>IF(D32="","",IF((OR(D32=data_validation!A$1,D32=data_validation!A$2)),"Indicate Date","N/A"))</f>
        <v>N/A</v>
      </c>
      <c r="G32" s="40">
        <v>43887</v>
      </c>
      <c r="H32" s="40">
        <v>43889</v>
      </c>
      <c r="I32" s="41" t="s">
        <v>86</v>
      </c>
      <c r="J32" s="42">
        <f t="shared" ref="J32:J51" si="5">SUM(K32:L32)</f>
        <v>60</v>
      </c>
      <c r="K32" s="42">
        <v>60</v>
      </c>
      <c r="L32" s="42"/>
      <c r="M32" s="51" t="s">
        <v>165</v>
      </c>
      <c r="N32" s="43"/>
      <c r="O32" s="44"/>
      <c r="P32" s="44"/>
      <c r="Q32" s="44"/>
      <c r="R32" s="44"/>
      <c r="S32" s="44"/>
      <c r="T32" s="44"/>
      <c r="U32" s="44"/>
      <c r="V32" s="44"/>
      <c r="W32" s="44"/>
      <c r="X32" s="44"/>
      <c r="Y32" s="44"/>
      <c r="Z32" s="44"/>
      <c r="AA32" s="44"/>
      <c r="AB32" s="45"/>
      <c r="AC32" s="46"/>
      <c r="AD32" s="46"/>
      <c r="AE32" s="47"/>
      <c r="AF32" s="46"/>
      <c r="AG32" s="44"/>
      <c r="AH32" s="44"/>
      <c r="AI32" s="44"/>
      <c r="AJ32" s="44"/>
      <c r="AK32" s="44"/>
      <c r="AL32" s="44"/>
      <c r="AM32" s="44"/>
      <c r="AN32" s="44"/>
      <c r="AO32" s="45"/>
      <c r="AP32" s="44"/>
      <c r="AQ32" s="35"/>
    </row>
    <row r="33" spans="1:43" s="48" customFormat="1" ht="12.75">
      <c r="A33" s="32" t="s">
        <v>97</v>
      </c>
      <c r="B33" s="50" t="s">
        <v>128</v>
      </c>
      <c r="C33" s="41" t="s">
        <v>98</v>
      </c>
      <c r="D33" s="39" t="s">
        <v>41</v>
      </c>
      <c r="E33" s="41" t="str">
        <f>IF(D33="","",IF((OR(D33=data_validation!A$1,D33=data_validation!A$2,D33=data_validation!A$5,D33=data_validation!A$6,D33=data_validation!A$14,D33=data_validation!A$16)),"Indicate Date","N/A"))</f>
        <v>N/A</v>
      </c>
      <c r="F33" s="41" t="str">
        <f>IF(D33="","",IF((OR(D33=data_validation!A$1,D33=data_validation!A$2)),"Indicate Date","N/A"))</f>
        <v>N/A</v>
      </c>
      <c r="G33" s="40">
        <v>43873</v>
      </c>
      <c r="H33" s="40">
        <v>43875</v>
      </c>
      <c r="I33" s="41" t="s">
        <v>86</v>
      </c>
      <c r="J33" s="42">
        <f t="shared" si="5"/>
        <v>225</v>
      </c>
      <c r="K33" s="42">
        <v>225</v>
      </c>
      <c r="L33" s="42"/>
      <c r="M33" s="51" t="s">
        <v>169</v>
      </c>
      <c r="N33" s="43"/>
      <c r="O33" s="44"/>
      <c r="P33" s="44"/>
      <c r="Q33" s="44"/>
      <c r="R33" s="44"/>
      <c r="S33" s="44"/>
      <c r="T33" s="44"/>
      <c r="U33" s="44"/>
      <c r="V33" s="44"/>
      <c r="W33" s="44"/>
      <c r="X33" s="44"/>
      <c r="Y33" s="44"/>
      <c r="Z33" s="44"/>
      <c r="AA33" s="44"/>
      <c r="AB33" s="45"/>
      <c r="AC33" s="46"/>
      <c r="AD33" s="46"/>
      <c r="AE33" s="47"/>
      <c r="AF33" s="46"/>
      <c r="AG33" s="44"/>
      <c r="AH33" s="44"/>
      <c r="AI33" s="44"/>
      <c r="AJ33" s="44"/>
      <c r="AK33" s="44"/>
      <c r="AL33" s="44"/>
      <c r="AM33" s="44"/>
      <c r="AN33" s="44"/>
      <c r="AO33" s="45"/>
      <c r="AP33" s="44"/>
      <c r="AQ33" s="35"/>
    </row>
    <row r="34" spans="1:43" s="48" customFormat="1" ht="22.5">
      <c r="A34" s="32" t="s">
        <v>129</v>
      </c>
      <c r="B34" s="50" t="s">
        <v>128</v>
      </c>
      <c r="C34" s="41" t="s">
        <v>122</v>
      </c>
      <c r="D34" s="52" t="s">
        <v>45</v>
      </c>
      <c r="E34" s="40">
        <v>43775</v>
      </c>
      <c r="F34" s="41" t="str">
        <f>IF(D34="","",IF((OR(D34=data_validation!A$1,D34=data_validation!A$2)),"Indicate Date","N/A"))</f>
        <v>N/A</v>
      </c>
      <c r="G34" s="40">
        <v>43852</v>
      </c>
      <c r="H34" s="40">
        <v>43854</v>
      </c>
      <c r="I34" s="41" t="s">
        <v>86</v>
      </c>
      <c r="J34" s="42">
        <f t="shared" si="5"/>
        <v>45</v>
      </c>
      <c r="K34" s="42">
        <v>45</v>
      </c>
      <c r="L34" s="42"/>
      <c r="M34" s="51" t="s">
        <v>170</v>
      </c>
      <c r="N34" s="43"/>
      <c r="O34" s="44"/>
      <c r="P34" s="44"/>
      <c r="Q34" s="44"/>
      <c r="R34" s="44"/>
      <c r="S34" s="44"/>
      <c r="T34" s="44"/>
      <c r="U34" s="44"/>
      <c r="V34" s="44"/>
      <c r="W34" s="44"/>
      <c r="X34" s="44"/>
      <c r="Y34" s="44"/>
      <c r="Z34" s="44"/>
      <c r="AA34" s="44"/>
      <c r="AB34" s="45"/>
      <c r="AC34" s="46"/>
      <c r="AD34" s="46"/>
      <c r="AE34" s="47"/>
      <c r="AF34" s="46"/>
      <c r="AG34" s="44"/>
      <c r="AH34" s="44"/>
      <c r="AI34" s="44"/>
      <c r="AJ34" s="44"/>
      <c r="AK34" s="44"/>
      <c r="AL34" s="44"/>
      <c r="AM34" s="44"/>
      <c r="AN34" s="44"/>
      <c r="AO34" s="45"/>
      <c r="AP34" s="44"/>
      <c r="AQ34" s="35"/>
    </row>
    <row r="35" spans="1:43" s="48" customFormat="1" ht="22.5">
      <c r="A35" s="32" t="s">
        <v>118</v>
      </c>
      <c r="B35" s="50" t="s">
        <v>130</v>
      </c>
      <c r="C35" s="41" t="s">
        <v>117</v>
      </c>
      <c r="D35" s="52" t="s">
        <v>45</v>
      </c>
      <c r="E35" s="40">
        <v>43880</v>
      </c>
      <c r="F35" s="41" t="str">
        <f>IF(D35="","",IF((OR(D35=data_validation!A$1,D35=data_validation!A$2)),"Indicate Date","N/A"))</f>
        <v>N/A</v>
      </c>
      <c r="G35" s="40">
        <v>43887</v>
      </c>
      <c r="H35" s="40">
        <v>43889</v>
      </c>
      <c r="I35" s="41" t="s">
        <v>86</v>
      </c>
      <c r="J35" s="42">
        <f t="shared" si="5"/>
        <v>60</v>
      </c>
      <c r="K35" s="42">
        <v>60</v>
      </c>
      <c r="L35" s="42"/>
      <c r="M35" s="51" t="s">
        <v>171</v>
      </c>
      <c r="N35" s="43"/>
      <c r="O35" s="44"/>
      <c r="P35" s="44"/>
      <c r="Q35" s="44"/>
      <c r="R35" s="44"/>
      <c r="S35" s="44"/>
      <c r="T35" s="44"/>
      <c r="U35" s="44"/>
      <c r="V35" s="44"/>
      <c r="W35" s="44"/>
      <c r="X35" s="44"/>
      <c r="Y35" s="44"/>
      <c r="Z35" s="44"/>
      <c r="AA35" s="44"/>
      <c r="AB35" s="45"/>
      <c r="AC35" s="46"/>
      <c r="AD35" s="46"/>
      <c r="AE35" s="47"/>
      <c r="AF35" s="46"/>
      <c r="AG35" s="44"/>
      <c r="AH35" s="44"/>
      <c r="AI35" s="44"/>
      <c r="AJ35" s="44"/>
      <c r="AK35" s="44"/>
      <c r="AL35" s="44"/>
      <c r="AM35" s="44"/>
      <c r="AN35" s="44"/>
      <c r="AO35" s="45"/>
      <c r="AP35" s="44"/>
      <c r="AQ35" s="35"/>
    </row>
    <row r="36" spans="1:43" s="48" customFormat="1" ht="105" customHeight="1">
      <c r="A36" s="32" t="s">
        <v>132</v>
      </c>
      <c r="B36" s="50" t="s">
        <v>131</v>
      </c>
      <c r="C36" s="38" t="s">
        <v>204</v>
      </c>
      <c r="D36" s="39" t="s">
        <v>32</v>
      </c>
      <c r="E36" s="40">
        <v>43880</v>
      </c>
      <c r="F36" s="40">
        <v>43900</v>
      </c>
      <c r="G36" s="40">
        <v>43903</v>
      </c>
      <c r="H36" s="40">
        <v>43905</v>
      </c>
      <c r="I36" s="41" t="s">
        <v>86</v>
      </c>
      <c r="J36" s="42">
        <f t="shared" si="5"/>
        <v>412</v>
      </c>
      <c r="K36" s="42">
        <v>412</v>
      </c>
      <c r="L36" s="42"/>
      <c r="M36" s="34" t="s">
        <v>200</v>
      </c>
      <c r="N36" s="43"/>
      <c r="O36" s="44"/>
      <c r="P36" s="44"/>
      <c r="Q36" s="44"/>
      <c r="R36" s="44"/>
      <c r="S36" s="44"/>
      <c r="T36" s="44"/>
      <c r="U36" s="44"/>
      <c r="V36" s="44"/>
      <c r="W36" s="44"/>
      <c r="X36" s="44"/>
      <c r="Y36" s="44"/>
      <c r="Z36" s="44"/>
      <c r="AA36" s="44"/>
      <c r="AB36" s="45"/>
      <c r="AC36" s="46"/>
      <c r="AD36" s="46"/>
      <c r="AE36" s="47"/>
      <c r="AF36" s="46"/>
      <c r="AG36" s="44"/>
      <c r="AH36" s="44"/>
      <c r="AI36" s="44"/>
      <c r="AJ36" s="44"/>
      <c r="AK36" s="44"/>
      <c r="AL36" s="44"/>
      <c r="AM36" s="44"/>
      <c r="AN36" s="44"/>
      <c r="AO36" s="45"/>
      <c r="AP36" s="44"/>
      <c r="AQ36" s="35"/>
    </row>
    <row r="37" spans="1:43" s="48" customFormat="1" ht="100.35" customHeight="1">
      <c r="A37" s="32" t="s">
        <v>97</v>
      </c>
      <c r="B37" s="53" t="s">
        <v>133</v>
      </c>
      <c r="C37" s="38" t="s">
        <v>137</v>
      </c>
      <c r="D37" s="39" t="s">
        <v>32</v>
      </c>
      <c r="E37" s="40">
        <v>43782</v>
      </c>
      <c r="F37" s="40">
        <v>43803</v>
      </c>
      <c r="G37" s="40">
        <v>43838</v>
      </c>
      <c r="H37" s="40">
        <v>43840</v>
      </c>
      <c r="I37" s="41" t="s">
        <v>86</v>
      </c>
      <c r="J37" s="42">
        <f t="shared" si="5"/>
        <v>700</v>
      </c>
      <c r="K37" s="42">
        <v>700</v>
      </c>
      <c r="L37" s="42"/>
      <c r="M37" s="51" t="s">
        <v>173</v>
      </c>
      <c r="N37" s="43"/>
      <c r="O37" s="44"/>
      <c r="P37" s="44"/>
      <c r="Q37" s="44"/>
      <c r="R37" s="44"/>
      <c r="S37" s="44"/>
      <c r="T37" s="44"/>
      <c r="U37" s="44"/>
      <c r="V37" s="44"/>
      <c r="W37" s="44"/>
      <c r="X37" s="44"/>
      <c r="Y37" s="44"/>
      <c r="Z37" s="44"/>
      <c r="AA37" s="44"/>
      <c r="AB37" s="45"/>
      <c r="AC37" s="46"/>
      <c r="AD37" s="46"/>
      <c r="AE37" s="47"/>
      <c r="AF37" s="46"/>
      <c r="AG37" s="44"/>
      <c r="AH37" s="44"/>
      <c r="AI37" s="44"/>
      <c r="AJ37" s="44"/>
      <c r="AK37" s="44"/>
      <c r="AL37" s="44"/>
      <c r="AM37" s="44"/>
      <c r="AN37" s="44"/>
      <c r="AO37" s="45"/>
      <c r="AP37" s="44"/>
      <c r="AQ37" s="36" t="s">
        <v>190</v>
      </c>
    </row>
    <row r="38" spans="1:43" s="48" customFormat="1" ht="12.75">
      <c r="A38" s="32" t="s">
        <v>97</v>
      </c>
      <c r="B38" s="53" t="s">
        <v>133</v>
      </c>
      <c r="C38" s="38" t="s">
        <v>98</v>
      </c>
      <c r="D38" s="39" t="s">
        <v>32</v>
      </c>
      <c r="E38" s="40">
        <v>43917</v>
      </c>
      <c r="F38" s="40">
        <v>43937</v>
      </c>
      <c r="G38" s="40">
        <v>43940</v>
      </c>
      <c r="H38" s="40">
        <v>43942</v>
      </c>
      <c r="I38" s="41" t="s">
        <v>86</v>
      </c>
      <c r="J38" s="42">
        <f t="shared" ref="J38:J46" si="6">SUM(K38:L38)</f>
        <v>172</v>
      </c>
      <c r="K38" s="42">
        <v>172</v>
      </c>
      <c r="L38" s="42"/>
      <c r="M38" s="51" t="s">
        <v>172</v>
      </c>
      <c r="N38" s="43"/>
      <c r="O38" s="44"/>
      <c r="P38" s="44"/>
      <c r="Q38" s="44"/>
      <c r="R38" s="44"/>
      <c r="S38" s="44"/>
      <c r="T38" s="44"/>
      <c r="U38" s="44"/>
      <c r="V38" s="44"/>
      <c r="W38" s="44"/>
      <c r="X38" s="44"/>
      <c r="Y38" s="44"/>
      <c r="Z38" s="44"/>
      <c r="AA38" s="44"/>
      <c r="AB38" s="45"/>
      <c r="AC38" s="46"/>
      <c r="AD38" s="46"/>
      <c r="AE38" s="47"/>
      <c r="AF38" s="46"/>
      <c r="AG38" s="44"/>
      <c r="AH38" s="44"/>
      <c r="AI38" s="44"/>
      <c r="AJ38" s="44"/>
      <c r="AK38" s="44"/>
      <c r="AL38" s="44"/>
      <c r="AM38" s="44"/>
      <c r="AN38" s="44"/>
      <c r="AO38" s="45"/>
      <c r="AP38" s="44"/>
      <c r="AQ38" s="35"/>
    </row>
    <row r="39" spans="1:43" s="48" customFormat="1" ht="12.75">
      <c r="A39" s="32" t="s">
        <v>118</v>
      </c>
      <c r="B39" s="53" t="s">
        <v>133</v>
      </c>
      <c r="C39" s="38" t="s">
        <v>117</v>
      </c>
      <c r="D39" s="39" t="s">
        <v>32</v>
      </c>
      <c r="E39" s="40">
        <v>43761</v>
      </c>
      <c r="F39" s="40">
        <v>43781</v>
      </c>
      <c r="G39" s="40">
        <v>43866</v>
      </c>
      <c r="H39" s="40">
        <v>43868</v>
      </c>
      <c r="I39" s="41" t="s">
        <v>86</v>
      </c>
      <c r="J39" s="42">
        <f t="shared" si="6"/>
        <v>765</v>
      </c>
      <c r="K39" s="42">
        <v>765</v>
      </c>
      <c r="L39" s="42"/>
      <c r="M39" s="51"/>
      <c r="N39" s="43"/>
      <c r="O39" s="44"/>
      <c r="P39" s="44"/>
      <c r="Q39" s="44"/>
      <c r="R39" s="44"/>
      <c r="S39" s="44"/>
      <c r="T39" s="44"/>
      <c r="U39" s="44"/>
      <c r="V39" s="44"/>
      <c r="W39" s="44"/>
      <c r="X39" s="44"/>
      <c r="Y39" s="44"/>
      <c r="Z39" s="44"/>
      <c r="AA39" s="44"/>
      <c r="AB39" s="45"/>
      <c r="AC39" s="46"/>
      <c r="AD39" s="46"/>
      <c r="AE39" s="47"/>
      <c r="AF39" s="46"/>
      <c r="AG39" s="44"/>
      <c r="AH39" s="44"/>
      <c r="AI39" s="44"/>
      <c r="AJ39" s="44"/>
      <c r="AK39" s="44"/>
      <c r="AL39" s="44"/>
      <c r="AM39" s="44"/>
      <c r="AN39" s="44"/>
      <c r="AO39" s="45"/>
      <c r="AP39" s="44"/>
      <c r="AQ39" s="35"/>
    </row>
    <row r="40" spans="1:43" s="48" customFormat="1" ht="12.75">
      <c r="A40" s="32" t="s">
        <v>136</v>
      </c>
      <c r="B40" s="53" t="s">
        <v>133</v>
      </c>
      <c r="C40" s="38" t="s">
        <v>120</v>
      </c>
      <c r="D40" s="39" t="s">
        <v>32</v>
      </c>
      <c r="E40" s="40">
        <v>43761</v>
      </c>
      <c r="F40" s="40">
        <v>43781</v>
      </c>
      <c r="G40" s="40">
        <v>43866</v>
      </c>
      <c r="H40" s="40">
        <v>43868</v>
      </c>
      <c r="I40" s="41" t="s">
        <v>86</v>
      </c>
      <c r="J40" s="42">
        <f t="shared" si="6"/>
        <v>350</v>
      </c>
      <c r="K40" s="42">
        <v>350</v>
      </c>
      <c r="L40" s="42"/>
      <c r="M40" s="51"/>
      <c r="N40" s="43"/>
      <c r="O40" s="44"/>
      <c r="P40" s="44"/>
      <c r="Q40" s="44"/>
      <c r="R40" s="44"/>
      <c r="S40" s="44"/>
      <c r="T40" s="44"/>
      <c r="U40" s="44"/>
      <c r="V40" s="44"/>
      <c r="W40" s="44"/>
      <c r="X40" s="44"/>
      <c r="Y40" s="44"/>
      <c r="Z40" s="44"/>
      <c r="AA40" s="44"/>
      <c r="AB40" s="45"/>
      <c r="AC40" s="46"/>
      <c r="AD40" s="46"/>
      <c r="AE40" s="47"/>
      <c r="AF40" s="46"/>
      <c r="AG40" s="44"/>
      <c r="AH40" s="44"/>
      <c r="AI40" s="44"/>
      <c r="AJ40" s="44"/>
      <c r="AK40" s="44"/>
      <c r="AL40" s="44"/>
      <c r="AM40" s="44"/>
      <c r="AN40" s="44"/>
      <c r="AO40" s="45"/>
      <c r="AP40" s="44"/>
      <c r="AQ40" s="35"/>
    </row>
    <row r="41" spans="1:43" s="48" customFormat="1" ht="12.75">
      <c r="A41" s="32" t="s">
        <v>138</v>
      </c>
      <c r="B41" s="53" t="s">
        <v>133</v>
      </c>
      <c r="C41" s="38" t="s">
        <v>121</v>
      </c>
      <c r="D41" s="39" t="s">
        <v>32</v>
      </c>
      <c r="E41" s="40">
        <v>43761</v>
      </c>
      <c r="F41" s="40">
        <v>43781</v>
      </c>
      <c r="G41" s="40">
        <v>43866</v>
      </c>
      <c r="H41" s="40">
        <v>43868</v>
      </c>
      <c r="I41" s="41" t="s">
        <v>86</v>
      </c>
      <c r="J41" s="42">
        <f t="shared" si="6"/>
        <v>585</v>
      </c>
      <c r="K41" s="42">
        <v>585</v>
      </c>
      <c r="L41" s="42"/>
      <c r="M41" s="51"/>
      <c r="N41" s="43"/>
      <c r="O41" s="44"/>
      <c r="P41" s="44"/>
      <c r="Q41" s="44"/>
      <c r="R41" s="44"/>
      <c r="S41" s="44"/>
      <c r="T41" s="44"/>
      <c r="U41" s="44"/>
      <c r="V41" s="44"/>
      <c r="W41" s="44"/>
      <c r="X41" s="44"/>
      <c r="Y41" s="44"/>
      <c r="Z41" s="44"/>
      <c r="AA41" s="44"/>
      <c r="AB41" s="45"/>
      <c r="AC41" s="46"/>
      <c r="AD41" s="46"/>
      <c r="AE41" s="47"/>
      <c r="AF41" s="46"/>
      <c r="AG41" s="44"/>
      <c r="AH41" s="44"/>
      <c r="AI41" s="44"/>
      <c r="AJ41" s="44"/>
      <c r="AK41" s="44"/>
      <c r="AL41" s="44"/>
      <c r="AM41" s="44"/>
      <c r="AN41" s="44"/>
      <c r="AO41" s="45"/>
      <c r="AP41" s="44"/>
      <c r="AQ41" s="35"/>
    </row>
    <row r="42" spans="1:43" s="48" customFormat="1" ht="22.5">
      <c r="A42" s="32" t="s">
        <v>139</v>
      </c>
      <c r="B42" s="53" t="s">
        <v>133</v>
      </c>
      <c r="C42" s="38" t="s">
        <v>120</v>
      </c>
      <c r="D42" s="52" t="s">
        <v>45</v>
      </c>
      <c r="E42" s="40">
        <v>43880</v>
      </c>
      <c r="F42" s="41" t="str">
        <f>IF(D42="","",IF((OR(D42=data_validation!A$1,D42=data_validation!A$2)),"Indicate Date","N/A"))</f>
        <v>N/A</v>
      </c>
      <c r="G42" s="40">
        <v>43894</v>
      </c>
      <c r="H42" s="40">
        <v>43896</v>
      </c>
      <c r="I42" s="41" t="s">
        <v>86</v>
      </c>
      <c r="J42" s="42">
        <f t="shared" si="6"/>
        <v>100</v>
      </c>
      <c r="K42" s="42">
        <v>100</v>
      </c>
      <c r="L42" s="42"/>
      <c r="M42" s="51"/>
      <c r="N42" s="43"/>
      <c r="O42" s="44"/>
      <c r="P42" s="44"/>
      <c r="Q42" s="44"/>
      <c r="R42" s="44"/>
      <c r="S42" s="44"/>
      <c r="T42" s="44"/>
      <c r="U42" s="44"/>
      <c r="V42" s="44"/>
      <c r="W42" s="44"/>
      <c r="X42" s="44"/>
      <c r="Y42" s="44"/>
      <c r="Z42" s="44"/>
      <c r="AA42" s="44"/>
      <c r="AB42" s="45"/>
      <c r="AC42" s="46"/>
      <c r="AD42" s="46"/>
      <c r="AE42" s="47"/>
      <c r="AF42" s="46"/>
      <c r="AG42" s="44"/>
      <c r="AH42" s="44"/>
      <c r="AI42" s="44"/>
      <c r="AJ42" s="44"/>
      <c r="AK42" s="44"/>
      <c r="AL42" s="44"/>
      <c r="AM42" s="44"/>
      <c r="AN42" s="44"/>
      <c r="AO42" s="45"/>
      <c r="AP42" s="44"/>
      <c r="AQ42" s="35"/>
    </row>
    <row r="43" spans="1:43" s="48" customFormat="1" ht="22.5">
      <c r="A43" s="32" t="s">
        <v>101</v>
      </c>
      <c r="B43" s="53" t="s">
        <v>133</v>
      </c>
      <c r="C43" s="38" t="s">
        <v>135</v>
      </c>
      <c r="D43" s="52" t="s">
        <v>45</v>
      </c>
      <c r="E43" s="40">
        <v>43880</v>
      </c>
      <c r="F43" s="41" t="str">
        <f>IF(D43="","",IF((OR(D43=data_validation!A$1,D43=data_validation!A$2)),"Indicate Date","N/A"))</f>
        <v>N/A</v>
      </c>
      <c r="G43" s="40">
        <v>43894</v>
      </c>
      <c r="H43" s="40">
        <v>43896</v>
      </c>
      <c r="I43" s="41" t="s">
        <v>86</v>
      </c>
      <c r="J43" s="42">
        <f t="shared" si="6"/>
        <v>20</v>
      </c>
      <c r="K43" s="55">
        <v>20</v>
      </c>
      <c r="L43" s="42"/>
      <c r="M43" s="54"/>
      <c r="N43" s="43"/>
      <c r="O43" s="44"/>
      <c r="P43" s="44"/>
      <c r="Q43" s="44"/>
      <c r="R43" s="44"/>
      <c r="S43" s="44"/>
      <c r="T43" s="44"/>
      <c r="U43" s="44"/>
      <c r="V43" s="44"/>
      <c r="W43" s="44"/>
      <c r="X43" s="44"/>
      <c r="Y43" s="44"/>
      <c r="Z43" s="44"/>
      <c r="AA43" s="44"/>
      <c r="AB43" s="45"/>
      <c r="AC43" s="46"/>
      <c r="AD43" s="46"/>
      <c r="AE43" s="47"/>
      <c r="AF43" s="46"/>
      <c r="AG43" s="44"/>
      <c r="AH43" s="44"/>
      <c r="AI43" s="44"/>
      <c r="AJ43" s="44"/>
      <c r="AK43" s="44"/>
      <c r="AL43" s="44"/>
      <c r="AM43" s="44"/>
      <c r="AN43" s="44"/>
      <c r="AO43" s="45"/>
      <c r="AP43" s="44"/>
      <c r="AQ43" s="35"/>
    </row>
    <row r="44" spans="1:43" s="48" customFormat="1" ht="22.5">
      <c r="A44" s="32" t="s">
        <v>101</v>
      </c>
      <c r="B44" s="53" t="s">
        <v>133</v>
      </c>
      <c r="C44" s="38" t="s">
        <v>100</v>
      </c>
      <c r="D44" s="52" t="s">
        <v>45</v>
      </c>
      <c r="E44" s="40">
        <v>43880</v>
      </c>
      <c r="F44" s="41" t="str">
        <f>IF(D44="","",IF((OR(D44=data_validation!A$1,D44=data_validation!A$2)),"Indicate Date","N/A"))</f>
        <v>N/A</v>
      </c>
      <c r="G44" s="40">
        <v>43894</v>
      </c>
      <c r="H44" s="40">
        <v>43896</v>
      </c>
      <c r="I44" s="41" t="s">
        <v>86</v>
      </c>
      <c r="J44" s="42">
        <f t="shared" ref="J44:J45" si="7">SUM(K44:L44)</f>
        <v>81</v>
      </c>
      <c r="K44" s="55">
        <v>81</v>
      </c>
      <c r="L44" s="42"/>
      <c r="M44" s="54"/>
      <c r="N44" s="43"/>
      <c r="O44" s="44"/>
      <c r="P44" s="44"/>
      <c r="Q44" s="44"/>
      <c r="R44" s="44"/>
      <c r="S44" s="44"/>
      <c r="T44" s="44"/>
      <c r="U44" s="44"/>
      <c r="V44" s="44"/>
      <c r="W44" s="44"/>
      <c r="X44" s="44"/>
      <c r="Y44" s="44"/>
      <c r="Z44" s="44"/>
      <c r="AA44" s="44"/>
      <c r="AB44" s="45"/>
      <c r="AC44" s="46"/>
      <c r="AD44" s="46"/>
      <c r="AE44" s="47"/>
      <c r="AF44" s="46"/>
      <c r="AG44" s="44"/>
      <c r="AH44" s="44"/>
      <c r="AI44" s="44"/>
      <c r="AJ44" s="44"/>
      <c r="AK44" s="44"/>
      <c r="AL44" s="44"/>
      <c r="AM44" s="44"/>
      <c r="AN44" s="44"/>
      <c r="AO44" s="45"/>
      <c r="AP44" s="44"/>
      <c r="AQ44" s="35"/>
    </row>
    <row r="45" spans="1:43" s="48" customFormat="1" ht="22.5">
      <c r="A45" s="32" t="s">
        <v>101</v>
      </c>
      <c r="B45" s="53" t="s">
        <v>133</v>
      </c>
      <c r="C45" s="38" t="s">
        <v>174</v>
      </c>
      <c r="D45" s="52" t="s">
        <v>45</v>
      </c>
      <c r="E45" s="40">
        <v>43880</v>
      </c>
      <c r="F45" s="41" t="str">
        <f>IF(D45="","",IF((OR(D45=data_validation!A$1,D45=data_validation!A$2)),"Indicate Date","N/A"))</f>
        <v>N/A</v>
      </c>
      <c r="G45" s="40">
        <v>43894</v>
      </c>
      <c r="H45" s="40">
        <v>43896</v>
      </c>
      <c r="I45" s="41" t="s">
        <v>86</v>
      </c>
      <c r="J45" s="42">
        <f t="shared" si="7"/>
        <v>66</v>
      </c>
      <c r="K45" s="55">
        <v>66</v>
      </c>
      <c r="L45" s="42"/>
      <c r="M45" s="54"/>
      <c r="N45" s="43"/>
      <c r="O45" s="44"/>
      <c r="P45" s="44"/>
      <c r="Q45" s="44"/>
      <c r="R45" s="44"/>
      <c r="S45" s="44"/>
      <c r="T45" s="44"/>
      <c r="U45" s="44"/>
      <c r="V45" s="44"/>
      <c r="W45" s="44"/>
      <c r="X45" s="44"/>
      <c r="Y45" s="44"/>
      <c r="Z45" s="44"/>
      <c r="AA45" s="44"/>
      <c r="AB45" s="45"/>
      <c r="AC45" s="46"/>
      <c r="AD45" s="46"/>
      <c r="AE45" s="47"/>
      <c r="AF45" s="46"/>
      <c r="AG45" s="44"/>
      <c r="AH45" s="44"/>
      <c r="AI45" s="44"/>
      <c r="AJ45" s="44"/>
      <c r="AK45" s="44"/>
      <c r="AL45" s="44"/>
      <c r="AM45" s="44"/>
      <c r="AN45" s="44"/>
      <c r="AO45" s="45"/>
      <c r="AP45" s="44"/>
      <c r="AQ45" s="35"/>
    </row>
    <row r="46" spans="1:43" s="48" customFormat="1" ht="12.75">
      <c r="A46" s="32" t="s">
        <v>129</v>
      </c>
      <c r="B46" s="53" t="s">
        <v>133</v>
      </c>
      <c r="C46" s="38" t="s">
        <v>122</v>
      </c>
      <c r="D46" s="39" t="s">
        <v>32</v>
      </c>
      <c r="E46" s="40">
        <v>43761</v>
      </c>
      <c r="F46" s="40">
        <v>43781</v>
      </c>
      <c r="G46" s="40">
        <v>43866</v>
      </c>
      <c r="H46" s="40">
        <v>43868</v>
      </c>
      <c r="I46" s="41" t="s">
        <v>86</v>
      </c>
      <c r="J46" s="42">
        <f t="shared" si="6"/>
        <v>615</v>
      </c>
      <c r="K46" s="42">
        <v>615</v>
      </c>
      <c r="L46" s="42"/>
      <c r="M46" s="51"/>
      <c r="N46" s="43"/>
      <c r="O46" s="44"/>
      <c r="P46" s="44"/>
      <c r="Q46" s="44"/>
      <c r="R46" s="44"/>
      <c r="S46" s="44"/>
      <c r="T46" s="44"/>
      <c r="U46" s="44"/>
      <c r="V46" s="44"/>
      <c r="W46" s="44"/>
      <c r="X46" s="44"/>
      <c r="Y46" s="44"/>
      <c r="Z46" s="44"/>
      <c r="AA46" s="44"/>
      <c r="AB46" s="45"/>
      <c r="AC46" s="46"/>
      <c r="AD46" s="46"/>
      <c r="AE46" s="47"/>
      <c r="AF46" s="46"/>
      <c r="AG46" s="44"/>
      <c r="AH46" s="44"/>
      <c r="AI46" s="44"/>
      <c r="AJ46" s="44"/>
      <c r="AK46" s="44"/>
      <c r="AL46" s="44"/>
      <c r="AM46" s="44"/>
      <c r="AN46" s="44"/>
      <c r="AO46" s="45"/>
      <c r="AP46" s="44"/>
      <c r="AQ46" s="35"/>
    </row>
    <row r="47" spans="1:43" s="48" customFormat="1" ht="12.75">
      <c r="A47" s="32" t="s">
        <v>97</v>
      </c>
      <c r="B47" s="50" t="s">
        <v>134</v>
      </c>
      <c r="C47" s="41" t="s">
        <v>98</v>
      </c>
      <c r="D47" s="39" t="s">
        <v>34</v>
      </c>
      <c r="E47" s="41" t="str">
        <f>IF(D47="","",IF((OR(D47=data_validation!A$1,D47=data_validation!A$2,D47=data_validation!A$5,D47=data_validation!A$6,D47=data_validation!A$14,D47=data_validation!A$16)),"Indicate Date","N/A"))</f>
        <v>N/A</v>
      </c>
      <c r="F47" s="41" t="str">
        <f>IF(D47="","",IF((OR(D47=data_validation!A$1,D47=data_validation!A$2)),"Indicate Date","N/A"))</f>
        <v>N/A</v>
      </c>
      <c r="G47" s="40">
        <v>43852</v>
      </c>
      <c r="H47" s="40">
        <v>43854</v>
      </c>
      <c r="I47" s="41" t="s">
        <v>86</v>
      </c>
      <c r="J47" s="42">
        <f t="shared" si="5"/>
        <v>564</v>
      </c>
      <c r="K47" s="42">
        <v>564</v>
      </c>
      <c r="L47" s="42"/>
      <c r="M47" s="51" t="s">
        <v>175</v>
      </c>
      <c r="N47" s="43"/>
      <c r="O47" s="44"/>
      <c r="P47" s="44"/>
      <c r="Q47" s="44"/>
      <c r="R47" s="44"/>
      <c r="S47" s="44"/>
      <c r="T47" s="44"/>
      <c r="U47" s="44"/>
      <c r="V47" s="44"/>
      <c r="W47" s="44"/>
      <c r="X47" s="44"/>
      <c r="Y47" s="44"/>
      <c r="Z47" s="44"/>
      <c r="AA47" s="44"/>
      <c r="AB47" s="45"/>
      <c r="AC47" s="46"/>
      <c r="AD47" s="46"/>
      <c r="AE47" s="47"/>
      <c r="AF47" s="46"/>
      <c r="AG47" s="44"/>
      <c r="AH47" s="44"/>
      <c r="AI47" s="44"/>
      <c r="AJ47" s="44"/>
      <c r="AK47" s="44"/>
      <c r="AL47" s="44"/>
      <c r="AM47" s="44"/>
      <c r="AN47" s="44"/>
      <c r="AO47" s="45"/>
      <c r="AP47" s="44"/>
      <c r="AQ47" s="35"/>
    </row>
    <row r="48" spans="1:43" s="48" customFormat="1" ht="12.75">
      <c r="A48" s="32" t="s">
        <v>101</v>
      </c>
      <c r="B48" s="50" t="s">
        <v>134</v>
      </c>
      <c r="C48" s="41" t="s">
        <v>100</v>
      </c>
      <c r="D48" s="39" t="s">
        <v>45</v>
      </c>
      <c r="E48" s="40">
        <v>43887</v>
      </c>
      <c r="F48" s="40">
        <v>43907</v>
      </c>
      <c r="G48" s="40">
        <v>43910</v>
      </c>
      <c r="H48" s="40">
        <v>43912</v>
      </c>
      <c r="I48" s="41" t="s">
        <v>86</v>
      </c>
      <c r="J48" s="42">
        <f t="shared" ref="J48:J50" si="8">SUM(K48:L48)</f>
        <v>60</v>
      </c>
      <c r="K48" s="42">
        <v>60</v>
      </c>
      <c r="L48" s="42"/>
      <c r="M48" s="51" t="s">
        <v>176</v>
      </c>
      <c r="N48" s="43"/>
      <c r="O48" s="44"/>
      <c r="P48" s="44"/>
      <c r="Q48" s="44"/>
      <c r="R48" s="44"/>
      <c r="S48" s="44"/>
      <c r="T48" s="44"/>
      <c r="U48" s="44"/>
      <c r="V48" s="44"/>
      <c r="W48" s="44"/>
      <c r="X48" s="44"/>
      <c r="Y48" s="44"/>
      <c r="Z48" s="44"/>
      <c r="AA48" s="44"/>
      <c r="AB48" s="45"/>
      <c r="AC48" s="46"/>
      <c r="AD48" s="46"/>
      <c r="AE48" s="47"/>
      <c r="AF48" s="46"/>
      <c r="AG48" s="44"/>
      <c r="AH48" s="44"/>
      <c r="AI48" s="44"/>
      <c r="AJ48" s="44"/>
      <c r="AK48" s="44"/>
      <c r="AL48" s="44"/>
      <c r="AM48" s="44"/>
      <c r="AN48" s="44"/>
      <c r="AO48" s="45"/>
      <c r="AP48" s="44"/>
      <c r="AQ48" s="35"/>
    </row>
    <row r="49" spans="1:43" s="48" customFormat="1" ht="12.75">
      <c r="A49" s="32" t="s">
        <v>129</v>
      </c>
      <c r="B49" s="50" t="s">
        <v>134</v>
      </c>
      <c r="C49" s="41" t="s">
        <v>122</v>
      </c>
      <c r="D49" s="39" t="s">
        <v>45</v>
      </c>
      <c r="E49" s="40">
        <v>43887</v>
      </c>
      <c r="F49" s="40">
        <v>43907</v>
      </c>
      <c r="G49" s="40">
        <v>43910</v>
      </c>
      <c r="H49" s="40">
        <v>43912</v>
      </c>
      <c r="I49" s="41" t="s">
        <v>86</v>
      </c>
      <c r="J49" s="42">
        <f t="shared" si="8"/>
        <v>180</v>
      </c>
      <c r="K49" s="42">
        <v>180</v>
      </c>
      <c r="L49" s="42"/>
      <c r="M49" s="51" t="s">
        <v>177</v>
      </c>
      <c r="N49" s="43"/>
      <c r="O49" s="44"/>
      <c r="P49" s="44"/>
      <c r="Q49" s="44"/>
      <c r="R49" s="44"/>
      <c r="S49" s="44"/>
      <c r="T49" s="44"/>
      <c r="U49" s="44"/>
      <c r="V49" s="44"/>
      <c r="W49" s="44"/>
      <c r="X49" s="44"/>
      <c r="Y49" s="44"/>
      <c r="Z49" s="44"/>
      <c r="AA49" s="44"/>
      <c r="AB49" s="45"/>
      <c r="AC49" s="46"/>
      <c r="AD49" s="46"/>
      <c r="AE49" s="47"/>
      <c r="AF49" s="46"/>
      <c r="AG49" s="44"/>
      <c r="AH49" s="44"/>
      <c r="AI49" s="44"/>
      <c r="AJ49" s="44"/>
      <c r="AK49" s="44"/>
      <c r="AL49" s="44"/>
      <c r="AM49" s="44"/>
      <c r="AN49" s="44"/>
      <c r="AO49" s="45"/>
      <c r="AP49" s="44"/>
      <c r="AQ49" s="35"/>
    </row>
    <row r="50" spans="1:43" s="48" customFormat="1" ht="107.45" customHeight="1">
      <c r="A50" s="32" t="s">
        <v>109</v>
      </c>
      <c r="B50" s="57" t="s">
        <v>178</v>
      </c>
      <c r="C50" s="38" t="s">
        <v>202</v>
      </c>
      <c r="D50" s="39" t="s">
        <v>45</v>
      </c>
      <c r="E50" s="40">
        <v>43887</v>
      </c>
      <c r="F50" s="40">
        <v>43907</v>
      </c>
      <c r="G50" s="40">
        <v>43910</v>
      </c>
      <c r="H50" s="40">
        <v>43912</v>
      </c>
      <c r="I50" s="41" t="s">
        <v>86</v>
      </c>
      <c r="J50" s="42">
        <f t="shared" si="8"/>
        <v>1477</v>
      </c>
      <c r="K50" s="42">
        <v>1477</v>
      </c>
      <c r="L50" s="42"/>
      <c r="M50" s="34" t="s">
        <v>201</v>
      </c>
      <c r="N50" s="43"/>
      <c r="O50" s="44"/>
      <c r="P50" s="44"/>
      <c r="Q50" s="44"/>
      <c r="R50" s="44"/>
      <c r="S50" s="44"/>
      <c r="T50" s="44"/>
      <c r="U50" s="44"/>
      <c r="V50" s="44"/>
      <c r="W50" s="44"/>
      <c r="X50" s="44"/>
      <c r="Y50" s="44"/>
      <c r="Z50" s="44"/>
      <c r="AA50" s="44"/>
      <c r="AB50" s="45"/>
      <c r="AC50" s="46"/>
      <c r="AD50" s="46"/>
      <c r="AE50" s="47"/>
      <c r="AF50" s="46"/>
      <c r="AG50" s="44"/>
      <c r="AH50" s="44"/>
      <c r="AI50" s="44"/>
      <c r="AJ50" s="44"/>
      <c r="AK50" s="44"/>
      <c r="AL50" s="44"/>
      <c r="AM50" s="44"/>
      <c r="AN50" s="44"/>
      <c r="AO50" s="45"/>
      <c r="AP50" s="44"/>
      <c r="AQ50" s="36" t="s">
        <v>191</v>
      </c>
    </row>
    <row r="51" spans="1:43" s="48" customFormat="1" ht="92.45" customHeight="1">
      <c r="A51" s="32" t="s">
        <v>129</v>
      </c>
      <c r="B51" s="57" t="s">
        <v>178</v>
      </c>
      <c r="C51" s="38" t="s">
        <v>122</v>
      </c>
      <c r="D51" s="39" t="s">
        <v>45</v>
      </c>
      <c r="E51" s="40">
        <v>43887</v>
      </c>
      <c r="F51" s="40">
        <v>43907</v>
      </c>
      <c r="G51" s="40">
        <v>43910</v>
      </c>
      <c r="H51" s="40">
        <v>43912</v>
      </c>
      <c r="I51" s="41" t="s">
        <v>86</v>
      </c>
      <c r="J51" s="42">
        <f t="shared" si="5"/>
        <v>4063</v>
      </c>
      <c r="K51" s="42">
        <v>4063</v>
      </c>
      <c r="L51" s="42"/>
      <c r="M51" s="34" t="s">
        <v>179</v>
      </c>
      <c r="N51" s="43"/>
      <c r="O51" s="44"/>
      <c r="P51" s="44"/>
      <c r="Q51" s="44"/>
      <c r="R51" s="44"/>
      <c r="S51" s="44"/>
      <c r="T51" s="44"/>
      <c r="U51" s="44"/>
      <c r="V51" s="44"/>
      <c r="W51" s="44"/>
      <c r="X51" s="44"/>
      <c r="Y51" s="44"/>
      <c r="Z51" s="44"/>
      <c r="AA51" s="44"/>
      <c r="AB51" s="45"/>
      <c r="AC51" s="46"/>
      <c r="AD51" s="46"/>
      <c r="AE51" s="47"/>
      <c r="AF51" s="46"/>
      <c r="AG51" s="44"/>
      <c r="AH51" s="44"/>
      <c r="AI51" s="44"/>
      <c r="AJ51" s="44"/>
      <c r="AK51" s="44"/>
      <c r="AL51" s="44"/>
      <c r="AM51" s="44"/>
      <c r="AN51" s="44"/>
      <c r="AO51" s="45"/>
      <c r="AP51" s="44"/>
      <c r="AQ51" s="36" t="s">
        <v>191</v>
      </c>
    </row>
    <row r="53" spans="1:43" ht="36.75" customHeight="1">
      <c r="A53" s="11" t="s">
        <v>140</v>
      </c>
      <c r="D53" s="11" t="s">
        <v>141</v>
      </c>
      <c r="I53" s="11" t="s">
        <v>146</v>
      </c>
    </row>
    <row r="56" spans="1:43" ht="36.75" customHeight="1">
      <c r="A56" s="11" t="s">
        <v>142</v>
      </c>
      <c r="D56" s="11" t="s">
        <v>143</v>
      </c>
      <c r="I56" s="11" t="s">
        <v>147</v>
      </c>
    </row>
    <row r="57" spans="1:43" ht="14.25">
      <c r="A57" s="11" t="s">
        <v>144</v>
      </c>
      <c r="D57" s="11" t="s">
        <v>145</v>
      </c>
      <c r="I57" s="11" t="s">
        <v>148</v>
      </c>
    </row>
  </sheetData>
  <sheetProtection sheet="1" objects="1" scenarios="1" formatCells="0" formatColumns="0" formatRows="0" insertColumns="0" insertRows="0" deleteColumns="0" deleteRows="0" sort="0" autoFilter="0"/>
  <mergeCells count="16">
    <mergeCell ref="AC3:AE3"/>
    <mergeCell ref="AF3:AF4"/>
    <mergeCell ref="AG3:AO3"/>
    <mergeCell ref="AP3:AP4"/>
    <mergeCell ref="J3:L3"/>
    <mergeCell ref="M3:M4"/>
    <mergeCell ref="N3:N4"/>
    <mergeCell ref="O3:O4"/>
    <mergeCell ref="P3:AA3"/>
    <mergeCell ref="AB3:AB4"/>
    <mergeCell ref="I3:I4"/>
    <mergeCell ref="A3:A4"/>
    <mergeCell ref="B3:B4"/>
    <mergeCell ref="C3:C4"/>
    <mergeCell ref="D3:D4"/>
    <mergeCell ref="E3:H3"/>
  </mergeCells>
  <conditionalFormatting sqref="E47:H47 E5:H9 E11:H21 E29:H37 E51:H51 E24:H24">
    <cfRule type="cellIs" dxfId="66" priority="73" stopIfTrue="1" operator="equal">
      <formula>"Indicate Date"</formula>
    </cfRule>
  </conditionalFormatting>
  <conditionalFormatting sqref="J47 J5:J9 J11:J21 J29:J43 J51 J24">
    <cfRule type="cellIs" dxfId="65" priority="74" stopIfTrue="1" operator="equal">
      <formula>0</formula>
    </cfRule>
  </conditionalFormatting>
  <conditionalFormatting sqref="K13:AA13 A47:D47 K47:AA47 AC47:AD47 AF47:AN47 AP47 I47 AC5:AD9 AF5:AN9 AP5:AP9 I5:I9 A5:D9 K5:AA9 K11:L12 N11:AA12 K15:AA15 K14:L14 N14:AA14 K16:L16 N16:AA16 I11:I21 AP11:AP21 AF11:AN21 AC11:AD21 A11:D21 K17:AA20 K29:AA35 K36:L36 N36:AA36 I29:I43 AP29:AP43 AF29:AN43 AC29:AD43 K37:AA43 A29:D43 I51 AP51 AF51:AN51 AC51:AD51 K51:AA51 A51:D51 K24:AA24 A24:D24 AC24:AD24 AF24:AN24 AP24 I24 K21:L21 N21:AA21">
    <cfRule type="expression" dxfId="64" priority="71" stopIfTrue="1">
      <formula>LEN(TRIM(A5))=0</formula>
    </cfRule>
  </conditionalFormatting>
  <conditionalFormatting sqref="E10:H10">
    <cfRule type="cellIs" dxfId="63" priority="69" stopIfTrue="1" operator="equal">
      <formula>"Indicate Date"</formula>
    </cfRule>
  </conditionalFormatting>
  <conditionalFormatting sqref="J10">
    <cfRule type="cellIs" dxfId="62" priority="70" stopIfTrue="1" operator="equal">
      <formula>0</formula>
    </cfRule>
  </conditionalFormatting>
  <conditionalFormatting sqref="K10:L10 AC10:AD10 AF10:AN10 AP10 I10 A10:D10 N10:AA10">
    <cfRule type="expression" dxfId="61" priority="68" stopIfTrue="1">
      <formula>LEN(TRIM(A10))=0</formula>
    </cfRule>
  </conditionalFormatting>
  <conditionalFormatting sqref="E39:F39 E42:H43">
    <cfRule type="cellIs" dxfId="60" priority="66" stopIfTrue="1" operator="equal">
      <formula>"Indicate Date"</formula>
    </cfRule>
  </conditionalFormatting>
  <conditionalFormatting sqref="J46">
    <cfRule type="cellIs" dxfId="59" priority="67" stopIfTrue="1" operator="equal">
      <formula>0</formula>
    </cfRule>
  </conditionalFormatting>
  <conditionalFormatting sqref="A46:D46 K46:AA46 AC46:AD46 AF46:AN46 AP46 I46">
    <cfRule type="expression" dxfId="58" priority="65" stopIfTrue="1">
      <formula>LEN(TRIM(A46))=0</formula>
    </cfRule>
  </conditionalFormatting>
  <conditionalFormatting sqref="E38">
    <cfRule type="cellIs" dxfId="57" priority="64" stopIfTrue="1" operator="equal">
      <formula>"Indicate Date"</formula>
    </cfRule>
  </conditionalFormatting>
  <conditionalFormatting sqref="F38">
    <cfRule type="cellIs" dxfId="56" priority="63" stopIfTrue="1" operator="equal">
      <formula>"Indicate Date"</formula>
    </cfRule>
  </conditionalFormatting>
  <conditionalFormatting sqref="G38:H38">
    <cfRule type="cellIs" dxfId="55" priority="61" stopIfTrue="1" operator="equal">
      <formula>"Indicate Date"</formula>
    </cfRule>
  </conditionalFormatting>
  <conditionalFormatting sqref="G39:H39">
    <cfRule type="cellIs" dxfId="54" priority="60" stopIfTrue="1" operator="equal">
      <formula>"Indicate Date"</formula>
    </cfRule>
  </conditionalFormatting>
  <conditionalFormatting sqref="E40:F40">
    <cfRule type="cellIs" dxfId="53" priority="59" stopIfTrue="1" operator="equal">
      <formula>"Indicate Date"</formula>
    </cfRule>
  </conditionalFormatting>
  <conditionalFormatting sqref="G40:H40">
    <cfRule type="cellIs" dxfId="52" priority="58" stopIfTrue="1" operator="equal">
      <formula>"Indicate Date"</formula>
    </cfRule>
  </conditionalFormatting>
  <conditionalFormatting sqref="E41:F41">
    <cfRule type="cellIs" dxfId="51" priority="57" stopIfTrue="1" operator="equal">
      <formula>"Indicate Date"</formula>
    </cfRule>
  </conditionalFormatting>
  <conditionalFormatting sqref="G41:H41">
    <cfRule type="cellIs" dxfId="50" priority="56" stopIfTrue="1" operator="equal">
      <formula>"Indicate Date"</formula>
    </cfRule>
  </conditionalFormatting>
  <conditionalFormatting sqref="E46:F46">
    <cfRule type="cellIs" dxfId="49" priority="55" stopIfTrue="1" operator="equal">
      <formula>"Indicate Date"</formula>
    </cfRule>
  </conditionalFormatting>
  <conditionalFormatting sqref="G46:H46">
    <cfRule type="cellIs" dxfId="48" priority="54" stopIfTrue="1" operator="equal">
      <formula>"Indicate Date"</formula>
    </cfRule>
  </conditionalFormatting>
  <conditionalFormatting sqref="M16">
    <cfRule type="expression" dxfId="47" priority="43" stopIfTrue="1">
      <formula>LEN(TRIM(M16))=0</formula>
    </cfRule>
  </conditionalFormatting>
  <conditionalFormatting sqref="M14">
    <cfRule type="expression" dxfId="46" priority="44" stopIfTrue="1">
      <formula>LEN(TRIM(M14))=0</formula>
    </cfRule>
  </conditionalFormatting>
  <conditionalFormatting sqref="M11">
    <cfRule type="expression" dxfId="45" priority="46" stopIfTrue="1">
      <formula>LEN(TRIM(M11))=0</formula>
    </cfRule>
  </conditionalFormatting>
  <conditionalFormatting sqref="M12">
    <cfRule type="expression" dxfId="44" priority="45" stopIfTrue="1">
      <formula>LEN(TRIM(M12))=0</formula>
    </cfRule>
  </conditionalFormatting>
  <conditionalFormatting sqref="E28:H28">
    <cfRule type="cellIs" dxfId="43" priority="41" stopIfTrue="1" operator="equal">
      <formula>"Indicate Date"</formula>
    </cfRule>
  </conditionalFormatting>
  <conditionalFormatting sqref="J28">
    <cfRule type="cellIs" dxfId="42" priority="42" stopIfTrue="1" operator="equal">
      <formula>0</formula>
    </cfRule>
  </conditionalFormatting>
  <conditionalFormatting sqref="I28 AP28 AF28:AN28 AC28:AD28 A28:D28 K28:AA28">
    <cfRule type="expression" dxfId="41" priority="40" stopIfTrue="1">
      <formula>LEN(TRIM(A28))=0</formula>
    </cfRule>
  </conditionalFormatting>
  <conditionalFormatting sqref="E25:H25">
    <cfRule type="cellIs" dxfId="40" priority="38" stopIfTrue="1" operator="equal">
      <formula>"Indicate Date"</formula>
    </cfRule>
  </conditionalFormatting>
  <conditionalFormatting sqref="J25">
    <cfRule type="cellIs" dxfId="39" priority="39" stopIfTrue="1" operator="equal">
      <formula>0</formula>
    </cfRule>
  </conditionalFormatting>
  <conditionalFormatting sqref="I25 AP25 AF25:AN25 AC25:AD25 A25:D25 K25:AA25">
    <cfRule type="expression" dxfId="38" priority="37" stopIfTrue="1">
      <formula>LEN(TRIM(A25))=0</formula>
    </cfRule>
  </conditionalFormatting>
  <conditionalFormatting sqref="E27:H27">
    <cfRule type="cellIs" dxfId="37" priority="35" stopIfTrue="1" operator="equal">
      <formula>"Indicate Date"</formula>
    </cfRule>
  </conditionalFormatting>
  <conditionalFormatting sqref="J27">
    <cfRule type="cellIs" dxfId="36" priority="36" stopIfTrue="1" operator="equal">
      <formula>0</formula>
    </cfRule>
  </conditionalFormatting>
  <conditionalFormatting sqref="I27 AP27 AF27:AN27 AC27:AD27 A27:D27 K27:L27 N27:AA27">
    <cfRule type="expression" dxfId="35" priority="34" stopIfTrue="1">
      <formula>LEN(TRIM(A27))=0</formula>
    </cfRule>
  </conditionalFormatting>
  <conditionalFormatting sqref="E26:H26">
    <cfRule type="cellIs" dxfId="34" priority="32" stopIfTrue="1" operator="equal">
      <formula>"Indicate Date"</formula>
    </cfRule>
  </conditionalFormatting>
  <conditionalFormatting sqref="J26">
    <cfRule type="cellIs" dxfId="33" priority="33" stopIfTrue="1" operator="equal">
      <formula>0</formula>
    </cfRule>
  </conditionalFormatting>
  <conditionalFormatting sqref="I26 AP26 AF26:AN26 AC26:AD26 B26:D26 K26:AA26">
    <cfRule type="expression" dxfId="32" priority="31" stopIfTrue="1">
      <formula>LEN(TRIM(B26))=0</formula>
    </cfRule>
  </conditionalFormatting>
  <conditionalFormatting sqref="M27">
    <cfRule type="expression" dxfId="31" priority="30" stopIfTrue="1">
      <formula>LEN(TRIM(M27))=0</formula>
    </cfRule>
  </conditionalFormatting>
  <conditionalFormatting sqref="M36">
    <cfRule type="expression" dxfId="30" priority="26" stopIfTrue="1">
      <formula>LEN(TRIM(M36))=0</formula>
    </cfRule>
  </conditionalFormatting>
  <conditionalFormatting sqref="E44:H45">
    <cfRule type="cellIs" dxfId="29" priority="24" stopIfTrue="1" operator="equal">
      <formula>"Indicate Date"</formula>
    </cfRule>
  </conditionalFormatting>
  <conditionalFormatting sqref="J44:J45">
    <cfRule type="cellIs" dxfId="28" priority="25" stopIfTrue="1" operator="equal">
      <formula>0</formula>
    </cfRule>
  </conditionalFormatting>
  <conditionalFormatting sqref="I44:I45 AP44:AP45 AF44:AN45 AC44:AD45 K44:AA45 A44:D45">
    <cfRule type="expression" dxfId="27" priority="23" stopIfTrue="1">
      <formula>LEN(TRIM(A44))=0</formula>
    </cfRule>
  </conditionalFormatting>
  <conditionalFormatting sqref="E48:H48">
    <cfRule type="cellIs" dxfId="26" priority="21" stopIfTrue="1" operator="equal">
      <formula>"Indicate Date"</formula>
    </cfRule>
  </conditionalFormatting>
  <conditionalFormatting sqref="J48">
    <cfRule type="cellIs" dxfId="25" priority="22" stopIfTrue="1" operator="equal">
      <formula>0</formula>
    </cfRule>
  </conditionalFormatting>
  <conditionalFormatting sqref="I48 AP48 AF48:AN48 AC48:AD48 K48:AA48 A48:D48">
    <cfRule type="expression" dxfId="24" priority="20" stopIfTrue="1">
      <formula>LEN(TRIM(A48))=0</formula>
    </cfRule>
  </conditionalFormatting>
  <conditionalFormatting sqref="E49:H49">
    <cfRule type="cellIs" dxfId="23" priority="18" stopIfTrue="1" operator="equal">
      <formula>"Indicate Date"</formula>
    </cfRule>
  </conditionalFormatting>
  <conditionalFormatting sqref="J49">
    <cfRule type="cellIs" dxfId="22" priority="19" stopIfTrue="1" operator="equal">
      <formula>0</formula>
    </cfRule>
  </conditionalFormatting>
  <conditionalFormatting sqref="I49 AP49 AF49:AN49 AC49:AD49 K49:AA49 B49:D49">
    <cfRule type="expression" dxfId="21" priority="17" stopIfTrue="1">
      <formula>LEN(TRIM(B49))=0</formula>
    </cfRule>
  </conditionalFormatting>
  <conditionalFormatting sqref="A49">
    <cfRule type="expression" dxfId="20" priority="16" stopIfTrue="1">
      <formula>LEN(TRIM(A49))=0</formula>
    </cfRule>
  </conditionalFormatting>
  <conditionalFormatting sqref="E50:H50">
    <cfRule type="cellIs" dxfId="19" priority="14" stopIfTrue="1" operator="equal">
      <formula>"Indicate Date"</formula>
    </cfRule>
  </conditionalFormatting>
  <conditionalFormatting sqref="J50">
    <cfRule type="cellIs" dxfId="18" priority="15" stopIfTrue="1" operator="equal">
      <formula>0</formula>
    </cfRule>
  </conditionalFormatting>
  <conditionalFormatting sqref="I50 AP50 AF50:AN50 AC50:AD50 K50:L50 A50:D50 N50:AA50">
    <cfRule type="expression" dxfId="17" priority="13" stopIfTrue="1">
      <formula>LEN(TRIM(A50))=0</formula>
    </cfRule>
  </conditionalFormatting>
  <conditionalFormatting sqref="M50">
    <cfRule type="expression" dxfId="16" priority="12" stopIfTrue="1">
      <formula>LEN(TRIM(M50))=0</formula>
    </cfRule>
  </conditionalFormatting>
  <conditionalFormatting sqref="E23:H23">
    <cfRule type="cellIs" dxfId="15" priority="10" stopIfTrue="1" operator="equal">
      <formula>"Indicate Date"</formula>
    </cfRule>
  </conditionalFormatting>
  <conditionalFormatting sqref="J23">
    <cfRule type="cellIs" dxfId="14" priority="11" stopIfTrue="1" operator="equal">
      <formula>0</formula>
    </cfRule>
  </conditionalFormatting>
  <conditionalFormatting sqref="I23 AP23 AF23:AN23 AC23:AD23 B23:C23 K23:AA23">
    <cfRule type="expression" dxfId="13" priority="9" stopIfTrue="1">
      <formula>LEN(TRIM(B23))=0</formula>
    </cfRule>
  </conditionalFormatting>
  <conditionalFormatting sqref="M21">
    <cfRule type="expression" dxfId="12" priority="8" stopIfTrue="1">
      <formula>LEN(TRIM(M21))=0</formula>
    </cfRule>
  </conditionalFormatting>
  <conditionalFormatting sqref="E22:H22">
    <cfRule type="cellIs" dxfId="11" priority="6" stopIfTrue="1" operator="equal">
      <formula>"Indicate Date"</formula>
    </cfRule>
  </conditionalFormatting>
  <conditionalFormatting sqref="J22">
    <cfRule type="cellIs" dxfId="10" priority="7" stopIfTrue="1" operator="equal">
      <formula>0</formula>
    </cfRule>
  </conditionalFormatting>
  <conditionalFormatting sqref="I22 AP22 AF22:AN22 AC22:AD22 A22:D22 K22:AA22">
    <cfRule type="expression" dxfId="9" priority="5" stopIfTrue="1">
      <formula>LEN(TRIM(A22))=0</formula>
    </cfRule>
  </conditionalFormatting>
  <conditionalFormatting sqref="D23">
    <cfRule type="expression" dxfId="8" priority="4" stopIfTrue="1">
      <formula>LEN(TRIM(D23))=0</formula>
    </cfRule>
  </conditionalFormatting>
  <conditionalFormatting sqref="M10">
    <cfRule type="expression" dxfId="7" priority="3" stopIfTrue="1">
      <formula>LEN(TRIM(M10))=0</formula>
    </cfRule>
  </conditionalFormatting>
  <conditionalFormatting sqref="A26">
    <cfRule type="expression" dxfId="6" priority="2" stopIfTrue="1">
      <formula>LEN(TRIM(A26))=0</formula>
    </cfRule>
  </conditionalFormatting>
  <conditionalFormatting sqref="A23">
    <cfRule type="expression" dxfId="5" priority="1" stopIfTrue="1">
      <formula>LEN(TRIM(A23))=0</formula>
    </cfRule>
  </conditionalFormatting>
  <pageMargins left="0.1701" right="0.1701" top="1.2957000000000001" bottom="1.2957000000000001" header="1" footer="1"/>
  <pageSetup paperSize="14" scale="74" fitToWidth="0" fitToHeight="0" pageOrder="overThenDown" orientation="landscape" r:id="rId1"/>
  <headerFooter alignWithMargins="0"/>
  <extLst>
    <ext xmlns:x14="http://schemas.microsoft.com/office/spreadsheetml/2009/9/main" uri="{CCE6A557-97BC-4b89-ADB6-D9C93CAAB3DF}">
      <x14:dataValidations xmlns:xm="http://schemas.microsoft.com/office/excel/2006/main" count="2">
        <x14:dataValidation type="list" allowBlank="1" showErrorMessage="1">
          <x14:formula1>
            <xm:f>data_validation!$A$1:$A$19</xm:f>
          </x14:formula1>
          <xm:sqref>D5:D51</xm:sqref>
        </x14:dataValidation>
        <x14:dataValidation type="list" allowBlank="1" showErrorMessage="1">
          <x14:formula1>
            <xm:f>data_validation!$B$1:$B$6</xm:f>
          </x14:formula1>
          <xm:sqref>I5:I51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9" sqref="O19"/>
    </sheetView>
  </sheetViews>
  <sheetFormatPr defaultRowHeight="14.25"/>
  <sheetData/>
  <pageMargins left="0.24" right="0.7" top="0.75" bottom="0.75" header="0.3" footer="0.3"/>
  <pageSetup paperSize="9" orientation="landscape" horizontalDpi="0" verticalDpi="0" r:id="rId1"/>
  <headerFooter>
    <oddFooter>&amp;L&amp;"Arial1,Italic"List of Approved Vehicles for FY 2020&amp;R&amp;"Arial1,Italic"&amp;P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7"/>
  <sheetViews>
    <sheetView view="pageBreakPreview" topLeftCell="A7" zoomScaleNormal="50" zoomScaleSheetLayoutView="100" workbookViewId="0">
      <selection activeCell="A20" sqref="A20"/>
    </sheetView>
  </sheetViews>
  <sheetFormatPr defaultRowHeight="14.25"/>
  <cols>
    <col min="1" max="1" width="20.5" customWidth="1"/>
    <col min="2" max="2" width="23.375" customWidth="1"/>
    <col min="3" max="4" width="8.625" style="524" customWidth="1"/>
    <col min="5" max="5" width="7.625" style="524" customWidth="1"/>
    <col min="6" max="6" width="7" style="524" customWidth="1"/>
    <col min="7" max="7" width="9.375" style="524" customWidth="1"/>
    <col min="8" max="8" width="9.125" style="524" customWidth="1"/>
    <col min="9" max="9" width="9.375" style="524" customWidth="1"/>
    <col min="10" max="10" width="8.625" customWidth="1"/>
    <col min="12" max="12" width="9.125" customWidth="1"/>
    <col min="13" max="13" width="8.875" customWidth="1"/>
    <col min="14" max="14" width="8.5" customWidth="1"/>
    <col min="16" max="16" width="7.5" customWidth="1"/>
    <col min="18" max="18" width="6.625" customWidth="1"/>
    <col min="19" max="19" width="7.5" customWidth="1"/>
    <col min="20" max="20" width="7.875" customWidth="1"/>
    <col min="21" max="21" width="10.375" customWidth="1"/>
    <col min="22" max="22" width="10.875" customWidth="1"/>
    <col min="23" max="23" width="11.375" customWidth="1"/>
    <col min="26" max="26" width="13.375" customWidth="1"/>
    <col min="27" max="27" width="5.375" customWidth="1"/>
    <col min="28" max="28" width="9.875" customWidth="1"/>
    <col min="29" max="29" width="7.375" customWidth="1"/>
    <col min="31" max="31" width="7.5" customWidth="1"/>
    <col min="33" max="33" width="8.5" customWidth="1"/>
    <col min="34" max="34" width="8" customWidth="1"/>
    <col min="35" max="35" width="9.625" customWidth="1"/>
    <col min="36" max="36" width="8.375" customWidth="1"/>
    <col min="38" max="38" width="8.125" customWidth="1"/>
    <col min="39" max="39" width="11" customWidth="1"/>
    <col min="40" max="40" width="9.625" customWidth="1"/>
    <col min="41" max="41" width="6.625" customWidth="1"/>
    <col min="43" max="43" width="8" customWidth="1"/>
    <col min="44" max="45" width="8" hidden="1" customWidth="1"/>
  </cols>
  <sheetData>
    <row r="1" spans="1:47" ht="15">
      <c r="A1" s="509" t="s">
        <v>1569</v>
      </c>
    </row>
    <row r="2" spans="1:47" ht="15">
      <c r="A2" s="509" t="s">
        <v>1570</v>
      </c>
    </row>
    <row r="3" spans="1:47" ht="8.4499999999999993" customHeight="1">
      <c r="A3" s="420"/>
    </row>
    <row r="4" spans="1:47">
      <c r="A4" t="s">
        <v>1571</v>
      </c>
    </row>
    <row r="5" spans="1:47" ht="7.5" customHeight="1"/>
    <row r="6" spans="1:47">
      <c r="A6" s="524" t="s">
        <v>1572</v>
      </c>
    </row>
    <row r="7" spans="1:47" ht="15">
      <c r="A7" s="485" t="s">
        <v>1573</v>
      </c>
    </row>
    <row r="8" spans="1:47" ht="15">
      <c r="A8" s="485" t="s">
        <v>1574</v>
      </c>
    </row>
    <row r="9" spans="1:47" ht="6.95" customHeight="1" thickBot="1">
      <c r="B9" s="524"/>
    </row>
    <row r="10" spans="1:47" s="525" customFormat="1" ht="29.1" customHeight="1">
      <c r="A10" s="814" t="s">
        <v>1575</v>
      </c>
      <c r="B10" s="817" t="s">
        <v>1576</v>
      </c>
      <c r="C10" s="820" t="s">
        <v>1577</v>
      </c>
      <c r="D10" s="821"/>
      <c r="E10" s="821"/>
      <c r="F10" s="822"/>
      <c r="G10" s="820" t="s">
        <v>1578</v>
      </c>
      <c r="H10" s="821"/>
      <c r="I10" s="821"/>
      <c r="J10" s="821"/>
      <c r="K10" s="821"/>
      <c r="L10" s="821"/>
      <c r="M10" s="821"/>
      <c r="N10" s="821"/>
      <c r="O10" s="821"/>
      <c r="P10" s="821"/>
      <c r="Q10" s="821"/>
      <c r="R10" s="821"/>
      <c r="S10" s="821"/>
      <c r="T10" s="821"/>
      <c r="U10" s="821"/>
      <c r="V10" s="821"/>
      <c r="W10" s="821"/>
      <c r="X10" s="821"/>
      <c r="Y10" s="821"/>
      <c r="Z10" s="821"/>
      <c r="AA10" s="821"/>
      <c r="AB10" s="821"/>
      <c r="AC10" s="821"/>
      <c r="AD10" s="821"/>
      <c r="AE10" s="821"/>
      <c r="AF10" s="821"/>
      <c r="AG10" s="821"/>
      <c r="AH10" s="821"/>
      <c r="AI10" s="821"/>
      <c r="AJ10" s="821"/>
      <c r="AK10" s="821"/>
      <c r="AL10" s="821"/>
      <c r="AM10" s="821"/>
      <c r="AN10" s="821"/>
      <c r="AO10" s="822"/>
      <c r="AP10" s="823" t="s">
        <v>1346</v>
      </c>
    </row>
    <row r="11" spans="1:47" s="430" customFormat="1" ht="14.45" customHeight="1">
      <c r="A11" s="815"/>
      <c r="B11" s="818"/>
      <c r="C11" s="826" t="s">
        <v>1579</v>
      </c>
      <c r="D11" s="826" t="s">
        <v>1580</v>
      </c>
      <c r="E11" s="799" t="s">
        <v>1581</v>
      </c>
      <c r="F11" s="828" t="s">
        <v>1582</v>
      </c>
      <c r="G11" s="830" t="s">
        <v>1583</v>
      </c>
      <c r="H11" s="807" t="s">
        <v>1584</v>
      </c>
      <c r="I11" s="810" t="s">
        <v>1585</v>
      </c>
      <c r="J11" s="807" t="s">
        <v>1586</v>
      </c>
      <c r="K11" s="799" t="s">
        <v>106</v>
      </c>
      <c r="L11" s="799" t="s">
        <v>1587</v>
      </c>
      <c r="M11" s="799" t="s">
        <v>1588</v>
      </c>
      <c r="N11" s="799" t="s">
        <v>153</v>
      </c>
      <c r="O11" s="810" t="s">
        <v>1589</v>
      </c>
      <c r="P11" s="812" t="s">
        <v>1590</v>
      </c>
      <c r="Q11" s="799" t="s">
        <v>1591</v>
      </c>
      <c r="R11" s="799" t="s">
        <v>1592</v>
      </c>
      <c r="S11" s="799" t="s">
        <v>1593</v>
      </c>
      <c r="T11" s="799" t="s">
        <v>1594</v>
      </c>
      <c r="U11" s="799" t="s">
        <v>1595</v>
      </c>
      <c r="V11" s="801" t="s">
        <v>1596</v>
      </c>
      <c r="W11" s="799" t="s">
        <v>1597</v>
      </c>
      <c r="X11" s="799" t="s">
        <v>1598</v>
      </c>
      <c r="Y11" s="799" t="s">
        <v>1599</v>
      </c>
      <c r="Z11" s="807" t="s">
        <v>1600</v>
      </c>
      <c r="AA11" s="809" t="s">
        <v>1601</v>
      </c>
      <c r="AB11" s="809"/>
      <c r="AC11" s="809"/>
      <c r="AD11" s="809"/>
      <c r="AE11" s="799" t="s">
        <v>1602</v>
      </c>
      <c r="AF11" s="799" t="s">
        <v>1603</v>
      </c>
      <c r="AG11" s="799" t="s">
        <v>128</v>
      </c>
      <c r="AH11" s="805" t="s">
        <v>1604</v>
      </c>
      <c r="AI11" s="799" t="s">
        <v>1605</v>
      </c>
      <c r="AJ11" s="799" t="s">
        <v>1606</v>
      </c>
      <c r="AK11" s="799" t="s">
        <v>1607</v>
      </c>
      <c r="AL11" s="799" t="s">
        <v>1608</v>
      </c>
      <c r="AM11" s="801" t="s">
        <v>1609</v>
      </c>
      <c r="AN11" s="803" t="s">
        <v>178</v>
      </c>
      <c r="AO11" s="797" t="s">
        <v>1610</v>
      </c>
      <c r="AP11" s="824"/>
    </row>
    <row r="12" spans="1:47" s="618" customFormat="1" ht="84.6" customHeight="1" thickBot="1">
      <c r="A12" s="816"/>
      <c r="B12" s="819"/>
      <c r="C12" s="827"/>
      <c r="D12" s="827"/>
      <c r="E12" s="800"/>
      <c r="F12" s="829"/>
      <c r="G12" s="831"/>
      <c r="H12" s="808"/>
      <c r="I12" s="811"/>
      <c r="J12" s="808"/>
      <c r="K12" s="800"/>
      <c r="L12" s="800"/>
      <c r="M12" s="800"/>
      <c r="N12" s="800"/>
      <c r="O12" s="811"/>
      <c r="P12" s="813"/>
      <c r="Q12" s="800"/>
      <c r="R12" s="800"/>
      <c r="S12" s="800"/>
      <c r="T12" s="800"/>
      <c r="U12" s="800"/>
      <c r="V12" s="802"/>
      <c r="W12" s="800"/>
      <c r="X12" s="800"/>
      <c r="Y12" s="800"/>
      <c r="Z12" s="808"/>
      <c r="AA12" s="616" t="s">
        <v>1611</v>
      </c>
      <c r="AB12" s="616" t="s">
        <v>1612</v>
      </c>
      <c r="AC12" s="616" t="s">
        <v>1613</v>
      </c>
      <c r="AD12" s="616" t="s">
        <v>1614</v>
      </c>
      <c r="AE12" s="800"/>
      <c r="AF12" s="800"/>
      <c r="AG12" s="800"/>
      <c r="AH12" s="806"/>
      <c r="AI12" s="800"/>
      <c r="AJ12" s="800"/>
      <c r="AK12" s="800"/>
      <c r="AL12" s="800"/>
      <c r="AM12" s="802"/>
      <c r="AN12" s="804"/>
      <c r="AO12" s="798"/>
      <c r="AP12" s="825"/>
      <c r="AQ12" s="617"/>
      <c r="AU12" s="619"/>
    </row>
    <row r="13" spans="1:47" s="430" customFormat="1" ht="15">
      <c r="A13" s="526" t="s">
        <v>1615</v>
      </c>
      <c r="B13" s="527" t="s">
        <v>1616</v>
      </c>
      <c r="C13" s="528">
        <v>530</v>
      </c>
      <c r="D13" s="528">
        <v>182</v>
      </c>
      <c r="E13" s="528"/>
      <c r="F13" s="529">
        <f>C13+D13+E13</f>
        <v>712</v>
      </c>
      <c r="G13" s="528">
        <v>1200</v>
      </c>
      <c r="H13" s="528">
        <v>85</v>
      </c>
      <c r="I13" s="530"/>
      <c r="J13" s="531">
        <v>139</v>
      </c>
      <c r="K13" s="531">
        <v>300</v>
      </c>
      <c r="L13" s="532"/>
      <c r="M13" s="531">
        <v>132</v>
      </c>
      <c r="N13" s="532"/>
      <c r="O13" s="532"/>
      <c r="P13" s="532"/>
      <c r="Q13" s="532"/>
      <c r="R13" s="531">
        <v>50</v>
      </c>
      <c r="S13" s="532"/>
      <c r="T13" s="532"/>
      <c r="U13" s="532"/>
      <c r="V13" s="531">
        <v>118</v>
      </c>
      <c r="W13" s="531">
        <v>980</v>
      </c>
      <c r="X13" s="532"/>
      <c r="Y13" s="532"/>
      <c r="Z13" s="532"/>
      <c r="AA13" s="532"/>
      <c r="AB13" s="532"/>
      <c r="AC13" s="532"/>
      <c r="AD13" s="532"/>
      <c r="AE13" s="532"/>
      <c r="AF13" s="532"/>
      <c r="AG13" s="532"/>
      <c r="AH13" s="532"/>
      <c r="AI13" s="532"/>
      <c r="AJ13" s="531">
        <v>1849</v>
      </c>
      <c r="AK13" s="532"/>
      <c r="AL13" s="532"/>
      <c r="AM13" s="532"/>
      <c r="AN13" s="532"/>
      <c r="AO13" s="533">
        <f>SUM(G13:AN13)</f>
        <v>4853</v>
      </c>
      <c r="AP13" s="534">
        <f>F13+AO13</f>
        <v>5565</v>
      </c>
      <c r="AQ13" s="535"/>
      <c r="AR13" s="535"/>
      <c r="AS13" s="536"/>
      <c r="AU13" s="535"/>
    </row>
    <row r="14" spans="1:47" s="430" customFormat="1" ht="15">
      <c r="A14" s="537"/>
      <c r="B14" s="538"/>
      <c r="C14" s="539"/>
      <c r="D14" s="539"/>
      <c r="E14" s="539"/>
      <c r="F14" s="540"/>
      <c r="G14" s="541"/>
      <c r="H14" s="541"/>
      <c r="I14" s="541"/>
      <c r="J14" s="542"/>
      <c r="K14" s="542"/>
      <c r="L14" s="542"/>
      <c r="M14" s="542"/>
      <c r="N14" s="542"/>
      <c r="O14" s="542"/>
      <c r="P14" s="542"/>
      <c r="Q14" s="542"/>
      <c r="R14" s="542"/>
      <c r="S14" s="542"/>
      <c r="T14" s="542"/>
      <c r="U14" s="542"/>
      <c r="V14" s="542"/>
      <c r="W14" s="542"/>
      <c r="X14" s="542"/>
      <c r="Y14" s="542"/>
      <c r="Z14" s="542"/>
      <c r="AA14" s="542"/>
      <c r="AB14" s="542"/>
      <c r="AC14" s="542"/>
      <c r="AD14" s="542"/>
      <c r="AE14" s="542"/>
      <c r="AF14" s="542"/>
      <c r="AG14" s="542"/>
      <c r="AH14" s="542"/>
      <c r="AI14" s="542"/>
      <c r="AJ14" s="542"/>
      <c r="AK14" s="542"/>
      <c r="AL14" s="542"/>
      <c r="AM14" s="542"/>
      <c r="AN14" s="542"/>
      <c r="AO14" s="543"/>
      <c r="AP14" s="544"/>
      <c r="AS14" s="536"/>
    </row>
    <row r="15" spans="1:47" s="430" customFormat="1" ht="15">
      <c r="A15" s="545" t="s">
        <v>98</v>
      </c>
      <c r="B15" s="546" t="s">
        <v>1616</v>
      </c>
      <c r="C15" s="547">
        <v>619</v>
      </c>
      <c r="D15" s="547">
        <v>168</v>
      </c>
      <c r="E15" s="547">
        <v>2540</v>
      </c>
      <c r="F15" s="548">
        <f>C15+D15+E15</f>
        <v>3327</v>
      </c>
      <c r="G15" s="547">
        <v>1064</v>
      </c>
      <c r="H15" s="547">
        <v>205</v>
      </c>
      <c r="I15" s="547">
        <v>600</v>
      </c>
      <c r="J15" s="549">
        <v>219</v>
      </c>
      <c r="K15" s="549">
        <f>1517-680</f>
        <v>837</v>
      </c>
      <c r="L15" s="549">
        <v>30</v>
      </c>
      <c r="M15" s="549">
        <v>664</v>
      </c>
      <c r="N15" s="549">
        <v>100</v>
      </c>
      <c r="O15" s="549">
        <v>240</v>
      </c>
      <c r="P15" s="549">
        <v>1090</v>
      </c>
      <c r="Q15" s="549">
        <v>50</v>
      </c>
      <c r="R15" s="549">
        <v>60</v>
      </c>
      <c r="S15" s="549">
        <v>200</v>
      </c>
      <c r="T15" s="549">
        <v>180</v>
      </c>
      <c r="U15" s="549"/>
      <c r="V15" s="549"/>
      <c r="W15" s="549">
        <v>1024</v>
      </c>
      <c r="X15" s="549">
        <v>192</v>
      </c>
      <c r="Y15" s="549">
        <v>660</v>
      </c>
      <c r="Z15" s="549">
        <v>1471</v>
      </c>
      <c r="AA15" s="549">
        <v>250</v>
      </c>
      <c r="AB15" s="549">
        <v>80</v>
      </c>
      <c r="AC15" s="549">
        <v>2343</v>
      </c>
      <c r="AD15" s="549">
        <v>60</v>
      </c>
      <c r="AE15" s="549">
        <v>55</v>
      </c>
      <c r="AF15" s="549">
        <v>80</v>
      </c>
      <c r="AG15" s="549">
        <v>225</v>
      </c>
      <c r="AH15" s="549"/>
      <c r="AI15" s="549">
        <v>50</v>
      </c>
      <c r="AJ15" s="549">
        <v>172</v>
      </c>
      <c r="AK15" s="549">
        <v>50</v>
      </c>
      <c r="AL15" s="549">
        <v>564</v>
      </c>
      <c r="AM15" s="549">
        <v>12</v>
      </c>
      <c r="AN15" s="549">
        <v>165</v>
      </c>
      <c r="AO15" s="548">
        <f>SUM(G15:AN15)</f>
        <v>12992</v>
      </c>
      <c r="AP15" s="550">
        <f>F15+AO15</f>
        <v>16319</v>
      </c>
      <c r="AQ15" s="535"/>
      <c r="AS15" s="536"/>
      <c r="AU15" s="535"/>
    </row>
    <row r="16" spans="1:47" s="430" customFormat="1" ht="15">
      <c r="A16" s="551"/>
      <c r="B16" s="552"/>
      <c r="C16" s="553"/>
      <c r="D16" s="553"/>
      <c r="E16" s="553"/>
      <c r="F16" s="553"/>
      <c r="G16" s="553"/>
      <c r="H16" s="553"/>
      <c r="I16" s="553"/>
      <c r="J16" s="554"/>
      <c r="K16" s="554"/>
      <c r="L16" s="554"/>
      <c r="M16" s="554"/>
      <c r="N16" s="554"/>
      <c r="O16" s="554"/>
      <c r="P16" s="554"/>
      <c r="Q16" s="554"/>
      <c r="R16" s="554"/>
      <c r="S16" s="554"/>
      <c r="T16" s="554"/>
      <c r="U16" s="554"/>
      <c r="V16" s="554"/>
      <c r="W16" s="554"/>
      <c r="X16" s="554"/>
      <c r="Y16" s="554"/>
      <c r="Z16" s="554"/>
      <c r="AA16" s="554"/>
      <c r="AB16" s="554"/>
      <c r="AC16" s="554"/>
      <c r="AD16" s="554"/>
      <c r="AE16" s="554"/>
      <c r="AF16" s="554"/>
      <c r="AG16" s="554"/>
      <c r="AH16" s="554"/>
      <c r="AI16" s="554"/>
      <c r="AJ16" s="554"/>
      <c r="AK16" s="554"/>
      <c r="AL16" s="554"/>
      <c r="AM16" s="554"/>
      <c r="AN16" s="554"/>
      <c r="AO16" s="543"/>
      <c r="AP16" s="544"/>
    </row>
    <row r="17" spans="1:47" s="430" customFormat="1" ht="15">
      <c r="A17" s="545" t="s">
        <v>117</v>
      </c>
      <c r="B17" s="546" t="s">
        <v>1617</v>
      </c>
      <c r="C17" s="547">
        <v>1329</v>
      </c>
      <c r="D17" s="547">
        <v>232</v>
      </c>
      <c r="E17" s="547">
        <v>7200</v>
      </c>
      <c r="F17" s="548">
        <f>C17+D17+E17</f>
        <v>8761</v>
      </c>
      <c r="G17" s="547">
        <v>310</v>
      </c>
      <c r="H17" s="547">
        <v>348</v>
      </c>
      <c r="I17" s="555"/>
      <c r="J17" s="547">
        <v>176</v>
      </c>
      <c r="K17" s="547">
        <f>380-30</f>
        <v>350</v>
      </c>
      <c r="L17" s="556"/>
      <c r="M17" s="547">
        <v>70</v>
      </c>
      <c r="N17" s="549"/>
      <c r="O17" s="549"/>
      <c r="P17" s="549"/>
      <c r="Q17" s="549"/>
      <c r="R17" s="549">
        <v>7</v>
      </c>
      <c r="S17" s="549"/>
      <c r="T17" s="549"/>
      <c r="U17" s="549">
        <v>180</v>
      </c>
      <c r="V17" s="549"/>
      <c r="W17" s="549">
        <v>288</v>
      </c>
      <c r="X17" s="549"/>
      <c r="Y17" s="549"/>
      <c r="Z17" s="549">
        <v>1620</v>
      </c>
      <c r="AA17" s="549"/>
      <c r="AB17" s="549"/>
      <c r="AC17" s="549"/>
      <c r="AD17" s="549"/>
      <c r="AE17" s="549"/>
      <c r="AF17" s="549"/>
      <c r="AG17" s="549"/>
      <c r="AH17" s="549">
        <v>60</v>
      </c>
      <c r="AI17" s="549">
        <v>100</v>
      </c>
      <c r="AJ17" s="549">
        <v>150</v>
      </c>
      <c r="AK17" s="549"/>
      <c r="AL17" s="549"/>
      <c r="AM17" s="549"/>
      <c r="AN17" s="549">
        <v>100</v>
      </c>
      <c r="AO17" s="548">
        <f>SUM(G17:AN17)</f>
        <v>3759</v>
      </c>
      <c r="AP17" s="550">
        <f t="shared" ref="AP17:AP18" si="0">F17+AO17</f>
        <v>12520</v>
      </c>
      <c r="AQ17" s="535"/>
      <c r="AS17" s="536"/>
      <c r="AU17" s="535"/>
    </row>
    <row r="18" spans="1:47" s="430" customFormat="1" ht="15">
      <c r="A18" s="551"/>
      <c r="B18" s="552" t="s">
        <v>1618</v>
      </c>
      <c r="C18" s="553"/>
      <c r="D18" s="553"/>
      <c r="E18" s="553"/>
      <c r="F18" s="557"/>
      <c r="G18" s="553"/>
      <c r="H18" s="553"/>
      <c r="I18" s="553"/>
      <c r="J18" s="554"/>
      <c r="K18" s="558">
        <v>36</v>
      </c>
      <c r="L18" s="554"/>
      <c r="M18" s="558">
        <v>10</v>
      </c>
      <c r="N18" s="558">
        <v>39</v>
      </c>
      <c r="O18" s="558">
        <v>0</v>
      </c>
      <c r="P18" s="558">
        <v>0</v>
      </c>
      <c r="Q18" s="558">
        <v>0</v>
      </c>
      <c r="R18" s="558">
        <v>0</v>
      </c>
      <c r="S18" s="558">
        <v>0</v>
      </c>
      <c r="T18" s="558">
        <v>0</v>
      </c>
      <c r="U18" s="558">
        <v>0</v>
      </c>
      <c r="V18" s="558">
        <v>0</v>
      </c>
      <c r="W18" s="558">
        <v>650</v>
      </c>
      <c r="X18" s="558">
        <v>0</v>
      </c>
      <c r="Y18" s="558">
        <v>0</v>
      </c>
      <c r="Z18" s="558">
        <v>0</v>
      </c>
      <c r="AA18" s="558">
        <v>0</v>
      </c>
      <c r="AB18" s="558">
        <v>0</v>
      </c>
      <c r="AC18" s="558">
        <v>0</v>
      </c>
      <c r="AD18" s="558">
        <v>0</v>
      </c>
      <c r="AE18" s="558">
        <v>0</v>
      </c>
      <c r="AF18" s="558">
        <v>0</v>
      </c>
      <c r="AG18" s="558">
        <v>0</v>
      </c>
      <c r="AH18" s="558">
        <v>0</v>
      </c>
      <c r="AI18" s="558">
        <v>0</v>
      </c>
      <c r="AJ18" s="558">
        <v>615</v>
      </c>
      <c r="AK18" s="558">
        <v>0</v>
      </c>
      <c r="AL18" s="558">
        <v>0</v>
      </c>
      <c r="AM18" s="558">
        <v>0</v>
      </c>
      <c r="AN18" s="558">
        <v>0</v>
      </c>
      <c r="AO18" s="559">
        <f>SUM(G18:AN18)</f>
        <v>1350</v>
      </c>
      <c r="AP18" s="560">
        <f t="shared" si="0"/>
        <v>1350</v>
      </c>
    </row>
    <row r="19" spans="1:47" s="430" customFormat="1" ht="15">
      <c r="A19" s="537"/>
      <c r="B19" s="538"/>
      <c r="C19" s="541"/>
      <c r="D19" s="541"/>
      <c r="E19" s="541"/>
      <c r="F19" s="541"/>
      <c r="G19" s="541"/>
      <c r="H19" s="541"/>
      <c r="I19" s="541"/>
      <c r="J19" s="542"/>
      <c r="K19" s="542"/>
      <c r="L19" s="542"/>
      <c r="M19" s="542"/>
      <c r="N19" s="542"/>
      <c r="O19" s="542"/>
      <c r="P19" s="542"/>
      <c r="Q19" s="542"/>
      <c r="R19" s="542"/>
      <c r="S19" s="542"/>
      <c r="T19" s="542"/>
      <c r="U19" s="542"/>
      <c r="V19" s="542"/>
      <c r="W19" s="542"/>
      <c r="X19" s="542"/>
      <c r="Y19" s="542"/>
      <c r="Z19" s="542"/>
      <c r="AA19" s="542"/>
      <c r="AB19" s="542"/>
      <c r="AC19" s="542"/>
      <c r="AD19" s="542"/>
      <c r="AE19" s="542"/>
      <c r="AF19" s="542"/>
      <c r="AG19" s="542"/>
      <c r="AH19" s="542"/>
      <c r="AI19" s="542"/>
      <c r="AJ19" s="542"/>
      <c r="AK19" s="542"/>
      <c r="AL19" s="542"/>
      <c r="AM19" s="542"/>
      <c r="AN19" s="542"/>
      <c r="AO19" s="543"/>
      <c r="AP19" s="544"/>
    </row>
    <row r="20" spans="1:47" s="430" customFormat="1" ht="15">
      <c r="A20" s="545" t="s">
        <v>121</v>
      </c>
      <c r="B20" s="546" t="s">
        <v>1619</v>
      </c>
      <c r="C20" s="547">
        <v>393</v>
      </c>
      <c r="D20" s="547">
        <v>32</v>
      </c>
      <c r="E20" s="547">
        <v>2100</v>
      </c>
      <c r="F20" s="548">
        <f>C20+D20+E20</f>
        <v>2525</v>
      </c>
      <c r="G20" s="547">
        <v>163</v>
      </c>
      <c r="H20" s="547">
        <v>70</v>
      </c>
      <c r="I20" s="555"/>
      <c r="J20" s="549">
        <v>129</v>
      </c>
      <c r="K20" s="547">
        <v>350</v>
      </c>
      <c r="L20" s="556"/>
      <c r="M20" s="547">
        <v>90</v>
      </c>
      <c r="N20" s="556"/>
      <c r="O20" s="556"/>
      <c r="P20" s="556"/>
      <c r="Q20" s="556"/>
      <c r="R20" s="556"/>
      <c r="S20" s="556"/>
      <c r="T20" s="549">
        <v>12</v>
      </c>
      <c r="U20" s="556"/>
      <c r="V20" s="556"/>
      <c r="W20" s="549">
        <v>432</v>
      </c>
      <c r="X20" s="556"/>
      <c r="Y20" s="556"/>
      <c r="Z20" s="549">
        <v>702</v>
      </c>
      <c r="AA20" s="556"/>
      <c r="AB20" s="556"/>
      <c r="AC20" s="556"/>
      <c r="AD20" s="556"/>
      <c r="AE20" s="556"/>
      <c r="AF20" s="556"/>
      <c r="AG20" s="556"/>
      <c r="AH20" s="556"/>
      <c r="AI20" s="556"/>
      <c r="AJ20" s="556"/>
      <c r="AK20" s="556"/>
      <c r="AL20" s="556"/>
      <c r="AM20" s="556"/>
      <c r="AN20" s="549">
        <v>30</v>
      </c>
      <c r="AO20" s="548">
        <f t="shared" ref="AO20:AO23" si="1">SUM(G20:AN20)</f>
        <v>1978</v>
      </c>
      <c r="AP20" s="550">
        <f t="shared" ref="AP20:AP23" si="2">F20+AO20</f>
        <v>4503</v>
      </c>
      <c r="AQ20" s="535"/>
      <c r="AS20" s="536"/>
      <c r="AU20" s="535"/>
    </row>
    <row r="21" spans="1:47" s="563" customFormat="1" ht="15">
      <c r="A21" s="561"/>
      <c r="B21" s="562" t="s">
        <v>1620</v>
      </c>
      <c r="C21" s="540"/>
      <c r="D21" s="540"/>
      <c r="E21" s="540"/>
      <c r="F21" s="559"/>
      <c r="G21" s="540"/>
      <c r="H21" s="540"/>
      <c r="I21" s="540"/>
      <c r="J21" s="558"/>
      <c r="K21" s="558"/>
      <c r="L21" s="558"/>
      <c r="M21" s="558"/>
      <c r="N21" s="558"/>
      <c r="O21" s="558"/>
      <c r="P21" s="558"/>
      <c r="Q21" s="558"/>
      <c r="R21" s="558"/>
      <c r="S21" s="558"/>
      <c r="T21" s="558"/>
      <c r="U21" s="558"/>
      <c r="V21" s="558"/>
      <c r="W21" s="558"/>
      <c r="X21" s="558"/>
      <c r="Y21" s="558"/>
      <c r="Z21" s="558"/>
      <c r="AA21" s="558"/>
      <c r="AB21" s="558"/>
      <c r="AC21" s="558"/>
      <c r="AD21" s="558"/>
      <c r="AE21" s="558"/>
      <c r="AF21" s="558"/>
      <c r="AG21" s="558"/>
      <c r="AH21" s="558"/>
      <c r="AI21" s="558"/>
      <c r="AJ21" s="558"/>
      <c r="AK21" s="558"/>
      <c r="AL21" s="558"/>
      <c r="AM21" s="558"/>
      <c r="AN21" s="558"/>
      <c r="AO21" s="559">
        <f t="shared" si="1"/>
        <v>0</v>
      </c>
      <c r="AP21" s="560">
        <f t="shared" si="2"/>
        <v>0</v>
      </c>
    </row>
    <row r="22" spans="1:47" s="430" customFormat="1" ht="15">
      <c r="A22" s="551"/>
      <c r="B22" s="552" t="s">
        <v>1621</v>
      </c>
      <c r="C22" s="553"/>
      <c r="D22" s="553"/>
      <c r="E22" s="553"/>
      <c r="F22" s="559"/>
      <c r="G22" s="540">
        <v>295</v>
      </c>
      <c r="H22" s="553"/>
      <c r="I22" s="553"/>
      <c r="J22" s="554"/>
      <c r="K22" s="558">
        <f>332-122</f>
        <v>210</v>
      </c>
      <c r="L22" s="554"/>
      <c r="M22" s="558">
        <v>30</v>
      </c>
      <c r="N22" s="558"/>
      <c r="O22" s="558"/>
      <c r="P22" s="558"/>
      <c r="Q22" s="558">
        <v>5</v>
      </c>
      <c r="R22" s="558"/>
      <c r="S22" s="558"/>
      <c r="T22" s="558">
        <v>12</v>
      </c>
      <c r="U22" s="558"/>
      <c r="V22" s="558"/>
      <c r="W22" s="558">
        <v>288</v>
      </c>
      <c r="X22" s="558"/>
      <c r="Y22" s="558"/>
      <c r="Z22" s="558"/>
      <c r="AA22" s="558"/>
      <c r="AB22" s="558"/>
      <c r="AC22" s="558"/>
      <c r="AD22" s="558"/>
      <c r="AE22" s="558"/>
      <c r="AF22" s="558"/>
      <c r="AG22" s="558"/>
      <c r="AH22" s="558"/>
      <c r="AI22" s="558">
        <v>150</v>
      </c>
      <c r="AJ22" s="558">
        <v>300</v>
      </c>
      <c r="AK22" s="558"/>
      <c r="AL22" s="558"/>
      <c r="AM22" s="558">
        <v>40</v>
      </c>
      <c r="AN22" s="558">
        <v>75</v>
      </c>
      <c r="AO22" s="559">
        <f t="shared" si="1"/>
        <v>1405</v>
      </c>
      <c r="AP22" s="560">
        <f t="shared" si="2"/>
        <v>1405</v>
      </c>
      <c r="AQ22" s="535"/>
      <c r="AS22" s="536"/>
      <c r="AU22" s="535"/>
    </row>
    <row r="23" spans="1:47" s="430" customFormat="1" ht="15">
      <c r="A23" s="551"/>
      <c r="B23" s="552" t="s">
        <v>1622</v>
      </c>
      <c r="C23" s="553"/>
      <c r="D23" s="553"/>
      <c r="E23" s="553"/>
      <c r="F23" s="557"/>
      <c r="G23" s="540"/>
      <c r="H23" s="553"/>
      <c r="I23" s="540">
        <v>30</v>
      </c>
      <c r="J23" s="554"/>
      <c r="K23" s="558">
        <v>135</v>
      </c>
      <c r="L23" s="554"/>
      <c r="M23" s="558">
        <v>40</v>
      </c>
      <c r="N23" s="554"/>
      <c r="O23" s="554"/>
      <c r="P23" s="554"/>
      <c r="Q23" s="554"/>
      <c r="R23" s="554"/>
      <c r="S23" s="554"/>
      <c r="T23" s="554"/>
      <c r="U23" s="554"/>
      <c r="V23" s="554"/>
      <c r="W23" s="558">
        <v>996</v>
      </c>
      <c r="X23" s="554"/>
      <c r="Y23" s="554"/>
      <c r="Z23" s="554"/>
      <c r="AA23" s="554"/>
      <c r="AB23" s="554"/>
      <c r="AC23" s="554"/>
      <c r="AD23" s="554"/>
      <c r="AE23" s="554"/>
      <c r="AF23" s="554"/>
      <c r="AG23" s="554"/>
      <c r="AH23" s="554"/>
      <c r="AI23" s="554"/>
      <c r="AJ23" s="558">
        <v>285</v>
      </c>
      <c r="AK23" s="554"/>
      <c r="AL23" s="554"/>
      <c r="AM23" s="554"/>
      <c r="AN23" s="554"/>
      <c r="AO23" s="559">
        <f t="shared" si="1"/>
        <v>1486</v>
      </c>
      <c r="AP23" s="560">
        <f t="shared" si="2"/>
        <v>1486</v>
      </c>
    </row>
    <row r="24" spans="1:47" s="430" customFormat="1" ht="15">
      <c r="A24" s="537"/>
      <c r="B24" s="538"/>
      <c r="C24" s="541"/>
      <c r="D24" s="541"/>
      <c r="E24" s="541"/>
      <c r="F24" s="541"/>
      <c r="G24" s="541"/>
      <c r="H24" s="541"/>
      <c r="I24" s="541"/>
      <c r="J24" s="542"/>
      <c r="K24" s="542"/>
      <c r="L24" s="542"/>
      <c r="M24" s="542"/>
      <c r="N24" s="542"/>
      <c r="O24" s="542"/>
      <c r="P24" s="542"/>
      <c r="Q24" s="542"/>
      <c r="R24" s="542"/>
      <c r="S24" s="542"/>
      <c r="T24" s="542"/>
      <c r="U24" s="542"/>
      <c r="V24" s="542"/>
      <c r="W24" s="542"/>
      <c r="X24" s="542"/>
      <c r="Y24" s="542"/>
      <c r="Z24" s="542"/>
      <c r="AA24" s="542"/>
      <c r="AB24" s="542"/>
      <c r="AC24" s="542"/>
      <c r="AD24" s="542"/>
      <c r="AE24" s="542"/>
      <c r="AF24" s="542"/>
      <c r="AG24" s="542"/>
      <c r="AH24" s="542"/>
      <c r="AI24" s="542"/>
      <c r="AJ24" s="542"/>
      <c r="AK24" s="542"/>
      <c r="AL24" s="542"/>
      <c r="AM24" s="542"/>
      <c r="AN24" s="542"/>
      <c r="AO24" s="543"/>
      <c r="AP24" s="544"/>
    </row>
    <row r="25" spans="1:47" s="430" customFormat="1" ht="30" customHeight="1">
      <c r="A25" s="564" t="s">
        <v>1623</v>
      </c>
      <c r="B25" s="546" t="s">
        <v>1624</v>
      </c>
      <c r="C25" s="547">
        <v>1105</v>
      </c>
      <c r="D25" s="547">
        <v>581</v>
      </c>
      <c r="E25" s="547">
        <v>110</v>
      </c>
      <c r="F25" s="548">
        <f>C25+D25+E25</f>
        <v>1796</v>
      </c>
      <c r="G25" s="547">
        <v>470</v>
      </c>
      <c r="H25" s="547">
        <v>610</v>
      </c>
      <c r="I25" s="555"/>
      <c r="J25" s="549">
        <v>401</v>
      </c>
      <c r="K25" s="547">
        <v>371</v>
      </c>
      <c r="L25" s="556"/>
      <c r="M25" s="547">
        <v>65</v>
      </c>
      <c r="N25" s="549"/>
      <c r="O25" s="549"/>
      <c r="P25" s="549"/>
      <c r="Q25" s="549"/>
      <c r="R25" s="549">
        <v>36</v>
      </c>
      <c r="S25" s="549"/>
      <c r="T25" s="549"/>
      <c r="U25" s="549"/>
      <c r="V25" s="549"/>
      <c r="W25" s="549">
        <v>1700</v>
      </c>
      <c r="X25" s="549"/>
      <c r="Y25" s="549"/>
      <c r="Z25" s="549">
        <v>678</v>
      </c>
      <c r="AA25" s="549"/>
      <c r="AB25" s="549"/>
      <c r="AC25" s="549"/>
      <c r="AD25" s="549"/>
      <c r="AE25" s="549"/>
      <c r="AF25" s="549"/>
      <c r="AG25" s="549"/>
      <c r="AH25" s="549"/>
      <c r="AI25" s="558">
        <v>30</v>
      </c>
      <c r="AJ25" s="549">
        <v>300</v>
      </c>
      <c r="AK25" s="549"/>
      <c r="AL25" s="549"/>
      <c r="AM25" s="549"/>
      <c r="AN25" s="549">
        <v>130</v>
      </c>
      <c r="AO25" s="548">
        <f t="shared" ref="AO25:AO26" si="3">SUM(G25:AN25)</f>
        <v>4791</v>
      </c>
      <c r="AP25" s="550">
        <f t="shared" ref="AP25:AP27" si="4">F25+AO25</f>
        <v>6587</v>
      </c>
      <c r="AQ25" s="535"/>
      <c r="AS25" s="536"/>
      <c r="AU25" s="535"/>
    </row>
    <row r="26" spans="1:47" s="430" customFormat="1" ht="15">
      <c r="A26" s="551"/>
      <c r="B26" s="552" t="s">
        <v>1625</v>
      </c>
      <c r="C26" s="553"/>
      <c r="D26" s="553"/>
      <c r="E26" s="553"/>
      <c r="F26" s="557"/>
      <c r="G26" s="540">
        <v>118</v>
      </c>
      <c r="H26" s="553"/>
      <c r="I26" s="553"/>
      <c r="J26" s="554"/>
      <c r="K26" s="554"/>
      <c r="L26" s="554"/>
      <c r="M26" s="558">
        <v>20</v>
      </c>
      <c r="N26" s="558">
        <v>0</v>
      </c>
      <c r="O26" s="558">
        <v>0</v>
      </c>
      <c r="P26" s="558">
        <v>0</v>
      </c>
      <c r="Q26" s="558">
        <v>0</v>
      </c>
      <c r="R26" s="558">
        <v>0</v>
      </c>
      <c r="S26" s="558">
        <v>0</v>
      </c>
      <c r="T26" s="558">
        <v>0</v>
      </c>
      <c r="U26" s="558">
        <v>0</v>
      </c>
      <c r="V26" s="558">
        <v>0</v>
      </c>
      <c r="W26" s="558">
        <v>300</v>
      </c>
      <c r="X26" s="558">
        <v>0</v>
      </c>
      <c r="Y26" s="558">
        <v>0</v>
      </c>
      <c r="Z26" s="558">
        <v>0</v>
      </c>
      <c r="AA26" s="558">
        <v>0</v>
      </c>
      <c r="AB26" s="558">
        <v>0</v>
      </c>
      <c r="AC26" s="558">
        <v>0</v>
      </c>
      <c r="AD26" s="558">
        <v>0</v>
      </c>
      <c r="AE26" s="558">
        <v>0</v>
      </c>
      <c r="AF26" s="558">
        <v>0</v>
      </c>
      <c r="AG26" s="558">
        <v>0</v>
      </c>
      <c r="AH26" s="558">
        <v>0</v>
      </c>
      <c r="AI26" s="558">
        <v>0</v>
      </c>
      <c r="AJ26" s="558">
        <v>50</v>
      </c>
      <c r="AK26" s="558">
        <v>0</v>
      </c>
      <c r="AL26" s="558">
        <v>0</v>
      </c>
      <c r="AM26" s="558">
        <v>0</v>
      </c>
      <c r="AN26" s="558">
        <v>0</v>
      </c>
      <c r="AO26" s="559">
        <f t="shared" si="3"/>
        <v>488</v>
      </c>
      <c r="AP26" s="560">
        <f t="shared" si="4"/>
        <v>488</v>
      </c>
    </row>
    <row r="27" spans="1:47" s="430" customFormat="1" ht="15">
      <c r="A27" s="551"/>
      <c r="B27" s="552" t="s">
        <v>1626</v>
      </c>
      <c r="C27" s="553"/>
      <c r="D27" s="553"/>
      <c r="E27" s="553"/>
      <c r="F27" s="559"/>
      <c r="G27" s="540">
        <v>109</v>
      </c>
      <c r="H27" s="553"/>
      <c r="I27" s="553"/>
      <c r="J27" s="554"/>
      <c r="K27" s="558">
        <v>50</v>
      </c>
      <c r="L27" s="554"/>
      <c r="M27" s="558"/>
      <c r="N27" s="558"/>
      <c r="O27" s="558"/>
      <c r="P27" s="558"/>
      <c r="Q27" s="558"/>
      <c r="R27" s="558"/>
      <c r="S27" s="558"/>
      <c r="T27" s="558"/>
      <c r="U27" s="558"/>
      <c r="V27" s="558"/>
      <c r="W27" s="558"/>
      <c r="X27" s="558"/>
      <c r="Y27" s="558"/>
      <c r="Z27" s="558"/>
      <c r="AA27" s="558"/>
      <c r="AB27" s="558"/>
      <c r="AC27" s="558"/>
      <c r="AD27" s="558"/>
      <c r="AE27" s="558"/>
      <c r="AF27" s="558"/>
      <c r="AG27" s="558"/>
      <c r="AH27" s="558"/>
      <c r="AI27" s="558"/>
      <c r="AJ27" s="558">
        <v>100</v>
      </c>
      <c r="AK27" s="558"/>
      <c r="AL27" s="558"/>
      <c r="AM27" s="558"/>
      <c r="AN27" s="558"/>
      <c r="AO27" s="559">
        <f>SUM(G27:AN27)</f>
        <v>259</v>
      </c>
      <c r="AP27" s="560">
        <f t="shared" si="4"/>
        <v>259</v>
      </c>
      <c r="AQ27" s="535"/>
      <c r="AS27" s="536"/>
      <c r="AU27" s="535"/>
    </row>
    <row r="28" spans="1:47" s="430" customFormat="1" ht="15">
      <c r="A28" s="537"/>
      <c r="B28" s="538"/>
      <c r="C28" s="541"/>
      <c r="D28" s="541"/>
      <c r="E28" s="541"/>
      <c r="F28" s="541"/>
      <c r="G28" s="541"/>
      <c r="H28" s="541"/>
      <c r="I28" s="541"/>
      <c r="J28" s="542"/>
      <c r="K28" s="542"/>
      <c r="L28" s="542"/>
      <c r="M28" s="542"/>
      <c r="N28" s="542"/>
      <c r="O28" s="542"/>
      <c r="P28" s="542"/>
      <c r="Q28" s="542"/>
      <c r="R28" s="542"/>
      <c r="S28" s="542"/>
      <c r="T28" s="542"/>
      <c r="U28" s="542"/>
      <c r="V28" s="542"/>
      <c r="W28" s="542"/>
      <c r="X28" s="542"/>
      <c r="Y28" s="542"/>
      <c r="Z28" s="542"/>
      <c r="AA28" s="542"/>
      <c r="AB28" s="542"/>
      <c r="AC28" s="542"/>
      <c r="AD28" s="542"/>
      <c r="AE28" s="542"/>
      <c r="AF28" s="542"/>
      <c r="AG28" s="542"/>
      <c r="AH28" s="542"/>
      <c r="AI28" s="542"/>
      <c r="AJ28" s="542"/>
      <c r="AK28" s="542"/>
      <c r="AL28" s="542"/>
      <c r="AM28" s="542"/>
      <c r="AN28" s="542"/>
      <c r="AO28" s="543"/>
      <c r="AP28" s="544"/>
    </row>
    <row r="29" spans="1:47" s="430" customFormat="1" ht="15">
      <c r="A29" s="545" t="s">
        <v>135</v>
      </c>
      <c r="B29" s="546" t="s">
        <v>1627</v>
      </c>
      <c r="C29" s="547">
        <v>300</v>
      </c>
      <c r="D29" s="547">
        <v>20</v>
      </c>
      <c r="E29" s="549">
        <v>110</v>
      </c>
      <c r="F29" s="548">
        <f>C29+D29+E29</f>
        <v>430</v>
      </c>
      <c r="G29" s="547">
        <v>410</v>
      </c>
      <c r="H29" s="547">
        <v>60</v>
      </c>
      <c r="I29" s="555"/>
      <c r="J29" s="547">
        <v>141</v>
      </c>
      <c r="K29" s="549">
        <v>147</v>
      </c>
      <c r="L29" s="556"/>
      <c r="M29" s="549">
        <v>123</v>
      </c>
      <c r="N29" s="549"/>
      <c r="O29" s="549">
        <v>6</v>
      </c>
      <c r="P29" s="549">
        <v>42</v>
      </c>
      <c r="Q29" s="549">
        <v>5</v>
      </c>
      <c r="R29" s="549">
        <v>14</v>
      </c>
      <c r="S29" s="549"/>
      <c r="T29" s="549">
        <v>20</v>
      </c>
      <c r="U29" s="549"/>
      <c r="V29" s="549"/>
      <c r="W29" s="549">
        <v>360</v>
      </c>
      <c r="X29" s="549"/>
      <c r="Y29" s="549"/>
      <c r="Z29" s="549">
        <v>186</v>
      </c>
      <c r="AA29" s="549"/>
      <c r="AB29" s="549"/>
      <c r="AC29" s="549"/>
      <c r="AD29" s="549"/>
      <c r="AE29" s="549"/>
      <c r="AF29" s="549"/>
      <c r="AG29" s="549"/>
      <c r="AH29" s="549"/>
      <c r="AI29" s="549">
        <v>10</v>
      </c>
      <c r="AJ29" s="549">
        <v>4</v>
      </c>
      <c r="AK29" s="549"/>
      <c r="AL29" s="549"/>
      <c r="AM29" s="549"/>
      <c r="AN29" s="549">
        <v>55</v>
      </c>
      <c r="AO29" s="548">
        <f t="shared" ref="AO29:AO30" si="5">SUM(G29:AN29)</f>
        <v>1583</v>
      </c>
      <c r="AP29" s="550">
        <f t="shared" ref="AP29:AP30" si="6">F29+AO29</f>
        <v>2013</v>
      </c>
      <c r="AQ29" s="535"/>
      <c r="AR29" s="535"/>
      <c r="AS29" s="536"/>
      <c r="AU29" s="535"/>
    </row>
    <row r="30" spans="1:47" s="430" customFormat="1" ht="15">
      <c r="A30" s="551"/>
      <c r="B30" s="552" t="s">
        <v>1628</v>
      </c>
      <c r="C30" s="553"/>
      <c r="D30" s="553"/>
      <c r="E30" s="554"/>
      <c r="F30" s="557"/>
      <c r="G30" s="540">
        <v>445</v>
      </c>
      <c r="H30" s="553"/>
      <c r="I30" s="540">
        <v>70</v>
      </c>
      <c r="J30" s="553"/>
      <c r="K30" s="558">
        <v>80</v>
      </c>
      <c r="L30" s="554"/>
      <c r="M30" s="558">
        <v>69</v>
      </c>
      <c r="N30" s="558">
        <v>120</v>
      </c>
      <c r="O30" s="558">
        <v>0</v>
      </c>
      <c r="P30" s="558">
        <v>0</v>
      </c>
      <c r="Q30" s="558">
        <v>0</v>
      </c>
      <c r="R30" s="558">
        <v>0</v>
      </c>
      <c r="S30" s="558">
        <v>0</v>
      </c>
      <c r="T30" s="558">
        <v>0</v>
      </c>
      <c r="U30" s="558">
        <v>0</v>
      </c>
      <c r="V30" s="558">
        <v>0</v>
      </c>
      <c r="W30" s="558">
        <v>0</v>
      </c>
      <c r="X30" s="558">
        <v>0</v>
      </c>
      <c r="Y30" s="558">
        <v>0</v>
      </c>
      <c r="Z30" s="558">
        <v>0</v>
      </c>
      <c r="AA30" s="558">
        <v>0</v>
      </c>
      <c r="AB30" s="558">
        <v>0</v>
      </c>
      <c r="AC30" s="558">
        <v>0</v>
      </c>
      <c r="AD30" s="558">
        <v>0</v>
      </c>
      <c r="AE30" s="558">
        <v>0</v>
      </c>
      <c r="AF30" s="558">
        <v>0</v>
      </c>
      <c r="AG30" s="558">
        <v>0</v>
      </c>
      <c r="AH30" s="558">
        <v>0</v>
      </c>
      <c r="AI30" s="558">
        <v>0</v>
      </c>
      <c r="AJ30" s="558">
        <v>16</v>
      </c>
      <c r="AK30" s="558">
        <v>0</v>
      </c>
      <c r="AL30" s="558">
        <v>0</v>
      </c>
      <c r="AM30" s="558">
        <v>0</v>
      </c>
      <c r="AN30" s="558">
        <v>0</v>
      </c>
      <c r="AO30" s="559">
        <f t="shared" si="5"/>
        <v>800</v>
      </c>
      <c r="AP30" s="560">
        <f t="shared" si="6"/>
        <v>800</v>
      </c>
      <c r="AS30" s="536"/>
    </row>
    <row r="31" spans="1:47" s="430" customFormat="1" ht="15">
      <c r="A31" s="537"/>
      <c r="B31" s="538"/>
      <c r="C31" s="541"/>
      <c r="D31" s="541"/>
      <c r="E31" s="542"/>
      <c r="F31" s="541"/>
      <c r="G31" s="541"/>
      <c r="H31" s="541"/>
      <c r="I31" s="541"/>
      <c r="J31" s="541"/>
      <c r="K31" s="542"/>
      <c r="L31" s="542"/>
      <c r="M31" s="542"/>
      <c r="N31" s="542"/>
      <c r="O31" s="542"/>
      <c r="P31" s="542"/>
      <c r="Q31" s="542"/>
      <c r="R31" s="542"/>
      <c r="S31" s="542"/>
      <c r="T31" s="542"/>
      <c r="U31" s="542"/>
      <c r="V31" s="542"/>
      <c r="W31" s="542"/>
      <c r="X31" s="542"/>
      <c r="Y31" s="542"/>
      <c r="Z31" s="542"/>
      <c r="AA31" s="542"/>
      <c r="AB31" s="542"/>
      <c r="AC31" s="542"/>
      <c r="AD31" s="542"/>
      <c r="AE31" s="542"/>
      <c r="AF31" s="542"/>
      <c r="AG31" s="542"/>
      <c r="AH31" s="542"/>
      <c r="AI31" s="542"/>
      <c r="AJ31" s="542"/>
      <c r="AK31" s="542"/>
      <c r="AL31" s="542"/>
      <c r="AM31" s="542"/>
      <c r="AN31" s="542"/>
      <c r="AO31" s="543"/>
      <c r="AP31" s="544"/>
      <c r="AS31" s="536"/>
    </row>
    <row r="32" spans="1:47" s="430" customFormat="1" ht="15">
      <c r="A32" s="545" t="s">
        <v>100</v>
      </c>
      <c r="B32" s="546" t="s">
        <v>1627</v>
      </c>
      <c r="C32" s="547">
        <v>881</v>
      </c>
      <c r="D32" s="547">
        <v>84</v>
      </c>
      <c r="E32" s="547">
        <v>220</v>
      </c>
      <c r="F32" s="548">
        <f>C32+D32+E32</f>
        <v>1185</v>
      </c>
      <c r="G32" s="547">
        <v>420</v>
      </c>
      <c r="H32" s="547">
        <v>35</v>
      </c>
      <c r="I32" s="555"/>
      <c r="J32" s="547">
        <v>145</v>
      </c>
      <c r="K32" s="549">
        <v>110</v>
      </c>
      <c r="L32" s="556"/>
      <c r="M32" s="549">
        <v>175</v>
      </c>
      <c r="N32" s="549"/>
      <c r="O32" s="549">
        <v>7</v>
      </c>
      <c r="P32" s="549">
        <v>45</v>
      </c>
      <c r="Q32" s="549">
        <v>10</v>
      </c>
      <c r="R32" s="549">
        <v>16</v>
      </c>
      <c r="S32" s="549"/>
      <c r="T32" s="549">
        <v>24</v>
      </c>
      <c r="U32" s="549"/>
      <c r="V32" s="549"/>
      <c r="W32" s="549">
        <v>699</v>
      </c>
      <c r="X32" s="549"/>
      <c r="Y32" s="549"/>
      <c r="Z32" s="549">
        <v>341</v>
      </c>
      <c r="AA32" s="549"/>
      <c r="AB32" s="549"/>
      <c r="AC32" s="549"/>
      <c r="AD32" s="549"/>
      <c r="AE32" s="549"/>
      <c r="AF32" s="549"/>
      <c r="AG32" s="549"/>
      <c r="AH32" s="549"/>
      <c r="AI32" s="549">
        <v>12</v>
      </c>
      <c r="AJ32" s="549">
        <v>65</v>
      </c>
      <c r="AK32" s="549"/>
      <c r="AL32" s="549">
        <v>60</v>
      </c>
      <c r="AM32" s="549"/>
      <c r="AN32" s="549">
        <v>63</v>
      </c>
      <c r="AO32" s="548">
        <f t="shared" ref="AO32:AO33" si="7">SUM(G32:AN32)</f>
        <v>2227</v>
      </c>
      <c r="AP32" s="550">
        <f t="shared" ref="AP32:AP33" si="8">F32+AO32</f>
        <v>3412</v>
      </c>
      <c r="AQ32" s="535"/>
      <c r="AS32" s="536"/>
      <c r="AU32" s="535"/>
    </row>
    <row r="33" spans="1:47" s="430" customFormat="1" ht="15">
      <c r="A33" s="551"/>
      <c r="B33" s="552" t="s">
        <v>1628</v>
      </c>
      <c r="C33" s="553"/>
      <c r="D33" s="553"/>
      <c r="E33" s="553"/>
      <c r="F33" s="557"/>
      <c r="G33" s="540">
        <v>225</v>
      </c>
      <c r="H33" s="553"/>
      <c r="I33" s="553"/>
      <c r="J33" s="553"/>
      <c r="K33" s="558">
        <v>40</v>
      </c>
      <c r="L33" s="554"/>
      <c r="M33" s="558">
        <v>19</v>
      </c>
      <c r="N33" s="558"/>
      <c r="O33" s="558"/>
      <c r="P33" s="558"/>
      <c r="Q33" s="558"/>
      <c r="R33" s="558"/>
      <c r="S33" s="558"/>
      <c r="T33" s="558"/>
      <c r="U33" s="558"/>
      <c r="V33" s="558"/>
      <c r="W33" s="558"/>
      <c r="X33" s="558"/>
      <c r="Y33" s="558"/>
      <c r="Z33" s="558"/>
      <c r="AA33" s="558"/>
      <c r="AB33" s="558"/>
      <c r="AC33" s="558"/>
      <c r="AD33" s="558"/>
      <c r="AE33" s="558"/>
      <c r="AF33" s="558"/>
      <c r="AG33" s="558"/>
      <c r="AH33" s="558"/>
      <c r="AI33" s="558"/>
      <c r="AJ33" s="558">
        <v>16</v>
      </c>
      <c r="AK33" s="558"/>
      <c r="AL33" s="558"/>
      <c r="AM33" s="558"/>
      <c r="AN33" s="558"/>
      <c r="AO33" s="559">
        <f t="shared" si="7"/>
        <v>300</v>
      </c>
      <c r="AP33" s="560">
        <f t="shared" si="8"/>
        <v>300</v>
      </c>
      <c r="AS33" s="536"/>
    </row>
    <row r="34" spans="1:47" s="430" customFormat="1" ht="15">
      <c r="A34" s="537"/>
      <c r="B34" s="538"/>
      <c r="C34" s="541"/>
      <c r="D34" s="541"/>
      <c r="E34" s="541"/>
      <c r="F34" s="553"/>
      <c r="G34" s="541"/>
      <c r="H34" s="541"/>
      <c r="I34" s="541"/>
      <c r="J34" s="541"/>
      <c r="K34" s="542"/>
      <c r="L34" s="542"/>
      <c r="M34" s="542"/>
      <c r="N34" s="542"/>
      <c r="O34" s="542"/>
      <c r="P34" s="542"/>
      <c r="Q34" s="542"/>
      <c r="R34" s="542"/>
      <c r="S34" s="542"/>
      <c r="T34" s="542"/>
      <c r="U34" s="542"/>
      <c r="V34" s="542"/>
      <c r="W34" s="542"/>
      <c r="X34" s="542"/>
      <c r="Y34" s="542"/>
      <c r="Z34" s="542"/>
      <c r="AA34" s="542"/>
      <c r="AB34" s="542"/>
      <c r="AC34" s="542"/>
      <c r="AD34" s="542"/>
      <c r="AE34" s="542"/>
      <c r="AF34" s="542"/>
      <c r="AG34" s="542"/>
      <c r="AH34" s="542"/>
      <c r="AI34" s="542"/>
      <c r="AJ34" s="542"/>
      <c r="AK34" s="542"/>
      <c r="AL34" s="542"/>
      <c r="AM34" s="542"/>
      <c r="AN34" s="542"/>
      <c r="AO34" s="543"/>
      <c r="AP34" s="544"/>
      <c r="AS34" s="536"/>
    </row>
    <row r="35" spans="1:47" s="430" customFormat="1" ht="15">
      <c r="A35" s="545" t="s">
        <v>174</v>
      </c>
      <c r="B35" s="546" t="s">
        <v>1627</v>
      </c>
      <c r="C35" s="547">
        <v>341</v>
      </c>
      <c r="D35" s="547">
        <v>4</v>
      </c>
      <c r="E35" s="547"/>
      <c r="F35" s="548">
        <f>C35+D35+E35</f>
        <v>345</v>
      </c>
      <c r="G35" s="547">
        <v>290</v>
      </c>
      <c r="H35" s="547">
        <v>80</v>
      </c>
      <c r="I35" s="555"/>
      <c r="J35" s="547">
        <v>122</v>
      </c>
      <c r="K35" s="549">
        <v>90</v>
      </c>
      <c r="L35" s="556"/>
      <c r="M35" s="549">
        <v>75</v>
      </c>
      <c r="N35" s="549"/>
      <c r="O35" s="549">
        <v>7</v>
      </c>
      <c r="P35" s="549">
        <v>45</v>
      </c>
      <c r="Q35" s="549">
        <v>12</v>
      </c>
      <c r="R35" s="549">
        <v>14</v>
      </c>
      <c r="S35" s="549"/>
      <c r="T35" s="549">
        <v>24</v>
      </c>
      <c r="U35" s="549"/>
      <c r="V35" s="549"/>
      <c r="W35" s="549">
        <v>360</v>
      </c>
      <c r="X35" s="549"/>
      <c r="Y35" s="549"/>
      <c r="Z35" s="549">
        <v>335</v>
      </c>
      <c r="AA35" s="549"/>
      <c r="AB35" s="549"/>
      <c r="AC35" s="549"/>
      <c r="AD35" s="549"/>
      <c r="AE35" s="549"/>
      <c r="AF35" s="549"/>
      <c r="AG35" s="549"/>
      <c r="AH35" s="549"/>
      <c r="AI35" s="549">
        <v>10</v>
      </c>
      <c r="AJ35" s="549">
        <v>50</v>
      </c>
      <c r="AK35" s="549"/>
      <c r="AL35" s="549"/>
      <c r="AM35" s="549"/>
      <c r="AN35" s="549">
        <v>43</v>
      </c>
      <c r="AO35" s="548">
        <f t="shared" ref="AO35:AO36" si="9">SUM(G35:AN35)</f>
        <v>1557</v>
      </c>
      <c r="AP35" s="550">
        <f t="shared" ref="AP35:AP36" si="10">F35+AO35</f>
        <v>1902</v>
      </c>
      <c r="AQ35" s="535"/>
      <c r="AS35" s="536"/>
      <c r="AU35" s="535"/>
    </row>
    <row r="36" spans="1:47" s="430" customFormat="1" ht="15">
      <c r="A36" s="551"/>
      <c r="B36" s="552" t="s">
        <v>1628</v>
      </c>
      <c r="C36" s="553"/>
      <c r="D36" s="553"/>
      <c r="E36" s="553"/>
      <c r="F36" s="557"/>
      <c r="G36" s="540">
        <v>225</v>
      </c>
      <c r="H36" s="553"/>
      <c r="I36" s="553"/>
      <c r="J36" s="554"/>
      <c r="K36" s="558">
        <v>40</v>
      </c>
      <c r="L36" s="554"/>
      <c r="M36" s="558">
        <v>19</v>
      </c>
      <c r="N36" s="558"/>
      <c r="O36" s="558"/>
      <c r="P36" s="558"/>
      <c r="Q36" s="558"/>
      <c r="R36" s="558"/>
      <c r="S36" s="558"/>
      <c r="T36" s="558"/>
      <c r="U36" s="558"/>
      <c r="V36" s="558"/>
      <c r="W36" s="558"/>
      <c r="X36" s="558"/>
      <c r="Y36" s="558"/>
      <c r="Z36" s="558"/>
      <c r="AA36" s="558"/>
      <c r="AB36" s="558"/>
      <c r="AC36" s="558"/>
      <c r="AD36" s="558"/>
      <c r="AE36" s="558"/>
      <c r="AF36" s="558"/>
      <c r="AG36" s="558"/>
      <c r="AH36" s="558"/>
      <c r="AI36" s="558"/>
      <c r="AJ36" s="558">
        <v>16</v>
      </c>
      <c r="AK36" s="558"/>
      <c r="AL36" s="558"/>
      <c r="AM36" s="558"/>
      <c r="AN36" s="558"/>
      <c r="AO36" s="559">
        <f t="shared" si="9"/>
        <v>300</v>
      </c>
      <c r="AP36" s="560">
        <f t="shared" si="10"/>
        <v>300</v>
      </c>
      <c r="AS36" s="536"/>
    </row>
    <row r="37" spans="1:47" s="430" customFormat="1" ht="15">
      <c r="A37" s="537"/>
      <c r="B37" s="538"/>
      <c r="C37" s="541"/>
      <c r="D37" s="541"/>
      <c r="E37" s="541"/>
      <c r="F37" s="541"/>
      <c r="G37" s="541"/>
      <c r="H37" s="541"/>
      <c r="I37" s="541"/>
      <c r="J37" s="542"/>
      <c r="K37" s="542"/>
      <c r="L37" s="542"/>
      <c r="M37" s="542"/>
      <c r="N37" s="542"/>
      <c r="O37" s="542"/>
      <c r="P37" s="542"/>
      <c r="Q37" s="542"/>
      <c r="R37" s="542"/>
      <c r="S37" s="542"/>
      <c r="T37" s="542"/>
      <c r="U37" s="542"/>
      <c r="V37" s="542"/>
      <c r="W37" s="542"/>
      <c r="X37" s="542"/>
      <c r="Y37" s="542"/>
      <c r="Z37" s="542"/>
      <c r="AA37" s="542"/>
      <c r="AB37" s="542"/>
      <c r="AC37" s="542"/>
      <c r="AD37" s="542"/>
      <c r="AE37" s="542"/>
      <c r="AF37" s="542"/>
      <c r="AG37" s="542"/>
      <c r="AH37" s="542"/>
      <c r="AI37" s="542"/>
      <c r="AJ37" s="542"/>
      <c r="AK37" s="542"/>
      <c r="AL37" s="542"/>
      <c r="AM37" s="542"/>
      <c r="AN37" s="542"/>
      <c r="AO37" s="543"/>
      <c r="AP37" s="544"/>
    </row>
    <row r="38" spans="1:47" s="430" customFormat="1" ht="15">
      <c r="A38" s="545" t="s">
        <v>1629</v>
      </c>
      <c r="B38" s="546" t="s">
        <v>1630</v>
      </c>
      <c r="C38" s="547">
        <v>1381</v>
      </c>
      <c r="D38" s="547">
        <v>49</v>
      </c>
      <c r="E38" s="547">
        <v>0</v>
      </c>
      <c r="F38" s="548">
        <f>C38+D38+E38</f>
        <v>1430</v>
      </c>
      <c r="G38" s="547">
        <v>233</v>
      </c>
      <c r="H38" s="547">
        <v>50</v>
      </c>
      <c r="I38" s="555"/>
      <c r="J38" s="547">
        <v>188</v>
      </c>
      <c r="K38" s="547">
        <v>210</v>
      </c>
      <c r="L38" s="556"/>
      <c r="M38" s="547">
        <v>374</v>
      </c>
      <c r="N38" s="549"/>
      <c r="O38" s="549">
        <v>11</v>
      </c>
      <c r="P38" s="549">
        <v>70</v>
      </c>
      <c r="Q38" s="547">
        <v>15</v>
      </c>
      <c r="R38" s="549">
        <v>77</v>
      </c>
      <c r="S38" s="549"/>
      <c r="T38" s="549"/>
      <c r="U38" s="549"/>
      <c r="V38" s="549"/>
      <c r="W38" s="549">
        <v>2415</v>
      </c>
      <c r="X38" s="549">
        <v>144</v>
      </c>
      <c r="Y38" s="549"/>
      <c r="Z38" s="549">
        <v>162</v>
      </c>
      <c r="AA38" s="549"/>
      <c r="AB38" s="549"/>
      <c r="AC38" s="549"/>
      <c r="AD38" s="549"/>
      <c r="AE38" s="549"/>
      <c r="AF38" s="549"/>
      <c r="AG38" s="549"/>
      <c r="AH38" s="549"/>
      <c r="AI38" s="549">
        <v>50</v>
      </c>
      <c r="AJ38" s="549">
        <v>100</v>
      </c>
      <c r="AK38" s="549"/>
      <c r="AL38" s="549">
        <v>100</v>
      </c>
      <c r="AM38" s="549"/>
      <c r="AN38" s="549">
        <v>816</v>
      </c>
      <c r="AO38" s="548">
        <f t="shared" ref="AO38:AO39" si="11">SUM(G38:AN38)</f>
        <v>5015</v>
      </c>
      <c r="AP38" s="550">
        <f t="shared" ref="AP38:AP39" si="12">F38+AO38</f>
        <v>6445</v>
      </c>
      <c r="AQ38" s="535"/>
      <c r="AS38" s="536"/>
      <c r="AU38" s="535"/>
    </row>
    <row r="39" spans="1:47" s="430" customFormat="1" ht="15">
      <c r="A39" s="551"/>
      <c r="B39" s="552" t="s">
        <v>1631</v>
      </c>
      <c r="C39" s="553"/>
      <c r="D39" s="553"/>
      <c r="E39" s="553"/>
      <c r="F39" s="557"/>
      <c r="G39" s="540">
        <v>1546.4</v>
      </c>
      <c r="H39" s="540">
        <v>0</v>
      </c>
      <c r="I39" s="540">
        <v>300</v>
      </c>
      <c r="J39" s="540">
        <v>0</v>
      </c>
      <c r="K39" s="540">
        <v>813</v>
      </c>
      <c r="L39" s="540">
        <v>0</v>
      </c>
      <c r="M39" s="540">
        <v>1030</v>
      </c>
      <c r="N39" s="540">
        <v>0</v>
      </c>
      <c r="O39" s="540">
        <v>0</v>
      </c>
      <c r="P39" s="540">
        <v>0</v>
      </c>
      <c r="Q39" s="540">
        <v>0</v>
      </c>
      <c r="R39" s="540">
        <v>18</v>
      </c>
      <c r="S39" s="540">
        <v>0</v>
      </c>
      <c r="T39" s="540">
        <v>0</v>
      </c>
      <c r="U39" s="540">
        <v>0</v>
      </c>
      <c r="V39" s="540">
        <v>0</v>
      </c>
      <c r="W39" s="540">
        <v>8329</v>
      </c>
      <c r="X39" s="540">
        <v>0</v>
      </c>
      <c r="Y39" s="540">
        <v>0</v>
      </c>
      <c r="Z39" s="540">
        <v>0</v>
      </c>
      <c r="AA39" s="540">
        <v>0</v>
      </c>
      <c r="AB39" s="540">
        <v>0</v>
      </c>
      <c r="AC39" s="540">
        <v>0</v>
      </c>
      <c r="AD39" s="540">
        <v>0</v>
      </c>
      <c r="AE39" s="540">
        <v>0</v>
      </c>
      <c r="AF39" s="540">
        <v>0</v>
      </c>
      <c r="AG39" s="540">
        <v>45</v>
      </c>
      <c r="AH39" s="540">
        <v>0</v>
      </c>
      <c r="AI39" s="540">
        <v>0</v>
      </c>
      <c r="AJ39" s="540">
        <v>515</v>
      </c>
      <c r="AK39" s="540">
        <v>0</v>
      </c>
      <c r="AL39" s="540">
        <v>80</v>
      </c>
      <c r="AM39" s="540">
        <v>0</v>
      </c>
      <c r="AN39" s="540">
        <v>4063</v>
      </c>
      <c r="AO39" s="559">
        <f t="shared" si="11"/>
        <v>16739.400000000001</v>
      </c>
      <c r="AP39" s="560">
        <f t="shared" si="12"/>
        <v>16739.400000000001</v>
      </c>
    </row>
    <row r="40" spans="1:47" s="430" customFormat="1" ht="15.75" thickBot="1">
      <c r="A40" s="565"/>
      <c r="B40" s="566"/>
      <c r="C40" s="567"/>
      <c r="D40" s="567"/>
      <c r="E40" s="567"/>
      <c r="F40" s="567"/>
      <c r="G40" s="567"/>
      <c r="H40" s="567"/>
      <c r="I40" s="567"/>
      <c r="J40" s="568"/>
      <c r="K40" s="568"/>
      <c r="L40" s="568"/>
      <c r="M40" s="568"/>
      <c r="N40" s="568"/>
      <c r="O40" s="568"/>
      <c r="P40" s="568"/>
      <c r="Q40" s="568"/>
      <c r="R40" s="568"/>
      <c r="S40" s="568"/>
      <c r="T40" s="568"/>
      <c r="U40" s="568"/>
      <c r="V40" s="568"/>
      <c r="W40" s="568"/>
      <c r="X40" s="568"/>
      <c r="Y40" s="568"/>
      <c r="Z40" s="568"/>
      <c r="AA40" s="568"/>
      <c r="AB40" s="568"/>
      <c r="AC40" s="568"/>
      <c r="AD40" s="568"/>
      <c r="AE40" s="568"/>
      <c r="AF40" s="568"/>
      <c r="AG40" s="568"/>
      <c r="AH40" s="568"/>
      <c r="AI40" s="568"/>
      <c r="AJ40" s="568"/>
      <c r="AK40" s="568"/>
      <c r="AL40" s="568"/>
      <c r="AM40" s="568"/>
      <c r="AN40" s="568"/>
      <c r="AO40" s="569"/>
      <c r="AP40" s="570"/>
    </row>
    <row r="41" spans="1:47" s="430" customFormat="1" ht="15.75" thickBot="1">
      <c r="A41" s="571" t="s">
        <v>1632</v>
      </c>
      <c r="B41" s="572"/>
      <c r="C41" s="573">
        <f t="shared" ref="C41:AP41" si="13">SUM(C13:C40)</f>
        <v>6879</v>
      </c>
      <c r="D41" s="573">
        <f t="shared" si="13"/>
        <v>1352</v>
      </c>
      <c r="E41" s="573">
        <f t="shared" si="13"/>
        <v>12280</v>
      </c>
      <c r="F41" s="574">
        <f t="shared" si="13"/>
        <v>20511</v>
      </c>
      <c r="G41" s="573">
        <f t="shared" si="13"/>
        <v>7523.4</v>
      </c>
      <c r="H41" s="573">
        <f t="shared" si="13"/>
        <v>1543</v>
      </c>
      <c r="I41" s="573">
        <f t="shared" si="13"/>
        <v>1000</v>
      </c>
      <c r="J41" s="573">
        <f t="shared" si="13"/>
        <v>1660</v>
      </c>
      <c r="K41" s="573">
        <f t="shared" si="13"/>
        <v>4169</v>
      </c>
      <c r="L41" s="573">
        <f t="shared" si="13"/>
        <v>30</v>
      </c>
      <c r="M41" s="573">
        <f t="shared" si="13"/>
        <v>3005</v>
      </c>
      <c r="N41" s="573">
        <f t="shared" si="13"/>
        <v>259</v>
      </c>
      <c r="O41" s="573">
        <f t="shared" si="13"/>
        <v>271</v>
      </c>
      <c r="P41" s="573">
        <f t="shared" si="13"/>
        <v>1292</v>
      </c>
      <c r="Q41" s="573">
        <f t="shared" si="13"/>
        <v>97</v>
      </c>
      <c r="R41" s="573">
        <f t="shared" si="13"/>
        <v>292</v>
      </c>
      <c r="S41" s="573">
        <f t="shared" si="13"/>
        <v>200</v>
      </c>
      <c r="T41" s="573">
        <f t="shared" si="13"/>
        <v>272</v>
      </c>
      <c r="U41" s="573">
        <f t="shared" si="13"/>
        <v>180</v>
      </c>
      <c r="V41" s="573">
        <f t="shared" si="13"/>
        <v>118</v>
      </c>
      <c r="W41" s="573">
        <f t="shared" si="13"/>
        <v>18821</v>
      </c>
      <c r="X41" s="573">
        <f t="shared" si="13"/>
        <v>336</v>
      </c>
      <c r="Y41" s="573">
        <f t="shared" si="13"/>
        <v>660</v>
      </c>
      <c r="Z41" s="573">
        <f t="shared" si="13"/>
        <v>5495</v>
      </c>
      <c r="AA41" s="573">
        <f t="shared" si="13"/>
        <v>250</v>
      </c>
      <c r="AB41" s="573">
        <f t="shared" si="13"/>
        <v>80</v>
      </c>
      <c r="AC41" s="573">
        <f t="shared" si="13"/>
        <v>2343</v>
      </c>
      <c r="AD41" s="573">
        <f t="shared" si="13"/>
        <v>60</v>
      </c>
      <c r="AE41" s="573">
        <f t="shared" si="13"/>
        <v>55</v>
      </c>
      <c r="AF41" s="573">
        <f t="shared" si="13"/>
        <v>80</v>
      </c>
      <c r="AG41" s="573">
        <f t="shared" si="13"/>
        <v>270</v>
      </c>
      <c r="AH41" s="573">
        <f t="shared" si="13"/>
        <v>60</v>
      </c>
      <c r="AI41" s="573">
        <f t="shared" si="13"/>
        <v>412</v>
      </c>
      <c r="AJ41" s="573">
        <f t="shared" si="13"/>
        <v>4603</v>
      </c>
      <c r="AK41" s="573">
        <f t="shared" si="13"/>
        <v>50</v>
      </c>
      <c r="AL41" s="573">
        <f t="shared" si="13"/>
        <v>804</v>
      </c>
      <c r="AM41" s="573">
        <f t="shared" si="13"/>
        <v>52</v>
      </c>
      <c r="AN41" s="573">
        <f t="shared" si="13"/>
        <v>5540</v>
      </c>
      <c r="AO41" s="574">
        <f t="shared" si="13"/>
        <v>61882.400000000001</v>
      </c>
      <c r="AP41" s="574">
        <f t="shared" si="13"/>
        <v>82393.399999999994</v>
      </c>
    </row>
    <row r="42" spans="1:47" s="575" customFormat="1" ht="15">
      <c r="C42" s="576"/>
      <c r="D42" s="576"/>
      <c r="E42" s="576"/>
      <c r="F42" s="576"/>
      <c r="G42" s="576"/>
      <c r="H42" s="576"/>
      <c r="I42" s="576"/>
      <c r="AN42" s="467"/>
    </row>
    <row r="43" spans="1:47" s="575" customFormat="1" ht="15">
      <c r="C43" s="576"/>
      <c r="D43" s="576"/>
      <c r="E43" s="576"/>
      <c r="F43" s="576"/>
      <c r="G43" s="576"/>
      <c r="H43" s="576"/>
      <c r="I43" s="576"/>
      <c r="AP43" s="576"/>
    </row>
    <row r="44" spans="1:47" s="575" customFormat="1" ht="15">
      <c r="C44" s="576"/>
      <c r="D44" s="576"/>
      <c r="E44" s="576"/>
      <c r="F44" s="576"/>
      <c r="G44" s="576"/>
      <c r="H44" s="576"/>
      <c r="I44" s="576"/>
    </row>
    <row r="45" spans="1:47" s="575" customFormat="1" ht="15">
      <c r="C45" s="576"/>
      <c r="D45" s="576"/>
      <c r="E45" s="576"/>
      <c r="F45" s="576"/>
      <c r="G45" s="576"/>
      <c r="H45" s="576"/>
      <c r="I45" s="576"/>
    </row>
    <row r="46" spans="1:47" s="575" customFormat="1" ht="15">
      <c r="C46" s="576"/>
      <c r="D46" s="576"/>
      <c r="E46" s="576"/>
      <c r="F46" s="576"/>
      <c r="G46" s="576"/>
      <c r="H46" s="576"/>
      <c r="I46" s="576"/>
    </row>
    <row r="47" spans="1:47" s="575" customFormat="1" ht="15">
      <c r="C47" s="576"/>
      <c r="D47" s="576"/>
      <c r="E47" s="576"/>
      <c r="F47" s="576"/>
      <c r="G47" s="576"/>
      <c r="H47" s="576"/>
      <c r="I47" s="576"/>
      <c r="J47" s="576"/>
      <c r="K47" s="576"/>
      <c r="L47" s="576"/>
      <c r="M47" s="576"/>
      <c r="N47" s="576"/>
      <c r="O47" s="576"/>
      <c r="P47" s="576"/>
      <c r="Q47" s="576"/>
      <c r="R47" s="576"/>
      <c r="S47" s="576"/>
      <c r="T47" s="576"/>
      <c r="U47" s="576"/>
      <c r="V47" s="576"/>
      <c r="W47" s="576"/>
      <c r="X47" s="576"/>
      <c r="Y47" s="576"/>
      <c r="Z47" s="576"/>
      <c r="AA47" s="576"/>
      <c r="AB47" s="576"/>
      <c r="AC47" s="576"/>
      <c r="AD47" s="576"/>
      <c r="AE47" s="576"/>
      <c r="AF47" s="576"/>
      <c r="AG47" s="576"/>
      <c r="AH47" s="576"/>
      <c r="AI47" s="576"/>
      <c r="AJ47" s="576"/>
      <c r="AK47" s="576"/>
      <c r="AL47" s="576"/>
      <c r="AM47" s="576"/>
      <c r="AN47" s="576"/>
      <c r="AO47" s="576"/>
      <c r="AP47" s="576"/>
    </row>
  </sheetData>
  <mergeCells count="41">
    <mergeCell ref="A10:A12"/>
    <mergeCell ref="B10:B12"/>
    <mergeCell ref="C10:F10"/>
    <mergeCell ref="G10:AO10"/>
    <mergeCell ref="AP10:AP12"/>
    <mergeCell ref="C11:C12"/>
    <mergeCell ref="D11:D12"/>
    <mergeCell ref="E11:E12"/>
    <mergeCell ref="F11:F12"/>
    <mergeCell ref="G11:G12"/>
    <mergeCell ref="S11:S12"/>
    <mergeCell ref="H11:H12"/>
    <mergeCell ref="I11:I12"/>
    <mergeCell ref="J11:J12"/>
    <mergeCell ref="K11:K12"/>
    <mergeCell ref="L11:L12"/>
    <mergeCell ref="M11:M12"/>
    <mergeCell ref="N11:N12"/>
    <mergeCell ref="O11:O12"/>
    <mergeCell ref="P11:P12"/>
    <mergeCell ref="Q11:Q12"/>
    <mergeCell ref="R11:R12"/>
    <mergeCell ref="AH11:AH12"/>
    <mergeCell ref="T11:T12"/>
    <mergeCell ref="U11:U12"/>
    <mergeCell ref="V11:V12"/>
    <mergeCell ref="W11:W12"/>
    <mergeCell ref="X11:X12"/>
    <mergeCell ref="Y11:Y12"/>
    <mergeCell ref="Z11:Z12"/>
    <mergeCell ref="AA11:AD11"/>
    <mergeCell ref="AE11:AE12"/>
    <mergeCell ref="AF11:AF12"/>
    <mergeCell ref="AG11:AG12"/>
    <mergeCell ref="AO11:AO12"/>
    <mergeCell ref="AI11:AI12"/>
    <mergeCell ref="AJ11:AJ12"/>
    <mergeCell ref="AK11:AK12"/>
    <mergeCell ref="AL11:AL12"/>
    <mergeCell ref="AM11:AM12"/>
    <mergeCell ref="AN11:AN12"/>
  </mergeCells>
  <pageMargins left="0.12" right="0.12" top="0.42" bottom="0.46" header="0.3" footer="0.12"/>
  <pageSetup paperSize="9" scale="75"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Normal="100" workbookViewId="0">
      <selection activeCell="B3" sqref="B3"/>
    </sheetView>
  </sheetViews>
  <sheetFormatPr defaultColWidth="9" defaultRowHeight="14.25"/>
  <cols>
    <col min="1" max="1" width="6.875" style="31" customWidth="1"/>
    <col min="2" max="2" width="95.375" style="31" customWidth="1"/>
    <col min="3" max="3" width="20.125" style="31" customWidth="1"/>
    <col min="4" max="256" width="8.375" style="31" customWidth="1"/>
    <col min="257" max="1024" width="9" style="31" customWidth="1"/>
    <col min="1025" max="16384" width="9" style="31"/>
  </cols>
  <sheetData>
    <row r="1" spans="1:8">
      <c r="A1" s="15"/>
      <c r="B1" s="16" t="s">
        <v>50</v>
      </c>
      <c r="C1" s="832" t="s">
        <v>51</v>
      </c>
      <c r="D1" s="832"/>
      <c r="E1" s="832"/>
      <c r="F1" s="832"/>
      <c r="G1" s="832"/>
      <c r="H1" s="11"/>
    </row>
    <row r="2" spans="1:8" ht="43.5" customHeight="1">
      <c r="A2" s="18" t="s">
        <v>52</v>
      </c>
      <c r="B2" s="12" t="s">
        <v>53</v>
      </c>
      <c r="C2" s="19" t="s">
        <v>1</v>
      </c>
      <c r="D2" s="20"/>
      <c r="E2" s="20"/>
      <c r="F2" s="20"/>
      <c r="G2" s="20"/>
      <c r="H2" s="11"/>
    </row>
    <row r="3" spans="1:8" ht="49.5" customHeight="1">
      <c r="A3" s="18" t="s">
        <v>54</v>
      </c>
      <c r="B3" s="21" t="s">
        <v>55</v>
      </c>
      <c r="C3" s="22" t="s">
        <v>2</v>
      </c>
      <c r="D3" s="20"/>
      <c r="E3" s="20"/>
      <c r="F3" s="20"/>
      <c r="G3" s="20"/>
      <c r="H3" s="11"/>
    </row>
    <row r="4" spans="1:8" ht="45.75" customHeight="1">
      <c r="A4" s="18" t="s">
        <v>56</v>
      </c>
      <c r="B4" s="21" t="s">
        <v>57</v>
      </c>
      <c r="C4" s="22" t="s">
        <v>58</v>
      </c>
      <c r="D4" s="20"/>
      <c r="E4" s="20"/>
      <c r="F4" s="20"/>
      <c r="G4" s="20"/>
      <c r="H4" s="11"/>
    </row>
    <row r="5" spans="1:8" ht="66" customHeight="1">
      <c r="A5" s="833" t="s">
        <v>59</v>
      </c>
      <c r="B5" s="834" t="s">
        <v>60</v>
      </c>
      <c r="C5" s="835" t="s">
        <v>4</v>
      </c>
      <c r="D5" s="835" t="s">
        <v>5</v>
      </c>
      <c r="E5" s="835"/>
      <c r="F5" s="835"/>
      <c r="G5" s="835"/>
      <c r="H5" s="11"/>
    </row>
    <row r="6" spans="1:8" ht="47.25" customHeight="1">
      <c r="A6" s="833"/>
      <c r="B6" s="834"/>
      <c r="C6" s="835"/>
      <c r="D6" s="23" t="s">
        <v>61</v>
      </c>
      <c r="E6" s="23" t="s">
        <v>24</v>
      </c>
      <c r="F6" s="23" t="s">
        <v>15</v>
      </c>
      <c r="G6" s="23" t="s">
        <v>16</v>
      </c>
      <c r="H6" s="11"/>
    </row>
    <row r="7" spans="1:8" ht="42.75" customHeight="1">
      <c r="A7" s="18" t="s">
        <v>62</v>
      </c>
      <c r="B7" s="21" t="s">
        <v>63</v>
      </c>
      <c r="C7" s="22" t="s">
        <v>6</v>
      </c>
      <c r="D7" s="20"/>
      <c r="E7" s="20"/>
      <c r="F7" s="20"/>
      <c r="G7" s="20"/>
      <c r="H7" s="11"/>
    </row>
    <row r="8" spans="1:8" ht="38.25">
      <c r="A8" s="18" t="s">
        <v>64</v>
      </c>
      <c r="B8" s="21" t="s">
        <v>65</v>
      </c>
      <c r="C8" s="22" t="s">
        <v>7</v>
      </c>
      <c r="D8" s="20"/>
      <c r="E8" s="20"/>
      <c r="F8" s="20"/>
      <c r="G8" s="20"/>
      <c r="H8" s="11"/>
    </row>
    <row r="9" spans="1:8">
      <c r="A9" s="18" t="s">
        <v>66</v>
      </c>
      <c r="B9" s="24" t="s">
        <v>67</v>
      </c>
      <c r="C9" s="25"/>
      <c r="D9" s="15"/>
      <c r="E9" s="15"/>
      <c r="F9" s="15"/>
      <c r="G9" s="15"/>
      <c r="H9" s="11"/>
    </row>
    <row r="10" spans="1:8">
      <c r="A10" s="15"/>
      <c r="B10" s="15"/>
      <c r="C10" s="15"/>
      <c r="D10" s="15"/>
      <c r="E10" s="15"/>
      <c r="F10" s="15"/>
      <c r="G10" s="15"/>
      <c r="H10" s="11"/>
    </row>
    <row r="11" spans="1:8">
      <c r="A11" s="15"/>
      <c r="B11" s="15"/>
      <c r="C11" s="15"/>
      <c r="D11" s="15"/>
      <c r="E11" s="15"/>
      <c r="F11" s="17" t="str">
        <f>IF(D11="","",IF((OR(D11=[3]data_validation!A$1,D11=[3]data_validation!A$2)),"Input Date","N/A"))</f>
        <v/>
      </c>
      <c r="G11" s="15"/>
      <c r="H11" s="11"/>
    </row>
    <row r="12" spans="1:8">
      <c r="A12" s="26"/>
      <c r="B12" s="18" t="s">
        <v>68</v>
      </c>
      <c r="C12" s="15"/>
      <c r="D12" s="15"/>
      <c r="E12" s="15"/>
      <c r="F12" s="15"/>
      <c r="G12" s="15"/>
      <c r="H12" s="11"/>
    </row>
    <row r="13" spans="1:8" ht="25.5">
      <c r="A13" s="27" t="s">
        <v>69</v>
      </c>
      <c r="B13" s="28" t="s">
        <v>70</v>
      </c>
      <c r="C13" s="15"/>
      <c r="D13" s="15"/>
      <c r="E13" s="15"/>
      <c r="F13" s="15"/>
      <c r="G13" s="15"/>
      <c r="H13" s="11"/>
    </row>
    <row r="14" spans="1:8" ht="38.25">
      <c r="A14" s="27" t="s">
        <v>71</v>
      </c>
      <c r="B14" s="24" t="s">
        <v>72</v>
      </c>
      <c r="C14" s="15"/>
      <c r="D14" s="15"/>
      <c r="E14" s="15"/>
      <c r="F14" s="15"/>
      <c r="G14" s="15"/>
      <c r="H14" s="11"/>
    </row>
    <row r="15" spans="1:8" ht="25.5">
      <c r="A15" s="27" t="s">
        <v>73</v>
      </c>
      <c r="B15" s="24" t="s">
        <v>74</v>
      </c>
      <c r="C15" s="15"/>
      <c r="D15" s="15"/>
      <c r="E15" s="15"/>
      <c r="F15" s="15"/>
      <c r="G15" s="15"/>
      <c r="H15" s="11"/>
    </row>
    <row r="16" spans="1:8" ht="76.5">
      <c r="A16" s="27" t="s">
        <v>75</v>
      </c>
      <c r="B16" s="13" t="s">
        <v>76</v>
      </c>
      <c r="C16" s="15"/>
      <c r="D16" s="15"/>
      <c r="E16" s="15"/>
      <c r="F16" s="15"/>
      <c r="G16" s="15"/>
      <c r="H16" s="11"/>
    </row>
    <row r="17" spans="1:8">
      <c r="A17" s="15"/>
      <c r="B17" s="15"/>
      <c r="C17" s="15"/>
      <c r="D17" s="15"/>
      <c r="E17" s="15"/>
      <c r="F17" s="15"/>
      <c r="G17" s="15"/>
      <c r="H17" s="11"/>
    </row>
    <row r="18" spans="1:8">
      <c r="A18" s="15"/>
      <c r="B18" s="29" t="s">
        <v>77</v>
      </c>
      <c r="C18" s="15"/>
      <c r="D18" s="15"/>
      <c r="E18" s="15"/>
      <c r="F18" s="15"/>
      <c r="G18" s="15"/>
      <c r="H18" s="11"/>
    </row>
    <row r="19" spans="1:8" ht="57.75">
      <c r="A19" s="15"/>
      <c r="B19" s="30" t="s">
        <v>78</v>
      </c>
      <c r="C19" s="15"/>
      <c r="D19" s="15"/>
      <c r="E19" s="15"/>
      <c r="F19" s="15"/>
      <c r="G19" s="15"/>
      <c r="H19" s="11"/>
    </row>
    <row r="20" spans="1:8" ht="29.25">
      <c r="A20" s="15"/>
      <c r="B20" s="30" t="s">
        <v>79</v>
      </c>
      <c r="C20" s="15"/>
      <c r="D20" s="15"/>
      <c r="E20" s="15"/>
      <c r="F20" s="15"/>
      <c r="G20" s="15"/>
      <c r="H20" s="11"/>
    </row>
    <row r="21" spans="1:8" ht="15">
      <c r="A21" s="15"/>
      <c r="B21" s="30" t="s">
        <v>80</v>
      </c>
      <c r="C21" s="15"/>
      <c r="D21" s="15"/>
      <c r="E21" s="15"/>
      <c r="F21" s="15"/>
      <c r="G21" s="15"/>
      <c r="H21" s="11"/>
    </row>
    <row r="22" spans="1:8" ht="29.25">
      <c r="A22" s="15"/>
      <c r="B22" s="30" t="s">
        <v>81</v>
      </c>
      <c r="C22" s="15"/>
      <c r="D22" s="15"/>
      <c r="E22" s="15"/>
      <c r="F22" s="15"/>
      <c r="G22" s="15"/>
      <c r="H22" s="11"/>
    </row>
    <row r="23" spans="1:8" ht="29.25">
      <c r="A23" s="15"/>
      <c r="B23" s="30" t="s">
        <v>82</v>
      </c>
      <c r="C23" s="15"/>
      <c r="D23" s="15"/>
      <c r="E23" s="15"/>
      <c r="F23" s="15"/>
      <c r="G23" s="15"/>
      <c r="H23" s="11"/>
    </row>
    <row r="24" spans="1:8" ht="15">
      <c r="A24" s="15"/>
      <c r="B24" s="30" t="s">
        <v>83</v>
      </c>
      <c r="C24" s="15"/>
      <c r="D24" s="15"/>
      <c r="E24" s="15"/>
      <c r="F24" s="15"/>
      <c r="G24" s="15"/>
      <c r="H24" s="11"/>
    </row>
    <row r="25" spans="1:8" ht="15">
      <c r="A25" s="15"/>
      <c r="B25" s="30" t="s">
        <v>84</v>
      </c>
      <c r="C25" s="15"/>
      <c r="D25" s="15"/>
      <c r="E25" s="15"/>
      <c r="F25" s="15"/>
      <c r="G25" s="15"/>
      <c r="H25" s="11"/>
    </row>
    <row r="26" spans="1:8" ht="15">
      <c r="A26" s="15"/>
      <c r="B26" s="30" t="s">
        <v>85</v>
      </c>
      <c r="C26" s="15"/>
      <c r="D26" s="15"/>
      <c r="E26" s="15"/>
      <c r="F26" s="15"/>
      <c r="G26" s="15"/>
      <c r="H26" s="11"/>
    </row>
    <row r="27" spans="1:8">
      <c r="A27" s="11"/>
      <c r="B27" s="11"/>
      <c r="C27" s="11"/>
      <c r="D27" s="11"/>
      <c r="E27" s="11"/>
      <c r="F27" s="11"/>
      <c r="G27" s="11"/>
      <c r="H27" s="11"/>
    </row>
  </sheetData>
  <sheetProtection sheet="1" objects="1" scenarios="1"/>
  <mergeCells count="5">
    <mergeCell ref="C1:G1"/>
    <mergeCell ref="A5:A6"/>
    <mergeCell ref="B5:B6"/>
    <mergeCell ref="C5:C6"/>
    <mergeCell ref="D5:G5"/>
  </mergeCells>
  <hyperlinks>
    <hyperlink ref="B2" r:id="rId1"/>
    <hyperlink ref="B16" r:id="rId2"/>
  </hyperlinks>
  <pageMargins left="0.70000000000000007" right="0.70000000000000007" top="1.0457000000000001" bottom="1.0457000000000001" header="0.75000000000000011" footer="0.75000000000000011"/>
  <pageSetup paperSize="0" fitToWidth="0" fitToHeight="0" pageOrder="overThenDown" orientation="portrait" horizontalDpi="0" verticalDpi="0" copies="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D8" sqref="D8"/>
    </sheetView>
  </sheetViews>
  <sheetFormatPr defaultRowHeight="14.25"/>
  <cols>
    <col min="1" max="1" width="24.875" customWidth="1"/>
    <col min="2" max="2" width="12.875" style="437" customWidth="1"/>
    <col min="3" max="3" width="7.875" style="438" bestFit="1" customWidth="1"/>
    <col min="4" max="4" width="7.5" style="438" customWidth="1"/>
    <col min="5" max="5" width="52.125" customWidth="1"/>
    <col min="6" max="6" width="69.875" customWidth="1"/>
  </cols>
  <sheetData>
    <row r="1" spans="1:8" s="420" customFormat="1" ht="15">
      <c r="B1" s="421"/>
      <c r="C1" s="422"/>
      <c r="D1" s="422"/>
    </row>
    <row r="2" spans="1:8" s="420" customFormat="1" ht="15">
      <c r="B2" s="421"/>
      <c r="C2" s="422"/>
      <c r="D2" s="422"/>
    </row>
    <row r="3" spans="1:8" s="420" customFormat="1" ht="15">
      <c r="B3" s="421"/>
      <c r="C3" s="422"/>
      <c r="D3" s="422"/>
    </row>
    <row r="4" spans="1:8" s="420" customFormat="1" ht="15">
      <c r="A4" s="836"/>
      <c r="B4" s="836"/>
      <c r="C4" s="836"/>
      <c r="D4" s="836"/>
      <c r="E4" s="836"/>
    </row>
    <row r="5" spans="1:8" s="420" customFormat="1" ht="15">
      <c r="A5" s="836"/>
      <c r="B5" s="836"/>
      <c r="C5" s="836"/>
      <c r="D5" s="836"/>
      <c r="E5" s="836"/>
    </row>
    <row r="6" spans="1:8" s="420" customFormat="1" ht="15.75" thickBot="1">
      <c r="B6" s="421"/>
      <c r="C6" s="422"/>
      <c r="D6" s="422"/>
    </row>
    <row r="7" spans="1:8" s="426" customFormat="1" ht="30">
      <c r="A7" s="423" t="s">
        <v>1343</v>
      </c>
      <c r="B7" s="424" t="s">
        <v>1344</v>
      </c>
      <c r="C7" s="425" t="s">
        <v>1345</v>
      </c>
      <c r="D7" s="425" t="s">
        <v>1346</v>
      </c>
      <c r="E7" s="439" t="s">
        <v>1347</v>
      </c>
      <c r="F7" s="577" t="s">
        <v>1354</v>
      </c>
    </row>
    <row r="8" spans="1:8" s="430" customFormat="1" ht="409.35" customHeight="1">
      <c r="A8" s="427" t="s">
        <v>1348</v>
      </c>
      <c r="B8" s="428"/>
      <c r="C8" s="429"/>
      <c r="D8" s="429"/>
      <c r="E8" s="440" t="s">
        <v>1349</v>
      </c>
      <c r="F8" s="578" t="s">
        <v>1355</v>
      </c>
    </row>
    <row r="9" spans="1:8" s="430" customFormat="1" ht="180">
      <c r="A9" s="427" t="s">
        <v>1350</v>
      </c>
      <c r="B9" s="431"/>
      <c r="C9" s="432"/>
      <c r="D9" s="433"/>
      <c r="E9" s="441" t="s">
        <v>1351</v>
      </c>
      <c r="F9" s="579"/>
      <c r="G9" s="434"/>
      <c r="H9" s="435"/>
    </row>
    <row r="10" spans="1:8" s="430" customFormat="1" ht="228">
      <c r="A10" s="427" t="s">
        <v>1352</v>
      </c>
      <c r="B10" s="431"/>
      <c r="C10" s="429"/>
      <c r="D10" s="433"/>
      <c r="E10" s="440" t="s">
        <v>1353</v>
      </c>
      <c r="F10" s="580"/>
    </row>
    <row r="11" spans="1:8" ht="214.5" thickBot="1">
      <c r="A11" s="581" t="s">
        <v>1634</v>
      </c>
      <c r="B11" s="582"/>
      <c r="C11" s="837"/>
      <c r="D11" s="837"/>
      <c r="E11" s="583" t="s">
        <v>1633</v>
      </c>
      <c r="F11" s="584"/>
    </row>
    <row r="12" spans="1:8">
      <c r="A12" s="436"/>
      <c r="C12" s="838"/>
      <c r="D12" s="838"/>
      <c r="E12" s="436"/>
    </row>
  </sheetData>
  <mergeCells count="4">
    <mergeCell ref="A4:E4"/>
    <mergeCell ref="A5:E5"/>
    <mergeCell ref="C11:D11"/>
    <mergeCell ref="C12:D12"/>
  </mergeCell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workbookViewId="0">
      <selection activeCell="E6" sqref="E6"/>
    </sheetView>
  </sheetViews>
  <sheetFormatPr defaultRowHeight="14.25"/>
  <cols>
    <col min="1" max="1" width="29.625" customWidth="1"/>
    <col min="2" max="2" width="15.875" customWidth="1"/>
    <col min="3" max="3" width="28.375" customWidth="1"/>
    <col min="4" max="5" width="14.125" customWidth="1"/>
    <col min="6" max="7" width="11.625" customWidth="1"/>
    <col min="8" max="9" width="10.125" style="443" bestFit="1" customWidth="1"/>
    <col min="10" max="10" width="15.125" style="444" customWidth="1"/>
    <col min="11" max="11" width="13.625" customWidth="1"/>
    <col min="12" max="12" width="20.5" customWidth="1"/>
    <col min="14" max="14" width="14.375" style="153" customWidth="1"/>
    <col min="15" max="19" width="12.875" style="153" customWidth="1"/>
    <col min="20" max="20" width="11.375" customWidth="1"/>
    <col min="21" max="21" width="15" customWidth="1"/>
    <col min="22" max="26" width="11.875" customWidth="1"/>
    <col min="27" max="27" width="12" customWidth="1"/>
  </cols>
  <sheetData>
    <row r="1" spans="1:27" ht="15">
      <c r="A1" s="420" t="s">
        <v>1356</v>
      </c>
    </row>
    <row r="2" spans="1:27" ht="15">
      <c r="A2" s="420" t="s">
        <v>1357</v>
      </c>
    </row>
    <row r="3" spans="1:27" ht="15">
      <c r="A3" s="420"/>
    </row>
    <row r="4" spans="1:27" ht="32.450000000000003" customHeight="1">
      <c r="A4" s="847" t="s">
        <v>1358</v>
      </c>
      <c r="B4" s="847" t="s">
        <v>1359</v>
      </c>
      <c r="C4" s="847" t="s">
        <v>1360</v>
      </c>
      <c r="D4" s="847" t="s">
        <v>1361</v>
      </c>
      <c r="E4" s="847" t="s">
        <v>1362</v>
      </c>
      <c r="F4" s="847" t="s">
        <v>1363</v>
      </c>
      <c r="G4" s="847" t="s">
        <v>1364</v>
      </c>
      <c r="H4" s="849" t="s">
        <v>1365</v>
      </c>
      <c r="I4" s="849"/>
      <c r="J4" s="850" t="s">
        <v>1366</v>
      </c>
      <c r="K4" s="847" t="s">
        <v>1367</v>
      </c>
      <c r="L4" s="847" t="s">
        <v>1368</v>
      </c>
      <c r="M4" s="847" t="s">
        <v>1369</v>
      </c>
      <c r="N4" s="839" t="s">
        <v>1370</v>
      </c>
      <c r="O4" s="841" t="s">
        <v>1371</v>
      </c>
      <c r="P4" s="842"/>
      <c r="Q4" s="842"/>
      <c r="R4" s="842"/>
      <c r="S4" s="843"/>
      <c r="T4" s="844" t="s">
        <v>1372</v>
      </c>
      <c r="U4" s="845"/>
      <c r="V4" s="845"/>
      <c r="W4" s="845"/>
      <c r="X4" s="845"/>
      <c r="Y4" s="846"/>
      <c r="Z4" s="847" t="s">
        <v>1373</v>
      </c>
      <c r="AA4" s="847" t="s">
        <v>1374</v>
      </c>
    </row>
    <row r="5" spans="1:27" s="430" customFormat="1" ht="45">
      <c r="A5" s="848"/>
      <c r="B5" s="848"/>
      <c r="C5" s="848"/>
      <c r="D5" s="848"/>
      <c r="E5" s="848"/>
      <c r="F5" s="848"/>
      <c r="G5" s="848"/>
      <c r="H5" s="445" t="s">
        <v>1375</v>
      </c>
      <c r="I5" s="445" t="s">
        <v>1376</v>
      </c>
      <c r="J5" s="851"/>
      <c r="K5" s="848"/>
      <c r="L5" s="848"/>
      <c r="M5" s="848"/>
      <c r="N5" s="840"/>
      <c r="O5" s="446" t="s">
        <v>1377</v>
      </c>
      <c r="P5" s="446" t="s">
        <v>1378</v>
      </c>
      <c r="Q5" s="446" t="s">
        <v>1379</v>
      </c>
      <c r="R5" s="446" t="s">
        <v>1380</v>
      </c>
      <c r="S5" s="446" t="s">
        <v>1381</v>
      </c>
      <c r="T5" s="446" t="s">
        <v>1382</v>
      </c>
      <c r="U5" s="446" t="s">
        <v>1383</v>
      </c>
      <c r="V5" s="446" t="s">
        <v>1378</v>
      </c>
      <c r="W5" s="446" t="s">
        <v>1379</v>
      </c>
      <c r="X5" s="446" t="s">
        <v>1384</v>
      </c>
      <c r="Y5" s="446" t="s">
        <v>1381</v>
      </c>
      <c r="Z5" s="848"/>
      <c r="AA5" s="848"/>
    </row>
    <row r="6" spans="1:27" s="455" customFormat="1" ht="71.25">
      <c r="A6" s="447" t="s">
        <v>1385</v>
      </c>
      <c r="B6" s="447" t="s">
        <v>1386</v>
      </c>
      <c r="C6" s="447" t="s">
        <v>1387</v>
      </c>
      <c r="D6" s="447" t="s">
        <v>1388</v>
      </c>
      <c r="E6" s="447" t="s">
        <v>1389</v>
      </c>
      <c r="F6" s="447" t="s">
        <v>1390</v>
      </c>
      <c r="G6" s="442" t="s">
        <v>1391</v>
      </c>
      <c r="H6" s="448">
        <v>44010</v>
      </c>
      <c r="I6" s="448">
        <v>44012</v>
      </c>
      <c r="J6" s="449">
        <f>I6-H6</f>
        <v>2</v>
      </c>
      <c r="K6" s="447">
        <f t="shared" ref="K6:K19" si="0">IF(G6="Cluster I",((J6-0.5)*1500),IF(G6="Cluster II",((J6-0.5)*1800),IF(G6="Cluster III",((J6-0.5)*2200))))</f>
        <v>3300</v>
      </c>
      <c r="L6" s="447">
        <v>3300</v>
      </c>
      <c r="M6" s="442" t="s">
        <v>1392</v>
      </c>
      <c r="N6" s="450">
        <v>0</v>
      </c>
      <c r="O6" s="451"/>
      <c r="P6" s="451">
        <v>10000</v>
      </c>
      <c r="Q6" s="451"/>
      <c r="R6" s="452"/>
      <c r="S6" s="452"/>
      <c r="T6" s="429"/>
      <c r="U6" s="453">
        <f t="shared" ref="U6:U19" si="1">T6*10*51</f>
        <v>0</v>
      </c>
      <c r="V6" s="451"/>
      <c r="W6" s="451"/>
      <c r="X6" s="451"/>
      <c r="Y6" s="452"/>
      <c r="Z6" s="452">
        <f>O6+P6+Q6+R6+S6+U6+V6+W6+X6+Y6</f>
        <v>10000</v>
      </c>
      <c r="AA6" s="454">
        <f>L6+N6+Z6</f>
        <v>13300</v>
      </c>
    </row>
    <row r="7" spans="1:27" s="455" customFormat="1" ht="15">
      <c r="A7" s="447"/>
      <c r="B7" s="447"/>
      <c r="C7" s="447"/>
      <c r="D7" s="447"/>
      <c r="E7" s="447"/>
      <c r="F7" s="447"/>
      <c r="G7" s="442"/>
      <c r="H7" s="448"/>
      <c r="I7" s="448"/>
      <c r="J7" s="449">
        <f t="shared" ref="J7:J19" si="2">I7-H7</f>
        <v>0</v>
      </c>
      <c r="K7" s="447" t="b">
        <f t="shared" si="0"/>
        <v>0</v>
      </c>
      <c r="L7" s="447"/>
      <c r="M7" s="442"/>
      <c r="N7" s="450"/>
      <c r="O7" s="451"/>
      <c r="P7" s="451"/>
      <c r="Q7" s="451"/>
      <c r="R7" s="451"/>
      <c r="S7" s="451"/>
      <c r="T7" s="429"/>
      <c r="U7" s="453">
        <f t="shared" si="1"/>
        <v>0</v>
      </c>
      <c r="V7" s="451"/>
      <c r="W7" s="451"/>
      <c r="X7" s="451"/>
      <c r="Y7" s="452"/>
      <c r="Z7" s="452">
        <f t="shared" ref="Z7:Z19" si="3">O7+P7+Q7+R7+S7+U7+V7+W7+X7+Y7</f>
        <v>0</v>
      </c>
      <c r="AA7" s="454">
        <f t="shared" ref="AA7:AA19" si="4">L7+N7+Z7</f>
        <v>0</v>
      </c>
    </row>
    <row r="8" spans="1:27" s="455" customFormat="1" ht="15">
      <c r="A8" s="447"/>
      <c r="B8" s="447"/>
      <c r="C8" s="447"/>
      <c r="D8" s="447"/>
      <c r="E8" s="447"/>
      <c r="F8" s="447"/>
      <c r="G8" s="442"/>
      <c r="H8" s="448"/>
      <c r="I8" s="448"/>
      <c r="J8" s="449">
        <f t="shared" si="2"/>
        <v>0</v>
      </c>
      <c r="K8" s="447" t="b">
        <f t="shared" si="0"/>
        <v>0</v>
      </c>
      <c r="L8" s="447"/>
      <c r="M8" s="442"/>
      <c r="N8" s="450"/>
      <c r="O8" s="451"/>
      <c r="P8" s="451"/>
      <c r="Q8" s="451"/>
      <c r="R8" s="451"/>
      <c r="S8" s="451"/>
      <c r="T8" s="429"/>
      <c r="U8" s="453">
        <f t="shared" si="1"/>
        <v>0</v>
      </c>
      <c r="V8" s="451"/>
      <c r="W8" s="451"/>
      <c r="X8" s="451"/>
      <c r="Y8" s="452"/>
      <c r="Z8" s="452">
        <f t="shared" si="3"/>
        <v>0</v>
      </c>
      <c r="AA8" s="454">
        <f t="shared" si="4"/>
        <v>0</v>
      </c>
    </row>
    <row r="9" spans="1:27" s="455" customFormat="1" ht="15">
      <c r="A9" s="447"/>
      <c r="B9" s="447"/>
      <c r="C9" s="447"/>
      <c r="D9" s="447"/>
      <c r="E9" s="447"/>
      <c r="F9" s="447"/>
      <c r="G9" s="442"/>
      <c r="H9" s="448"/>
      <c r="I9" s="448"/>
      <c r="J9" s="449">
        <f t="shared" si="2"/>
        <v>0</v>
      </c>
      <c r="K9" s="447" t="b">
        <f t="shared" si="0"/>
        <v>0</v>
      </c>
      <c r="L9" s="447"/>
      <c r="M9" s="442"/>
      <c r="N9" s="450"/>
      <c r="O9" s="451"/>
      <c r="P9" s="451"/>
      <c r="Q9" s="451"/>
      <c r="R9" s="451"/>
      <c r="S9" s="451"/>
      <c r="T9" s="429"/>
      <c r="U9" s="453">
        <f t="shared" si="1"/>
        <v>0</v>
      </c>
      <c r="V9" s="451"/>
      <c r="W9" s="451"/>
      <c r="X9" s="451"/>
      <c r="Y9" s="452"/>
      <c r="Z9" s="452">
        <f t="shared" si="3"/>
        <v>0</v>
      </c>
      <c r="AA9" s="454">
        <f t="shared" si="4"/>
        <v>0</v>
      </c>
    </row>
    <row r="10" spans="1:27" s="455" customFormat="1" ht="15">
      <c r="A10" s="447"/>
      <c r="B10" s="447"/>
      <c r="C10" s="447"/>
      <c r="D10" s="447"/>
      <c r="E10" s="447"/>
      <c r="F10" s="447"/>
      <c r="G10" s="442"/>
      <c r="H10" s="448"/>
      <c r="I10" s="448"/>
      <c r="J10" s="449">
        <f t="shared" si="2"/>
        <v>0</v>
      </c>
      <c r="K10" s="447" t="b">
        <f t="shared" si="0"/>
        <v>0</v>
      </c>
      <c r="L10" s="447"/>
      <c r="M10" s="442"/>
      <c r="N10" s="450"/>
      <c r="O10" s="451"/>
      <c r="P10" s="451"/>
      <c r="Q10" s="451"/>
      <c r="R10" s="451"/>
      <c r="S10" s="451"/>
      <c r="T10" s="429"/>
      <c r="U10" s="453">
        <f t="shared" si="1"/>
        <v>0</v>
      </c>
      <c r="V10" s="451"/>
      <c r="W10" s="451"/>
      <c r="X10" s="451"/>
      <c r="Y10" s="452"/>
      <c r="Z10" s="452">
        <f t="shared" si="3"/>
        <v>0</v>
      </c>
      <c r="AA10" s="454">
        <f t="shared" si="4"/>
        <v>0</v>
      </c>
    </row>
    <row r="11" spans="1:27" s="455" customFormat="1" ht="15">
      <c r="A11" s="447"/>
      <c r="B11" s="447"/>
      <c r="C11" s="447"/>
      <c r="D11" s="447"/>
      <c r="E11" s="447"/>
      <c r="F11" s="447"/>
      <c r="G11" s="442"/>
      <c r="H11" s="448"/>
      <c r="I11" s="448"/>
      <c r="J11" s="449">
        <f t="shared" si="2"/>
        <v>0</v>
      </c>
      <c r="K11" s="447" t="b">
        <f t="shared" si="0"/>
        <v>0</v>
      </c>
      <c r="L11" s="447"/>
      <c r="M11" s="442"/>
      <c r="N11" s="450"/>
      <c r="O11" s="451"/>
      <c r="P11" s="451"/>
      <c r="Q11" s="451"/>
      <c r="R11" s="451"/>
      <c r="S11" s="451"/>
      <c r="T11" s="429"/>
      <c r="U11" s="453">
        <f t="shared" si="1"/>
        <v>0</v>
      </c>
      <c r="V11" s="451"/>
      <c r="W11" s="451"/>
      <c r="X11" s="451"/>
      <c r="Y11" s="452"/>
      <c r="Z11" s="452">
        <f t="shared" si="3"/>
        <v>0</v>
      </c>
      <c r="AA11" s="454">
        <f t="shared" si="4"/>
        <v>0</v>
      </c>
    </row>
    <row r="12" spans="1:27" s="455" customFormat="1" ht="15">
      <c r="A12" s="447"/>
      <c r="B12" s="447"/>
      <c r="C12" s="447"/>
      <c r="D12" s="447"/>
      <c r="E12" s="447"/>
      <c r="F12" s="447"/>
      <c r="G12" s="442"/>
      <c r="H12" s="448"/>
      <c r="I12" s="448"/>
      <c r="J12" s="449">
        <f t="shared" si="2"/>
        <v>0</v>
      </c>
      <c r="K12" s="447" t="b">
        <f t="shared" si="0"/>
        <v>0</v>
      </c>
      <c r="L12" s="447"/>
      <c r="M12" s="442"/>
      <c r="N12" s="450"/>
      <c r="O12" s="451"/>
      <c r="P12" s="451"/>
      <c r="Q12" s="451"/>
      <c r="R12" s="451"/>
      <c r="S12" s="451"/>
      <c r="T12" s="429"/>
      <c r="U12" s="453">
        <f t="shared" si="1"/>
        <v>0</v>
      </c>
      <c r="V12" s="451"/>
      <c r="W12" s="451"/>
      <c r="X12" s="451"/>
      <c r="Y12" s="452"/>
      <c r="Z12" s="452">
        <f t="shared" si="3"/>
        <v>0</v>
      </c>
      <c r="AA12" s="454">
        <f t="shared" si="4"/>
        <v>0</v>
      </c>
    </row>
    <row r="13" spans="1:27" s="455" customFormat="1" ht="15">
      <c r="A13" s="447"/>
      <c r="B13" s="447"/>
      <c r="C13" s="447"/>
      <c r="D13" s="447"/>
      <c r="E13" s="447"/>
      <c r="F13" s="447"/>
      <c r="G13" s="442"/>
      <c r="H13" s="448"/>
      <c r="I13" s="448"/>
      <c r="J13" s="449">
        <f t="shared" si="2"/>
        <v>0</v>
      </c>
      <c r="K13" s="447" t="b">
        <f t="shared" si="0"/>
        <v>0</v>
      </c>
      <c r="L13" s="447"/>
      <c r="M13" s="442"/>
      <c r="N13" s="450"/>
      <c r="O13" s="451"/>
      <c r="P13" s="451"/>
      <c r="Q13" s="451"/>
      <c r="R13" s="451"/>
      <c r="S13" s="451"/>
      <c r="T13" s="429"/>
      <c r="U13" s="453">
        <f t="shared" si="1"/>
        <v>0</v>
      </c>
      <c r="V13" s="451"/>
      <c r="W13" s="451"/>
      <c r="X13" s="451"/>
      <c r="Y13" s="452"/>
      <c r="Z13" s="452">
        <f t="shared" si="3"/>
        <v>0</v>
      </c>
      <c r="AA13" s="454">
        <f t="shared" si="4"/>
        <v>0</v>
      </c>
    </row>
    <row r="14" spans="1:27" s="455" customFormat="1" ht="15">
      <c r="A14" s="447"/>
      <c r="B14" s="447"/>
      <c r="C14" s="447"/>
      <c r="D14" s="447"/>
      <c r="E14" s="447"/>
      <c r="F14" s="447"/>
      <c r="G14" s="442"/>
      <c r="H14" s="448"/>
      <c r="I14" s="448"/>
      <c r="J14" s="449">
        <f t="shared" si="2"/>
        <v>0</v>
      </c>
      <c r="K14" s="447" t="b">
        <f t="shared" si="0"/>
        <v>0</v>
      </c>
      <c r="L14" s="447"/>
      <c r="M14" s="442"/>
      <c r="N14" s="450"/>
      <c r="O14" s="451"/>
      <c r="P14" s="451"/>
      <c r="Q14" s="451"/>
      <c r="R14" s="451"/>
      <c r="S14" s="451"/>
      <c r="T14" s="429"/>
      <c r="U14" s="453">
        <f t="shared" si="1"/>
        <v>0</v>
      </c>
      <c r="V14" s="451"/>
      <c r="W14" s="451"/>
      <c r="X14" s="451"/>
      <c r="Y14" s="452"/>
      <c r="Z14" s="452">
        <f t="shared" si="3"/>
        <v>0</v>
      </c>
      <c r="AA14" s="454">
        <f t="shared" si="4"/>
        <v>0</v>
      </c>
    </row>
    <row r="15" spans="1:27" s="455" customFormat="1" ht="15">
      <c r="A15" s="447"/>
      <c r="B15" s="447"/>
      <c r="C15" s="447"/>
      <c r="D15" s="447"/>
      <c r="E15" s="447"/>
      <c r="F15" s="447"/>
      <c r="G15" s="442"/>
      <c r="H15" s="448"/>
      <c r="I15" s="448"/>
      <c r="J15" s="449">
        <f t="shared" si="2"/>
        <v>0</v>
      </c>
      <c r="K15" s="447" t="b">
        <f t="shared" si="0"/>
        <v>0</v>
      </c>
      <c r="L15" s="447"/>
      <c r="M15" s="442"/>
      <c r="N15" s="450"/>
      <c r="O15" s="451"/>
      <c r="P15" s="451"/>
      <c r="Q15" s="451"/>
      <c r="R15" s="451"/>
      <c r="S15" s="451"/>
      <c r="T15" s="429"/>
      <c r="U15" s="453">
        <f t="shared" si="1"/>
        <v>0</v>
      </c>
      <c r="V15" s="451"/>
      <c r="W15" s="451"/>
      <c r="X15" s="451"/>
      <c r="Y15" s="452"/>
      <c r="Z15" s="452">
        <f t="shared" si="3"/>
        <v>0</v>
      </c>
      <c r="AA15" s="454">
        <f t="shared" si="4"/>
        <v>0</v>
      </c>
    </row>
    <row r="16" spans="1:27" s="455" customFormat="1" ht="15">
      <c r="A16" s="447"/>
      <c r="B16" s="447"/>
      <c r="C16" s="447"/>
      <c r="D16" s="447"/>
      <c r="E16" s="447"/>
      <c r="F16" s="447"/>
      <c r="G16" s="442"/>
      <c r="H16" s="448"/>
      <c r="I16" s="448"/>
      <c r="J16" s="449">
        <f t="shared" si="2"/>
        <v>0</v>
      </c>
      <c r="K16" s="447" t="b">
        <f t="shared" si="0"/>
        <v>0</v>
      </c>
      <c r="L16" s="447"/>
      <c r="M16" s="442"/>
      <c r="N16" s="450"/>
      <c r="O16" s="451"/>
      <c r="P16" s="451"/>
      <c r="Q16" s="451"/>
      <c r="R16" s="451"/>
      <c r="S16" s="451"/>
      <c r="T16" s="429"/>
      <c r="U16" s="453">
        <f t="shared" si="1"/>
        <v>0</v>
      </c>
      <c r="V16" s="451"/>
      <c r="W16" s="451"/>
      <c r="X16" s="451"/>
      <c r="Y16" s="452"/>
      <c r="Z16" s="452">
        <f t="shared" si="3"/>
        <v>0</v>
      </c>
      <c r="AA16" s="454">
        <f t="shared" si="4"/>
        <v>0</v>
      </c>
    </row>
    <row r="17" spans="1:27" s="455" customFormat="1" ht="15">
      <c r="A17" s="447"/>
      <c r="B17" s="447"/>
      <c r="C17" s="447"/>
      <c r="D17" s="447"/>
      <c r="E17" s="447"/>
      <c r="F17" s="447"/>
      <c r="G17" s="442"/>
      <c r="H17" s="448"/>
      <c r="I17" s="448"/>
      <c r="J17" s="449">
        <f t="shared" si="2"/>
        <v>0</v>
      </c>
      <c r="K17" s="447" t="b">
        <f t="shared" si="0"/>
        <v>0</v>
      </c>
      <c r="L17" s="447"/>
      <c r="M17" s="442"/>
      <c r="N17" s="450"/>
      <c r="O17" s="451"/>
      <c r="P17" s="451"/>
      <c r="Q17" s="451"/>
      <c r="R17" s="451"/>
      <c r="S17" s="451"/>
      <c r="T17" s="429"/>
      <c r="U17" s="453">
        <f t="shared" si="1"/>
        <v>0</v>
      </c>
      <c r="V17" s="451"/>
      <c r="W17" s="451"/>
      <c r="X17" s="451"/>
      <c r="Y17" s="452"/>
      <c r="Z17" s="452">
        <f t="shared" si="3"/>
        <v>0</v>
      </c>
      <c r="AA17" s="454">
        <f t="shared" si="4"/>
        <v>0</v>
      </c>
    </row>
    <row r="18" spans="1:27" s="455" customFormat="1" ht="15">
      <c r="A18" s="447"/>
      <c r="B18" s="447"/>
      <c r="C18" s="447"/>
      <c r="D18" s="447"/>
      <c r="E18" s="447"/>
      <c r="F18" s="447"/>
      <c r="G18" s="442"/>
      <c r="H18" s="448"/>
      <c r="I18" s="448"/>
      <c r="J18" s="449">
        <f t="shared" si="2"/>
        <v>0</v>
      </c>
      <c r="K18" s="447" t="b">
        <f t="shared" si="0"/>
        <v>0</v>
      </c>
      <c r="L18" s="447"/>
      <c r="M18" s="442"/>
      <c r="N18" s="450"/>
      <c r="O18" s="451"/>
      <c r="P18" s="451"/>
      <c r="Q18" s="451"/>
      <c r="R18" s="451"/>
      <c r="S18" s="451"/>
      <c r="T18" s="429"/>
      <c r="U18" s="453">
        <f t="shared" si="1"/>
        <v>0</v>
      </c>
      <c r="V18" s="451"/>
      <c r="W18" s="451"/>
      <c r="X18" s="451"/>
      <c r="Y18" s="452"/>
      <c r="Z18" s="452">
        <f t="shared" si="3"/>
        <v>0</v>
      </c>
      <c r="AA18" s="454">
        <f t="shared" si="4"/>
        <v>0</v>
      </c>
    </row>
    <row r="19" spans="1:27" s="455" customFormat="1" ht="15">
      <c r="A19" s="447"/>
      <c r="B19" s="447"/>
      <c r="C19" s="447"/>
      <c r="D19" s="447"/>
      <c r="E19" s="447"/>
      <c r="F19" s="447"/>
      <c r="G19" s="442"/>
      <c r="H19" s="448"/>
      <c r="I19" s="448"/>
      <c r="J19" s="449">
        <f t="shared" si="2"/>
        <v>0</v>
      </c>
      <c r="K19" s="447" t="b">
        <f t="shared" si="0"/>
        <v>0</v>
      </c>
      <c r="L19" s="447"/>
      <c r="M19" s="442"/>
      <c r="N19" s="450"/>
      <c r="O19" s="451"/>
      <c r="P19" s="451"/>
      <c r="Q19" s="451"/>
      <c r="R19" s="451"/>
      <c r="S19" s="451"/>
      <c r="T19" s="429"/>
      <c r="U19" s="453">
        <f t="shared" si="1"/>
        <v>0</v>
      </c>
      <c r="V19" s="451"/>
      <c r="W19" s="451"/>
      <c r="X19" s="451"/>
      <c r="Y19" s="452"/>
      <c r="Z19" s="452">
        <f t="shared" si="3"/>
        <v>0</v>
      </c>
      <c r="AA19" s="454">
        <f t="shared" si="4"/>
        <v>0</v>
      </c>
    </row>
    <row r="20" spans="1:27">
      <c r="A20" s="456"/>
      <c r="B20" s="456"/>
      <c r="C20" s="456"/>
      <c r="D20" s="456"/>
      <c r="E20" s="456"/>
      <c r="F20" s="456"/>
      <c r="G20" s="456"/>
      <c r="H20" s="457"/>
      <c r="I20" s="457"/>
      <c r="J20" s="458"/>
      <c r="K20" s="459"/>
      <c r="L20" s="459"/>
      <c r="M20" s="456"/>
      <c r="N20" s="460"/>
      <c r="O20" s="460"/>
      <c r="P20" s="460"/>
      <c r="Q20" s="460"/>
      <c r="R20" s="460"/>
      <c r="S20" s="460"/>
      <c r="T20" s="456"/>
      <c r="U20" s="456"/>
      <c r="V20" s="456"/>
      <c r="W20" s="456"/>
      <c r="X20" s="456"/>
      <c r="Y20" s="456"/>
      <c r="Z20" s="456"/>
    </row>
    <row r="21" spans="1:27" ht="15">
      <c r="A21" s="461" t="s">
        <v>1393</v>
      </c>
    </row>
    <row r="22" spans="1:27" ht="15">
      <c r="A22" s="462" t="s">
        <v>1394</v>
      </c>
    </row>
    <row r="23" spans="1:27" ht="15">
      <c r="A23" s="462" t="s">
        <v>1395</v>
      </c>
    </row>
    <row r="24" spans="1:27" ht="15">
      <c r="A24" s="462" t="s">
        <v>1396</v>
      </c>
    </row>
    <row r="25" spans="1:27" ht="15">
      <c r="A25" s="462" t="s">
        <v>1397</v>
      </c>
    </row>
    <row r="26" spans="1:27" ht="15">
      <c r="A26" s="463" t="s">
        <v>1398</v>
      </c>
    </row>
    <row r="28" spans="1:27" ht="15">
      <c r="A28" s="464" t="s">
        <v>1399</v>
      </c>
      <c r="B28" s="420" t="s">
        <v>1400</v>
      </c>
      <c r="C28" s="420" t="s">
        <v>1401</v>
      </c>
      <c r="D28" s="420" t="s">
        <v>1402</v>
      </c>
      <c r="E28" s="420"/>
    </row>
    <row r="29" spans="1:27" ht="57">
      <c r="A29" s="465" t="s">
        <v>1403</v>
      </c>
    </row>
    <row r="30" spans="1:27">
      <c r="A30" s="466" t="s">
        <v>1404</v>
      </c>
      <c r="B30">
        <f>1500*0.5</f>
        <v>750</v>
      </c>
      <c r="C30">
        <f>1800*0.5</f>
        <v>900</v>
      </c>
      <c r="D30">
        <f>2200*0.5</f>
        <v>1100</v>
      </c>
    </row>
    <row r="31" spans="1:27">
      <c r="A31" s="466" t="s">
        <v>1405</v>
      </c>
      <c r="B31">
        <f>1500*0.3</f>
        <v>450</v>
      </c>
      <c r="C31">
        <f>1800*0.3</f>
        <v>540</v>
      </c>
      <c r="D31">
        <f>2200*0.3</f>
        <v>660</v>
      </c>
    </row>
    <row r="32" spans="1:27">
      <c r="A32" s="466" t="s">
        <v>1406</v>
      </c>
      <c r="B32">
        <f>1500*0.2</f>
        <v>300</v>
      </c>
      <c r="C32">
        <f>1800*0.2</f>
        <v>360</v>
      </c>
      <c r="D32">
        <f>2200*0.2</f>
        <v>440</v>
      </c>
    </row>
    <row r="33" spans="1:4" ht="42.75">
      <c r="A33" s="465" t="s">
        <v>1407</v>
      </c>
    </row>
    <row r="34" spans="1:4">
      <c r="A34" s="466" t="s">
        <v>1405</v>
      </c>
      <c r="B34">
        <f>1500*0.3</f>
        <v>450</v>
      </c>
      <c r="C34">
        <f>1800*0.3</f>
        <v>540</v>
      </c>
      <c r="D34">
        <f>2200*0.3</f>
        <v>660</v>
      </c>
    </row>
    <row r="35" spans="1:4">
      <c r="A35" s="466" t="s">
        <v>1406</v>
      </c>
      <c r="B35">
        <f>1500*0.2</f>
        <v>300</v>
      </c>
      <c r="C35">
        <f>1800*0.2</f>
        <v>360</v>
      </c>
      <c r="D35">
        <f>2200*0.2</f>
        <v>440</v>
      </c>
    </row>
  </sheetData>
  <mergeCells count="17">
    <mergeCell ref="M4:M5"/>
    <mergeCell ref="A4:A5"/>
    <mergeCell ref="B4:B5"/>
    <mergeCell ref="C4:C5"/>
    <mergeCell ref="D4:D5"/>
    <mergeCell ref="E4:E5"/>
    <mergeCell ref="F4:F5"/>
    <mergeCell ref="G4:G5"/>
    <mergeCell ref="H4:I4"/>
    <mergeCell ref="J4:J5"/>
    <mergeCell ref="K4:K5"/>
    <mergeCell ref="L4:L5"/>
    <mergeCell ref="N4:N5"/>
    <mergeCell ref="O4:S4"/>
    <mergeCell ref="T4:Y4"/>
    <mergeCell ref="Z4:Z5"/>
    <mergeCell ref="AA4:AA5"/>
  </mergeCells>
  <conditionalFormatting sqref="L6">
    <cfRule type="containsBlanks" dxfId="4" priority="5">
      <formula>LEN(TRIM(L6))=0</formula>
    </cfRule>
  </conditionalFormatting>
  <conditionalFormatting sqref="L7:L19">
    <cfRule type="containsBlanks" dxfId="3" priority="4">
      <formula>LEN(TRIM(L7))=0</formula>
    </cfRule>
  </conditionalFormatting>
  <conditionalFormatting sqref="A6:F19">
    <cfRule type="containsBlanks" dxfId="2" priority="3">
      <formula>LEN(TRIM(A6))=0</formula>
    </cfRule>
  </conditionalFormatting>
  <conditionalFormatting sqref="H6:I19">
    <cfRule type="containsBlanks" dxfId="1" priority="2">
      <formula>LEN(TRIM(H6))=0</formula>
    </cfRule>
  </conditionalFormatting>
  <conditionalFormatting sqref="A6:AA19">
    <cfRule type="containsBlanks" dxfId="0" priority="1">
      <formula>LEN(TRIM(A6))=0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'D:\WORK MATTERS\01_PCSD FILES\EPEZMD or EPIPDD\FY 2020 WFPlanning\Attachments to Memo re WFP\[FY 2020 Division Plans_Template.xlsx]Dropdown'!#REF!</xm:f>
          </x14:formula1>
          <xm:sqref>M6:M19</xm:sqref>
        </x14:dataValidation>
        <x14:dataValidation type="list" allowBlank="1" showInputMessage="1" showErrorMessage="1">
          <x14:formula1>
            <xm:f>'D:\WORK MATTERS\01_PCSD FILES\EPEZMD or EPIPDD\FY 2020 WFPlanning\Attachments to Memo re WFP\[FY 2020 Division Plans_Template.xlsx]Dropdown'!#REF!</xm:f>
          </x14:formula1>
          <xm:sqref>G6:G19</xm:sqref>
        </x14:dataValidation>
      </x14:dataValidations>
    </ext>
  </extLst>
</worksheet>
</file>

<file path=docProps/app.xml><?xml version="1.0" encoding="utf-8"?>
<Properties xmlns="http://schemas.openxmlformats.org/officeDocument/2006/extended-properties" xmlns:vt="http://schemas.openxmlformats.org/officeDocument/2006/docPropsVTypes">
  <TotalTime>33</TotalTime>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1A_Consol PPMP</vt:lpstr>
      <vt:lpstr>Ref_ICT</vt:lpstr>
      <vt:lpstr>1B_PPMP CSE</vt:lpstr>
      <vt:lpstr>Ref_PCSDS APP draft</vt:lpstr>
      <vt:lpstr>Ref_Vehicles</vt:lpstr>
      <vt:lpstr>Ref_Budget per Obj</vt:lpstr>
      <vt:lpstr>Guide to APP</vt:lpstr>
      <vt:lpstr>1C_Specs</vt:lpstr>
      <vt:lpstr>2_Travel Plan</vt:lpstr>
      <vt:lpstr>data_validation</vt:lpstr>
      <vt:lpstr>'1B_PPMP CSE'!Print_Area</vt:lpstr>
      <vt:lpstr>Ref_ICT!Print_Area</vt:lpstr>
      <vt:lpstr>'Ref_PCSDS APP draft'!Print_Area</vt:lpstr>
      <vt:lpstr>'1A_Consol PPMP'!Print_Titles</vt:lpstr>
      <vt:lpstr>'1B_PPMP CSE'!Print_Titles</vt:lpstr>
      <vt:lpstr>'Ref_Budget per Obj'!Print_Titles</vt:lpstr>
      <vt:lpstr>Ref_ICT!Print_Titles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cp:revision>8</cp:revision>
  <cp:lastPrinted>2019-08-15T04:54:07Z</cp:lastPrinted>
  <dcterms:created xsi:type="dcterms:W3CDTF">2017-12-08T03:24:52Z</dcterms:created>
  <dcterms:modified xsi:type="dcterms:W3CDTF">2019-08-20T06:59:21Z</dcterms:modified>
</cp:coreProperties>
</file>