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updateLinks="always"/>
  <mc:AlternateContent xmlns:mc="http://schemas.openxmlformats.org/markup-compatibility/2006">
    <mc:Choice Requires="x15">
      <x15ac:absPath xmlns:x15ac="http://schemas.microsoft.com/office/spreadsheetml/2010/11/ac" url="C:\Users\oierz\Desktop\MU\3.maila\2.KUATRI\PBL\"/>
    </mc:Choice>
  </mc:AlternateContent>
  <xr:revisionPtr revIDLastSave="0" documentId="13_ncr:1_{20183BF2-EA0B-45B4-8A57-820740BFDACE}" xr6:coauthVersionLast="47" xr6:coauthVersionMax="47" xr10:uidLastSave="{00000000-0000-0000-0000-000000000000}"/>
  <bookViews>
    <workbookView xWindow="4152" yWindow="2520" windowWidth="17280" windowHeight="9960" activeTab="1" xr2:uid="{1E502682-441D-4C1A-BF28-EBA896E36E5B}"/>
  </bookViews>
  <sheets>
    <sheet name="Ruta asistencial" sheetId="1" r:id="rId1"/>
    <sheet name="Parametros" sheetId="2" r:id="rId2"/>
    <sheet name="Alternativa1" sheetId="3" r:id="rId3"/>
    <sheet name="Alternativa2" sheetId="4" r:id="rId4"/>
    <sheet name="Efectividad" sheetId="5" r:id="rId5"/>
    <sheet name="Coste" sheetId="6" r:id="rId6"/>
    <sheet name="Sumario" sheetId="7" r:id="rId7"/>
  </sheets>
  <externalReferences>
    <externalReference r:id="rId8"/>
  </externalReferences>
  <definedNames>
    <definedName name="c_A">[1]Param!$B$23</definedName>
    <definedName name="c_B">[1]Param!$B$24</definedName>
    <definedName name="c_C">[1]Param!$B$25</definedName>
    <definedName name="Cavan">Parametros!$B$34</definedName>
    <definedName name="Cavan2">Parametros!$E$34</definedName>
    <definedName name="Ccieg">Parametros!$B$35</definedName>
    <definedName name="Clev">Parametros!$B$33</definedName>
    <definedName name="Clev2">Parametros!$E$33</definedName>
    <definedName name="Csan">Parametros!$B$32</definedName>
    <definedName name="Csan2">Parametros!$E$32</definedName>
    <definedName name="Ctto1">Parametros!$B$23</definedName>
    <definedName name="Ctto2">Parametros!$E$23</definedName>
    <definedName name="Descuento">[1]Param!$B$20</definedName>
    <definedName name="p_AA1">[1]Param!$B$4</definedName>
    <definedName name="p_AB1">[1]Param!$B$5</definedName>
    <definedName name="p_AC1">[1]Param!$B$6</definedName>
    <definedName name="p_AD1">[1]Param!$B$7</definedName>
    <definedName name="p_BB1">[1]Param!$B$8</definedName>
    <definedName name="p_BC1">[1]Param!$B$9</definedName>
    <definedName name="p_BD1">[1]Param!$B$10</definedName>
    <definedName name="p_CC1">[1]Param!$B$11</definedName>
    <definedName name="p_CD1">[1]Param!$B$12</definedName>
    <definedName name="Pavanavan">Parametros!$B$14</definedName>
    <definedName name="Pavancieg">Parametros!$B$15</definedName>
    <definedName name="Pavanlev">Parametros!$B$13</definedName>
    <definedName name="Pavansan">Parametros!$B$12</definedName>
    <definedName name="Pciegavan">Parametros!$B$18</definedName>
    <definedName name="Pciegcieg">Parametros!$B$19</definedName>
    <definedName name="Pcieglev">Parametros!$B$17</definedName>
    <definedName name="Pciegsan">Parametros!$B$16</definedName>
    <definedName name="Plevavan">Parametros!$B$10</definedName>
    <definedName name="Plevcieg">Parametros!$B$11</definedName>
    <definedName name="Plevlev">Parametros!$B$9</definedName>
    <definedName name="Plevsan">Parametros!$B$8</definedName>
    <definedName name="Psanavan">Parametros!$B$6</definedName>
    <definedName name="Psanavan2">Parametros!$E$6</definedName>
    <definedName name="Psancieg">Parametros!$B$7</definedName>
    <definedName name="Psanlev">Parametros!$B$5</definedName>
    <definedName name="Psanlev2">Parametros!$E$5</definedName>
    <definedName name="Psansan">Parametros!$B$4</definedName>
    <definedName name="Psansan1">Parametros!$B$4</definedName>
    <definedName name="Psansan1ç">Parametros!$B$4</definedName>
    <definedName name="Psansan2">Parametros!$E$4</definedName>
    <definedName name="u_A">[1]Param!$B$28</definedName>
    <definedName name="u_B">[1]Param!$B$29</definedName>
    <definedName name="u_C">[1]Param!$B$30</definedName>
    <definedName name="Uavan">Parametros!$B$42</definedName>
    <definedName name="Ucieg">Parametros!$B$43</definedName>
    <definedName name="Ulev">Parametros!$B$41</definedName>
    <definedName name="Usan">Parametros!$B$40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B23" i="2"/>
  <c r="C5" i="6"/>
  <c r="J11" i="6"/>
  <c r="I11" i="6"/>
  <c r="H11" i="6"/>
  <c r="H5" i="6"/>
  <c r="E10" i="2"/>
  <c r="F4" i="6" l="1"/>
  <c r="K4" i="5"/>
  <c r="J4" i="5"/>
  <c r="I4" i="5"/>
  <c r="H4" i="5"/>
  <c r="C4" i="5"/>
  <c r="K4" i="6"/>
  <c r="J4" i="6"/>
  <c r="I4" i="6"/>
  <c r="H4" i="6"/>
  <c r="E4" i="6"/>
  <c r="D4" i="6"/>
  <c r="C4" i="6"/>
  <c r="A12" i="6"/>
  <c r="E8" i="2"/>
  <c r="E12" i="2"/>
  <c r="E14" i="2"/>
  <c r="B14" i="2"/>
  <c r="B12" i="2"/>
  <c r="E3" i="3" s="1"/>
  <c r="B10" i="2"/>
  <c r="B8" i="2"/>
  <c r="D3" i="4" s="1"/>
  <c r="F4" i="5"/>
  <c r="E4" i="5"/>
  <c r="D4" i="5"/>
  <c r="A12" i="5"/>
  <c r="G14" i="4"/>
  <c r="F6" i="4"/>
  <c r="E5" i="4"/>
  <c r="E3" i="4"/>
  <c r="F6" i="3"/>
  <c r="E5" i="3"/>
  <c r="G14" i="3"/>
  <c r="H12" i="6" l="1"/>
  <c r="J12" i="6"/>
  <c r="I12" i="6"/>
  <c r="D3" i="3"/>
  <c r="A13" i="6"/>
  <c r="A13" i="5"/>
  <c r="D5" i="3"/>
  <c r="D5" i="4"/>
  <c r="A14" i="6" l="1"/>
  <c r="H13" i="6"/>
  <c r="J13" i="6"/>
  <c r="I13" i="6"/>
  <c r="A14" i="5"/>
  <c r="A15" i="6"/>
  <c r="I15" i="6" l="1"/>
  <c r="H15" i="6"/>
  <c r="J15" i="6"/>
  <c r="I14" i="6"/>
  <c r="H14" i="6"/>
  <c r="J14" i="6"/>
  <c r="A15" i="5"/>
  <c r="A16" i="6"/>
  <c r="J16" i="6" l="1"/>
  <c r="I16" i="6"/>
  <c r="H16" i="6"/>
  <c r="A16" i="5"/>
  <c r="A17" i="6"/>
  <c r="J17" i="6" l="1"/>
  <c r="I17" i="6"/>
  <c r="H17" i="6"/>
  <c r="A17" i="5"/>
  <c r="A18" i="6"/>
  <c r="J18" i="6" l="1"/>
  <c r="I18" i="6"/>
  <c r="H18" i="6"/>
  <c r="A18" i="5"/>
  <c r="A19" i="6"/>
  <c r="J19" i="6" l="1"/>
  <c r="I19" i="6"/>
  <c r="H19" i="6"/>
  <c r="A19" i="5"/>
  <c r="A20" i="6"/>
  <c r="H20" i="6" l="1"/>
  <c r="J20" i="6"/>
  <c r="I20" i="6"/>
  <c r="A20" i="5"/>
  <c r="A21" i="6"/>
  <c r="H21" i="6" l="1"/>
  <c r="J21" i="6"/>
  <c r="I21" i="6"/>
  <c r="A21" i="5"/>
  <c r="A22" i="6"/>
  <c r="I22" i="6" l="1"/>
  <c r="H22" i="6"/>
  <c r="J22" i="6"/>
  <c r="A22" i="5"/>
  <c r="A23" i="6"/>
  <c r="I23" i="6" l="1"/>
  <c r="H23" i="6"/>
  <c r="J23" i="6"/>
  <c r="A23" i="5"/>
  <c r="A24" i="6"/>
  <c r="J24" i="6" l="1"/>
  <c r="I24" i="6"/>
  <c r="H24" i="6"/>
  <c r="A24" i="5"/>
  <c r="A25" i="6"/>
  <c r="J25" i="6" l="1"/>
  <c r="I25" i="6"/>
  <c r="H25" i="6"/>
  <c r="A25" i="5"/>
  <c r="A26" i="6"/>
  <c r="J26" i="6" l="1"/>
  <c r="I26" i="6"/>
  <c r="H26" i="6"/>
  <c r="A26" i="5"/>
  <c r="A27" i="6"/>
  <c r="J27" i="6" l="1"/>
  <c r="I27" i="6"/>
  <c r="H27" i="6"/>
  <c r="A27" i="5"/>
  <c r="A28" i="6"/>
  <c r="H28" i="6" l="1"/>
  <c r="J28" i="6"/>
  <c r="I28" i="6"/>
  <c r="A28" i="5"/>
  <c r="A29" i="6"/>
  <c r="H29" i="6" l="1"/>
  <c r="J29" i="6"/>
  <c r="I29" i="6"/>
  <c r="A29" i="5"/>
  <c r="A30" i="6"/>
  <c r="I30" i="6" l="1"/>
  <c r="H30" i="6"/>
  <c r="J30" i="6"/>
  <c r="A30" i="5"/>
  <c r="A31" i="6"/>
  <c r="I31" i="6" l="1"/>
  <c r="H31" i="6"/>
  <c r="J31" i="6"/>
  <c r="A31" i="5"/>
  <c r="A32" i="6"/>
  <c r="J32" i="6" l="1"/>
  <c r="I32" i="6"/>
  <c r="H32" i="6"/>
  <c r="A32" i="5"/>
  <c r="A33" i="6"/>
  <c r="J33" i="6" l="1"/>
  <c r="I33" i="6"/>
  <c r="H33" i="6"/>
  <c r="A33" i="5"/>
  <c r="A34" i="6"/>
  <c r="J34" i="6" l="1"/>
  <c r="I34" i="6"/>
  <c r="H34" i="6"/>
  <c r="A34" i="5"/>
  <c r="A35" i="6"/>
  <c r="J35" i="6" l="1"/>
  <c r="I35" i="6"/>
  <c r="H35" i="6"/>
  <c r="A35" i="5"/>
  <c r="A36" i="6"/>
  <c r="H36" i="6" l="1"/>
  <c r="J36" i="6"/>
  <c r="I36" i="6"/>
  <c r="A36" i="5"/>
  <c r="A37" i="6"/>
  <c r="H37" i="6" l="1"/>
  <c r="J37" i="6"/>
  <c r="I37" i="6"/>
  <c r="A37" i="5"/>
  <c r="A38" i="6"/>
  <c r="I38" i="6" l="1"/>
  <c r="H38" i="6"/>
  <c r="J38" i="6"/>
  <c r="A38" i="5"/>
  <c r="A39" i="6"/>
  <c r="I39" i="6" l="1"/>
  <c r="H39" i="6"/>
  <c r="J39" i="6"/>
  <c r="A39" i="5"/>
  <c r="A40" i="6"/>
  <c r="J40" i="6" l="1"/>
  <c r="I40" i="6"/>
  <c r="H40" i="6"/>
  <c r="A40" i="5"/>
  <c r="A41" i="6"/>
  <c r="J41" i="6" l="1"/>
  <c r="I41" i="6"/>
  <c r="H41" i="6"/>
  <c r="A41" i="5"/>
  <c r="A42" i="6"/>
  <c r="J42" i="6" l="1"/>
  <c r="I42" i="6"/>
  <c r="H42" i="6"/>
  <c r="A42" i="5"/>
  <c r="A43" i="6"/>
  <c r="J43" i="6" l="1"/>
  <c r="I43" i="6"/>
  <c r="H43" i="6"/>
  <c r="A43" i="5"/>
  <c r="A44" i="6"/>
  <c r="H44" i="6" l="1"/>
  <c r="J44" i="6"/>
  <c r="I44" i="6"/>
  <c r="A44" i="5"/>
  <c r="A45" i="6"/>
  <c r="H45" i="6" l="1"/>
  <c r="J45" i="6"/>
  <c r="I45" i="6"/>
  <c r="A45" i="5"/>
  <c r="B27" i="2" l="1"/>
  <c r="E4" i="2" l="1"/>
  <c r="E7" i="2"/>
  <c r="E6" i="2"/>
  <c r="E5" i="2"/>
  <c r="B4" i="2"/>
  <c r="B7" i="2"/>
  <c r="B6" i="2"/>
  <c r="B5" i="2"/>
  <c r="E13" i="2"/>
  <c r="B13" i="2"/>
  <c r="E15" i="2"/>
  <c r="B15" i="2"/>
  <c r="E18" i="2"/>
  <c r="E17" i="2"/>
  <c r="B18" i="2"/>
  <c r="B17" i="2"/>
  <c r="E16" i="2"/>
  <c r="B16" i="2"/>
  <c r="E11" i="2"/>
  <c r="E9" i="2"/>
  <c r="B11" i="2"/>
  <c r="B9" i="2"/>
  <c r="C5" i="4" l="1"/>
  <c r="E15" i="4"/>
  <c r="F3" i="3"/>
  <c r="F3" i="4"/>
  <c r="D4" i="3"/>
  <c r="D4" i="4"/>
  <c r="C6" i="4"/>
  <c r="F15" i="3"/>
  <c r="F15" i="4"/>
  <c r="C6" i="3"/>
  <c r="E6" i="4" a="1"/>
  <c r="E6" i="4" s="1"/>
  <c r="E6" i="3" a="1"/>
  <c r="E6" i="3" s="1"/>
  <c r="C15" i="4"/>
  <c r="C3" i="4"/>
  <c r="C4" i="3"/>
  <c r="D15" i="3"/>
  <c r="D6" i="4"/>
  <c r="D6" i="3"/>
  <c r="C3" i="3"/>
  <c r="C15" i="3"/>
  <c r="D15" i="4"/>
  <c r="C4" i="4"/>
  <c r="E4" i="3"/>
  <c r="E4" i="4"/>
  <c r="F4" i="3"/>
  <c r="F4" i="4"/>
  <c r="F5" i="4" a="1"/>
  <c r="F5" i="4" s="1"/>
  <c r="F5" i="3" a="1"/>
  <c r="F5" i="3" s="1"/>
  <c r="E15" i="3"/>
  <c r="C5" i="3"/>
  <c r="F11" i="5" l="1"/>
  <c r="F11" i="6"/>
  <c r="I11" i="5"/>
  <c r="C16" i="4"/>
  <c r="H11" i="5"/>
  <c r="E16" i="4"/>
  <c r="F16" i="4"/>
  <c r="D16" i="4"/>
  <c r="G15" i="4"/>
  <c r="E11" i="6"/>
  <c r="E11" i="5"/>
  <c r="D11" i="6"/>
  <c r="D11" i="5"/>
  <c r="C11" i="5"/>
  <c r="D16" i="3"/>
  <c r="C11" i="6"/>
  <c r="E16" i="3"/>
  <c r="F16" i="3"/>
  <c r="C16" i="3"/>
  <c r="G15" i="3"/>
  <c r="J11" i="5"/>
  <c r="K11" i="6"/>
  <c r="K11" i="5"/>
  <c r="E12" i="6" l="1"/>
  <c r="E12" i="5"/>
  <c r="D12" i="5"/>
  <c r="D12" i="6"/>
  <c r="D17" i="4"/>
  <c r="C17" i="4"/>
  <c r="H12" i="5"/>
  <c r="E17" i="4"/>
  <c r="F17" i="4"/>
  <c r="G16" i="4"/>
  <c r="I12" i="5"/>
  <c r="K12" i="5"/>
  <c r="K12" i="6"/>
  <c r="C17" i="3"/>
  <c r="G16" i="3"/>
  <c r="F17" i="3"/>
  <c r="D17" i="3"/>
  <c r="C12" i="6"/>
  <c r="E17" i="3"/>
  <c r="C12" i="5"/>
  <c r="J12" i="5"/>
  <c r="F12" i="6"/>
  <c r="F12" i="5"/>
  <c r="D13" i="6" l="1"/>
  <c r="D13" i="5"/>
  <c r="H13" i="5"/>
  <c r="F18" i="4"/>
  <c r="G17" i="4"/>
  <c r="E18" i="4"/>
  <c r="D18" i="4"/>
  <c r="C18" i="4"/>
  <c r="E13" i="6"/>
  <c r="E13" i="5"/>
  <c r="F13" i="6"/>
  <c r="F13" i="5"/>
  <c r="K13" i="5"/>
  <c r="K13" i="6"/>
  <c r="I13" i="5"/>
  <c r="C13" i="6"/>
  <c r="E18" i="3"/>
  <c r="C18" i="3"/>
  <c r="D18" i="3"/>
  <c r="G17" i="3"/>
  <c r="F18" i="3"/>
  <c r="C13" i="5"/>
  <c r="J13" i="5"/>
  <c r="I14" i="5" l="1"/>
  <c r="C14" i="6"/>
  <c r="G18" i="3"/>
  <c r="D19" i="3"/>
  <c r="F19" i="3"/>
  <c r="C19" i="3"/>
  <c r="E19" i="3"/>
  <c r="C14" i="5"/>
  <c r="K14" i="6"/>
  <c r="K14" i="5"/>
  <c r="E14" i="6"/>
  <c r="E14" i="5"/>
  <c r="F14" i="6"/>
  <c r="F14" i="5"/>
  <c r="C19" i="4"/>
  <c r="G18" i="4"/>
  <c r="D19" i="4"/>
  <c r="E19" i="4"/>
  <c r="F19" i="4"/>
  <c r="H14" i="5"/>
  <c r="D14" i="6"/>
  <c r="D14" i="5"/>
  <c r="J14" i="5"/>
  <c r="F15" i="6" l="1"/>
  <c r="F15" i="5"/>
  <c r="I15" i="5"/>
  <c r="K15" i="6"/>
  <c r="K15" i="5"/>
  <c r="J15" i="5"/>
  <c r="D15" i="6"/>
  <c r="D15" i="5"/>
  <c r="E20" i="4"/>
  <c r="D20" i="4"/>
  <c r="C20" i="4"/>
  <c r="H15" i="5"/>
  <c r="G19" i="4"/>
  <c r="F20" i="4"/>
  <c r="E15" i="6"/>
  <c r="E15" i="5"/>
  <c r="C15" i="6"/>
  <c r="E20" i="3"/>
  <c r="D20" i="3"/>
  <c r="G19" i="3"/>
  <c r="C20" i="3"/>
  <c r="F20" i="3"/>
  <c r="C15" i="5"/>
  <c r="F16" i="5" l="1"/>
  <c r="F16" i="6"/>
  <c r="E21" i="4"/>
  <c r="D21" i="4"/>
  <c r="H16" i="5"/>
  <c r="C21" i="4"/>
  <c r="G20" i="4"/>
  <c r="F21" i="4"/>
  <c r="J16" i="5"/>
  <c r="K16" i="6"/>
  <c r="K16" i="5"/>
  <c r="D16" i="6"/>
  <c r="D16" i="5"/>
  <c r="I16" i="5"/>
  <c r="C16" i="6"/>
  <c r="D21" i="3"/>
  <c r="C21" i="3"/>
  <c r="G20" i="3"/>
  <c r="F21" i="3"/>
  <c r="C16" i="5"/>
  <c r="E21" i="3"/>
  <c r="E16" i="6"/>
  <c r="E16" i="5"/>
  <c r="C22" i="4" l="1"/>
  <c r="G21" i="4"/>
  <c r="E22" i="4"/>
  <c r="F22" i="4"/>
  <c r="H17" i="5"/>
  <c r="D22" i="4"/>
  <c r="D17" i="6"/>
  <c r="D17" i="5"/>
  <c r="C17" i="6"/>
  <c r="C17" i="5"/>
  <c r="C22" i="3"/>
  <c r="E22" i="3"/>
  <c r="D22" i="3"/>
  <c r="G21" i="3"/>
  <c r="F22" i="3"/>
  <c r="I17" i="5"/>
  <c r="J17" i="5"/>
  <c r="E17" i="6"/>
  <c r="E17" i="5"/>
  <c r="F17" i="5"/>
  <c r="F17" i="6"/>
  <c r="K17" i="6"/>
  <c r="K17" i="5"/>
  <c r="F18" i="6" l="1"/>
  <c r="F18" i="5"/>
  <c r="D18" i="6"/>
  <c r="D18" i="5"/>
  <c r="E18" i="6"/>
  <c r="E18" i="5"/>
  <c r="K18" i="6"/>
  <c r="K18" i="5"/>
  <c r="C18" i="6"/>
  <c r="G22" i="3"/>
  <c r="C18" i="5"/>
  <c r="D23" i="3"/>
  <c r="F23" i="3"/>
  <c r="C23" i="3"/>
  <c r="E23" i="3"/>
  <c r="J18" i="5"/>
  <c r="I18" i="5"/>
  <c r="F23" i="4"/>
  <c r="G22" i="4"/>
  <c r="H18" i="5"/>
  <c r="D23" i="4"/>
  <c r="E23" i="4"/>
  <c r="C23" i="4"/>
  <c r="F19" i="5" l="1"/>
  <c r="F19" i="6"/>
  <c r="K19" i="6"/>
  <c r="K19" i="5"/>
  <c r="D19" i="6"/>
  <c r="D19" i="5"/>
  <c r="C19" i="6"/>
  <c r="E24" i="3"/>
  <c r="C24" i="3"/>
  <c r="F24" i="3"/>
  <c r="C19" i="5"/>
  <c r="G23" i="3"/>
  <c r="D24" i="3"/>
  <c r="E24" i="4"/>
  <c r="C24" i="4"/>
  <c r="G23" i="4"/>
  <c r="H19" i="5"/>
  <c r="D24" i="4"/>
  <c r="F24" i="4"/>
  <c r="J19" i="5"/>
  <c r="E19" i="6"/>
  <c r="E19" i="5"/>
  <c r="I19" i="5"/>
  <c r="J20" i="5" l="1"/>
  <c r="D20" i="6"/>
  <c r="D20" i="5"/>
  <c r="F25" i="4"/>
  <c r="H20" i="5"/>
  <c r="D25" i="4"/>
  <c r="G24" i="4"/>
  <c r="C25" i="4"/>
  <c r="E25" i="4"/>
  <c r="E20" i="5"/>
  <c r="E20" i="6"/>
  <c r="I20" i="5"/>
  <c r="F20" i="6"/>
  <c r="F20" i="5"/>
  <c r="K20" i="6"/>
  <c r="K20" i="5"/>
  <c r="C20" i="6"/>
  <c r="C20" i="5"/>
  <c r="F25" i="3"/>
  <c r="C25" i="3"/>
  <c r="D25" i="3"/>
  <c r="E25" i="3"/>
  <c r="G24" i="3"/>
  <c r="D21" i="5" l="1"/>
  <c r="D21" i="6"/>
  <c r="I21" i="5"/>
  <c r="K21" i="6"/>
  <c r="K21" i="5"/>
  <c r="F21" i="5"/>
  <c r="F21" i="6"/>
  <c r="J21" i="5"/>
  <c r="C21" i="6"/>
  <c r="C21" i="5"/>
  <c r="E26" i="3"/>
  <c r="C26" i="3"/>
  <c r="F26" i="3"/>
  <c r="D26" i="3"/>
  <c r="G25" i="3"/>
  <c r="E26" i="4"/>
  <c r="D26" i="4"/>
  <c r="C26" i="4"/>
  <c r="H21" i="5"/>
  <c r="G25" i="4"/>
  <c r="F26" i="4"/>
  <c r="E21" i="6"/>
  <c r="E21" i="5"/>
  <c r="D22" i="6" l="1"/>
  <c r="D22" i="5"/>
  <c r="C27" i="3"/>
  <c r="G26" i="3"/>
  <c r="F27" i="3"/>
  <c r="D27" i="3"/>
  <c r="E27" i="3"/>
  <c r="C22" i="6"/>
  <c r="C22" i="5"/>
  <c r="F22" i="6"/>
  <c r="F22" i="5"/>
  <c r="E22" i="6"/>
  <c r="E22" i="5"/>
  <c r="J22" i="5"/>
  <c r="H22" i="5"/>
  <c r="E27" i="4"/>
  <c r="D27" i="4"/>
  <c r="G26" i="4"/>
  <c r="C27" i="4"/>
  <c r="F27" i="4"/>
  <c r="K22" i="6"/>
  <c r="K22" i="5"/>
  <c r="I22" i="5"/>
  <c r="K23" i="6" l="1"/>
  <c r="K23" i="5"/>
  <c r="F23" i="5"/>
  <c r="F23" i="6"/>
  <c r="E23" i="6"/>
  <c r="E23" i="5"/>
  <c r="C23" i="6"/>
  <c r="C23" i="5"/>
  <c r="C28" i="3"/>
  <c r="G27" i="3"/>
  <c r="F28" i="3"/>
  <c r="E28" i="3"/>
  <c r="D28" i="3"/>
  <c r="I23" i="5"/>
  <c r="D23" i="6"/>
  <c r="D23" i="5"/>
  <c r="E28" i="4"/>
  <c r="F28" i="4"/>
  <c r="G27" i="4"/>
  <c r="D28" i="4"/>
  <c r="H23" i="5"/>
  <c r="C28" i="4"/>
  <c r="J23" i="5"/>
  <c r="H24" i="5" l="1"/>
  <c r="E29" i="4"/>
  <c r="D29" i="4"/>
  <c r="C29" i="4"/>
  <c r="G28" i="4"/>
  <c r="F29" i="4"/>
  <c r="I24" i="5"/>
  <c r="K24" i="6"/>
  <c r="K24" i="5"/>
  <c r="E24" i="6"/>
  <c r="E24" i="5"/>
  <c r="J24" i="5"/>
  <c r="F24" i="6"/>
  <c r="F24" i="5"/>
  <c r="D24" i="5"/>
  <c r="D24" i="6"/>
  <c r="C24" i="5"/>
  <c r="C24" i="6"/>
  <c r="C29" i="3"/>
  <c r="D29" i="3"/>
  <c r="G28" i="3"/>
  <c r="F29" i="3"/>
  <c r="E29" i="3"/>
  <c r="G29" i="4" l="1"/>
  <c r="F30" i="4"/>
  <c r="C30" i="4"/>
  <c r="D30" i="4"/>
  <c r="E30" i="4"/>
  <c r="H25" i="5"/>
  <c r="C25" i="6"/>
  <c r="C25" i="5"/>
  <c r="E30" i="3"/>
  <c r="C30" i="3"/>
  <c r="F30" i="3"/>
  <c r="D30" i="3"/>
  <c r="G29" i="3"/>
  <c r="I25" i="5"/>
  <c r="K25" i="6"/>
  <c r="K25" i="5"/>
  <c r="J25" i="5"/>
  <c r="D25" i="6"/>
  <c r="D25" i="5"/>
  <c r="E25" i="6"/>
  <c r="E25" i="5"/>
  <c r="F25" i="5"/>
  <c r="F25" i="6"/>
  <c r="J26" i="5" l="1"/>
  <c r="D26" i="6"/>
  <c r="D26" i="5"/>
  <c r="I26" i="5"/>
  <c r="F31" i="4"/>
  <c r="C31" i="4"/>
  <c r="E31" i="4"/>
  <c r="G30" i="4"/>
  <c r="H26" i="5"/>
  <c r="D31" i="4"/>
  <c r="F26" i="6"/>
  <c r="F26" i="5"/>
  <c r="C26" i="6"/>
  <c r="E31" i="3"/>
  <c r="C31" i="3"/>
  <c r="F31" i="3"/>
  <c r="D31" i="3"/>
  <c r="C26" i="5"/>
  <c r="G30" i="3"/>
  <c r="E26" i="5"/>
  <c r="E26" i="6"/>
  <c r="K26" i="6"/>
  <c r="K26" i="5"/>
  <c r="K27" i="6" l="1"/>
  <c r="K27" i="5"/>
  <c r="D27" i="6"/>
  <c r="D27" i="5"/>
  <c r="I27" i="5"/>
  <c r="F27" i="5"/>
  <c r="F27" i="6"/>
  <c r="C27" i="6"/>
  <c r="C27" i="5"/>
  <c r="F32" i="3"/>
  <c r="C32" i="3"/>
  <c r="E32" i="3"/>
  <c r="D32" i="3"/>
  <c r="G31" i="3"/>
  <c r="J27" i="5"/>
  <c r="E27" i="6"/>
  <c r="E27" i="5"/>
  <c r="H27" i="5"/>
  <c r="C32" i="4"/>
  <c r="D32" i="4"/>
  <c r="E32" i="4"/>
  <c r="F32" i="4"/>
  <c r="G31" i="4"/>
  <c r="K28" i="6" l="1"/>
  <c r="K28" i="5"/>
  <c r="D28" i="5"/>
  <c r="D28" i="6"/>
  <c r="I28" i="5"/>
  <c r="E33" i="4"/>
  <c r="F33" i="4"/>
  <c r="C33" i="4"/>
  <c r="H28" i="5"/>
  <c r="D33" i="4"/>
  <c r="G32" i="4"/>
  <c r="C28" i="6"/>
  <c r="C28" i="5"/>
  <c r="C33" i="3"/>
  <c r="E33" i="3"/>
  <c r="F33" i="3"/>
  <c r="G32" i="3"/>
  <c r="D33" i="3"/>
  <c r="F28" i="6"/>
  <c r="F28" i="5"/>
  <c r="E28" i="6"/>
  <c r="E28" i="5"/>
  <c r="J28" i="5"/>
  <c r="J29" i="5" l="1"/>
  <c r="C29" i="5"/>
  <c r="C34" i="3"/>
  <c r="G33" i="3"/>
  <c r="F34" i="3"/>
  <c r="D34" i="3"/>
  <c r="E34" i="3"/>
  <c r="C29" i="6"/>
  <c r="I29" i="5"/>
  <c r="D29" i="5"/>
  <c r="D29" i="6"/>
  <c r="C34" i="4"/>
  <c r="D34" i="4"/>
  <c r="F34" i="4"/>
  <c r="E34" i="4"/>
  <c r="G33" i="4"/>
  <c r="H29" i="5"/>
  <c r="F29" i="6"/>
  <c r="F29" i="5"/>
  <c r="E29" i="6"/>
  <c r="E29" i="5"/>
  <c r="K29" i="6"/>
  <c r="K29" i="5"/>
  <c r="E30" i="6" l="1"/>
  <c r="E30" i="5"/>
  <c r="F30" i="6"/>
  <c r="F30" i="5"/>
  <c r="H30" i="5"/>
  <c r="G34" i="4"/>
  <c r="F35" i="4"/>
  <c r="E35" i="4"/>
  <c r="C35" i="4"/>
  <c r="D35" i="4"/>
  <c r="I30" i="5"/>
  <c r="J30" i="5"/>
  <c r="D30" i="5"/>
  <c r="D30" i="6"/>
  <c r="C30" i="6"/>
  <c r="C35" i="3"/>
  <c r="F35" i="3"/>
  <c r="E35" i="3"/>
  <c r="G34" i="3"/>
  <c r="C30" i="5"/>
  <c r="D35" i="3"/>
  <c r="K30" i="6"/>
  <c r="K30" i="5"/>
  <c r="D31" i="6" l="1"/>
  <c r="D31" i="5"/>
  <c r="E31" i="5"/>
  <c r="E31" i="6"/>
  <c r="J31" i="5"/>
  <c r="F31" i="6"/>
  <c r="F31" i="5"/>
  <c r="I31" i="5"/>
  <c r="K31" i="6"/>
  <c r="K31" i="5"/>
  <c r="C31" i="6"/>
  <c r="C31" i="5"/>
  <c r="G35" i="3"/>
  <c r="C36" i="3"/>
  <c r="D36" i="3"/>
  <c r="F36" i="3"/>
  <c r="E36" i="3"/>
  <c r="F36" i="4"/>
  <c r="D36" i="4"/>
  <c r="H31" i="5"/>
  <c r="E36" i="4"/>
  <c r="G35" i="4"/>
  <c r="C36" i="4"/>
  <c r="J32" i="5" l="1"/>
  <c r="I32" i="5"/>
  <c r="K32" i="6"/>
  <c r="K32" i="5"/>
  <c r="E32" i="6"/>
  <c r="E32" i="5"/>
  <c r="E37" i="4"/>
  <c r="G36" i="4"/>
  <c r="C37" i="4"/>
  <c r="D37" i="4"/>
  <c r="H32" i="5"/>
  <c r="F37" i="4"/>
  <c r="F32" i="6"/>
  <c r="F32" i="5"/>
  <c r="C32" i="6"/>
  <c r="E37" i="3"/>
  <c r="C32" i="5"/>
  <c r="C37" i="3"/>
  <c r="G36" i="3"/>
  <c r="D37" i="3"/>
  <c r="F37" i="3"/>
  <c r="D32" i="6"/>
  <c r="D32" i="5"/>
  <c r="F33" i="6" l="1"/>
  <c r="F33" i="5"/>
  <c r="I33" i="5"/>
  <c r="D33" i="6"/>
  <c r="D33" i="5"/>
  <c r="E33" i="6"/>
  <c r="E33" i="5"/>
  <c r="K33" i="6"/>
  <c r="K33" i="5"/>
  <c r="D38" i="3"/>
  <c r="E38" i="3"/>
  <c r="F38" i="3"/>
  <c r="C33" i="6"/>
  <c r="C33" i="5"/>
  <c r="C38" i="3"/>
  <c r="G37" i="3"/>
  <c r="C38" i="4"/>
  <c r="H33" i="5"/>
  <c r="D38" i="4"/>
  <c r="E38" i="4"/>
  <c r="G37" i="4"/>
  <c r="F38" i="4"/>
  <c r="J33" i="5"/>
  <c r="C34" i="6" l="1"/>
  <c r="C39" i="3"/>
  <c r="D39" i="3"/>
  <c r="E39" i="3"/>
  <c r="F39" i="3"/>
  <c r="C34" i="5"/>
  <c r="G38" i="3"/>
  <c r="K34" i="6"/>
  <c r="K34" i="5"/>
  <c r="J34" i="5"/>
  <c r="F34" i="6"/>
  <c r="F34" i="5"/>
  <c r="D34" i="6"/>
  <c r="D34" i="5"/>
  <c r="I34" i="5"/>
  <c r="H34" i="5"/>
  <c r="D39" i="4"/>
  <c r="E39" i="4"/>
  <c r="F39" i="4"/>
  <c r="G38" i="4"/>
  <c r="C39" i="4"/>
  <c r="E34" i="6"/>
  <c r="E34" i="5"/>
  <c r="J35" i="5" l="1"/>
  <c r="J6" i="5" s="1"/>
  <c r="I35" i="5"/>
  <c r="I6" i="5" s="1"/>
  <c r="E35" i="6"/>
  <c r="E35" i="5"/>
  <c r="E6" i="5" s="1"/>
  <c r="K35" i="6"/>
  <c r="K35" i="5"/>
  <c r="F35" i="6"/>
  <c r="F35" i="5"/>
  <c r="D35" i="6"/>
  <c r="D35" i="5"/>
  <c r="D6" i="5" s="1"/>
  <c r="F40" i="4"/>
  <c r="G39" i="4"/>
  <c r="H35" i="5"/>
  <c r="H6" i="5" s="1"/>
  <c r="C40" i="4"/>
  <c r="D40" i="4"/>
  <c r="E40" i="4"/>
  <c r="C35" i="6"/>
  <c r="F40" i="3"/>
  <c r="G39" i="3"/>
  <c r="C35" i="5"/>
  <c r="C6" i="5" s="1"/>
  <c r="E40" i="3"/>
  <c r="D40" i="3"/>
  <c r="C40" i="3"/>
  <c r="F36" i="6" l="1"/>
  <c r="F36" i="5"/>
  <c r="K36" i="6"/>
  <c r="K36" i="5"/>
  <c r="J36" i="5"/>
  <c r="I36" i="5"/>
  <c r="E36" i="6"/>
  <c r="E36" i="5"/>
  <c r="C36" i="6"/>
  <c r="C41" i="3"/>
  <c r="D41" i="3"/>
  <c r="G40" i="3"/>
  <c r="F41" i="3"/>
  <c r="E41" i="3"/>
  <c r="C36" i="5"/>
  <c r="D36" i="6"/>
  <c r="D36" i="5"/>
  <c r="E41" i="4"/>
  <c r="G40" i="4"/>
  <c r="H36" i="5"/>
  <c r="F41" i="4"/>
  <c r="C41" i="4"/>
  <c r="D41" i="4"/>
  <c r="J37" i="5" l="1"/>
  <c r="D37" i="6"/>
  <c r="D37" i="5"/>
  <c r="I37" i="5"/>
  <c r="F37" i="6"/>
  <c r="F37" i="5"/>
  <c r="C37" i="6"/>
  <c r="C42" i="3"/>
  <c r="G41" i="3"/>
  <c r="F42" i="3"/>
  <c r="E42" i="3"/>
  <c r="D42" i="3"/>
  <c r="C37" i="5"/>
  <c r="G41" i="4"/>
  <c r="H37" i="5"/>
  <c r="D42" i="4"/>
  <c r="F42" i="4"/>
  <c r="C42" i="4"/>
  <c r="E42" i="4"/>
  <c r="K37" i="6"/>
  <c r="K37" i="5"/>
  <c r="E37" i="6"/>
  <c r="E37" i="5"/>
  <c r="D38" i="6" l="1"/>
  <c r="D38" i="5"/>
  <c r="E38" i="6"/>
  <c r="E38" i="5"/>
  <c r="F43" i="4"/>
  <c r="H38" i="5"/>
  <c r="C43" i="4"/>
  <c r="D43" i="4"/>
  <c r="G42" i="4"/>
  <c r="E43" i="4"/>
  <c r="K38" i="6"/>
  <c r="K38" i="5"/>
  <c r="J38" i="5"/>
  <c r="I38" i="5"/>
  <c r="F38" i="6"/>
  <c r="F38" i="5"/>
  <c r="C38" i="6"/>
  <c r="C43" i="3"/>
  <c r="F43" i="3"/>
  <c r="D43" i="3"/>
  <c r="E43" i="3"/>
  <c r="G42" i="3"/>
  <c r="C38" i="5"/>
  <c r="F44" i="4" l="1"/>
  <c r="C44" i="4"/>
  <c r="E44" i="4"/>
  <c r="D44" i="4"/>
  <c r="G43" i="4"/>
  <c r="H39" i="5"/>
  <c r="D39" i="6"/>
  <c r="D39" i="5"/>
  <c r="C39" i="6"/>
  <c r="D44" i="3"/>
  <c r="F44" i="3"/>
  <c r="C39" i="5"/>
  <c r="E44" i="3"/>
  <c r="G43" i="3"/>
  <c r="C44" i="3"/>
  <c r="F39" i="6"/>
  <c r="F39" i="5"/>
  <c r="K39" i="6"/>
  <c r="K39" i="5"/>
  <c r="J39" i="5"/>
  <c r="E39" i="6"/>
  <c r="E39" i="5"/>
  <c r="I39" i="5"/>
  <c r="C40" i="6" l="1"/>
  <c r="D45" i="3"/>
  <c r="F45" i="3"/>
  <c r="C45" i="3"/>
  <c r="G44" i="3"/>
  <c r="E45" i="3"/>
  <c r="C40" i="5"/>
  <c r="E40" i="6"/>
  <c r="E40" i="5"/>
  <c r="I40" i="5"/>
  <c r="D40" i="6"/>
  <c r="D40" i="5"/>
  <c r="J40" i="5"/>
  <c r="F40" i="6"/>
  <c r="F40" i="5"/>
  <c r="C45" i="4"/>
  <c r="E45" i="4"/>
  <c r="G44" i="4"/>
  <c r="F45" i="4"/>
  <c r="H40" i="5"/>
  <c r="D45" i="4"/>
  <c r="K40" i="6"/>
  <c r="K40" i="5"/>
  <c r="K41" i="6" l="1"/>
  <c r="K41" i="5"/>
  <c r="C41" i="6"/>
  <c r="C41" i="5"/>
  <c r="D46" i="3"/>
  <c r="G45" i="3"/>
  <c r="F46" i="3"/>
  <c r="E46" i="3"/>
  <c r="C46" i="3"/>
  <c r="F41" i="6"/>
  <c r="F41" i="5"/>
  <c r="I41" i="5"/>
  <c r="E46" i="4"/>
  <c r="H41" i="5"/>
  <c r="G45" i="4"/>
  <c r="C46" i="4"/>
  <c r="F46" i="4"/>
  <c r="D46" i="4"/>
  <c r="D41" i="6"/>
  <c r="D41" i="5"/>
  <c r="E41" i="6"/>
  <c r="E41" i="5"/>
  <c r="J41" i="5"/>
  <c r="F42" i="6" l="1"/>
  <c r="F42" i="5"/>
  <c r="J42" i="5"/>
  <c r="D42" i="6"/>
  <c r="D42" i="5"/>
  <c r="I42" i="5"/>
  <c r="E42" i="6"/>
  <c r="E42" i="5"/>
  <c r="K42" i="6"/>
  <c r="K42" i="5"/>
  <c r="F47" i="4"/>
  <c r="C47" i="4"/>
  <c r="E47" i="4"/>
  <c r="D47" i="4"/>
  <c r="H42" i="5"/>
  <c r="G46" i="4"/>
  <c r="C42" i="6"/>
  <c r="C47" i="3"/>
  <c r="F47" i="3"/>
  <c r="G46" i="3"/>
  <c r="D47" i="3"/>
  <c r="C42" i="5"/>
  <c r="E47" i="3"/>
  <c r="D43" i="6" l="1"/>
  <c r="D43" i="5"/>
  <c r="K43" i="6"/>
  <c r="K43" i="5"/>
  <c r="C43" i="6"/>
  <c r="C43" i="5"/>
  <c r="D48" i="3"/>
  <c r="G47" i="3"/>
  <c r="C48" i="3"/>
  <c r="F48" i="3"/>
  <c r="E48" i="3"/>
  <c r="E48" i="4"/>
  <c r="F48" i="4"/>
  <c r="C48" i="4"/>
  <c r="D48" i="4"/>
  <c r="H43" i="5"/>
  <c r="G47" i="4"/>
  <c r="E43" i="6"/>
  <c r="E43" i="5"/>
  <c r="J43" i="5"/>
  <c r="F43" i="6"/>
  <c r="F43" i="5"/>
  <c r="I43" i="5"/>
  <c r="H44" i="5" l="1"/>
  <c r="D49" i="4"/>
  <c r="F49" i="4"/>
  <c r="C49" i="4"/>
  <c r="E49" i="4"/>
  <c r="G48" i="4"/>
  <c r="D44" i="6"/>
  <c r="D44" i="5"/>
  <c r="J44" i="5"/>
  <c r="I44" i="5"/>
  <c r="E44" i="6"/>
  <c r="E44" i="5"/>
  <c r="F44" i="6"/>
  <c r="F44" i="5"/>
  <c r="K44" i="6"/>
  <c r="K44" i="5"/>
  <c r="C44" i="6"/>
  <c r="C44" i="5"/>
  <c r="E49" i="3"/>
  <c r="G48" i="3"/>
  <c r="C49" i="3"/>
  <c r="D49" i="3"/>
  <c r="F49" i="3"/>
  <c r="C11" i="3" l="1"/>
  <c r="C45" i="5"/>
  <c r="C45" i="6"/>
  <c r="C6" i="6" s="1"/>
  <c r="G49" i="3"/>
  <c r="G11" i="3" s="1"/>
  <c r="J6" i="6"/>
  <c r="J45" i="5"/>
  <c r="E11" i="4"/>
  <c r="H6" i="6"/>
  <c r="G49" i="4"/>
  <c r="G11" i="4" s="1"/>
  <c r="H45" i="5"/>
  <c r="C11" i="4"/>
  <c r="E45" i="6"/>
  <c r="E6" i="6" s="1"/>
  <c r="E45" i="5"/>
  <c r="E11" i="3"/>
  <c r="F45" i="6"/>
  <c r="F6" i="6" s="1"/>
  <c r="F45" i="5"/>
  <c r="F6" i="5" s="1"/>
  <c r="G6" i="5" s="1"/>
  <c r="B3" i="7" s="1"/>
  <c r="F11" i="3"/>
  <c r="I45" i="5"/>
  <c r="I6" i="6"/>
  <c r="D11" i="4"/>
  <c r="F11" i="4"/>
  <c r="K45" i="5"/>
  <c r="K6" i="5" s="1"/>
  <c r="L6" i="5" s="1"/>
  <c r="D3" i="7" s="1"/>
  <c r="K45" i="6"/>
  <c r="K6" i="6" s="1"/>
  <c r="D45" i="6"/>
  <c r="D6" i="6" s="1"/>
  <c r="D45" i="5"/>
  <c r="D11" i="3"/>
  <c r="F3" i="7" l="1"/>
  <c r="L6" i="6"/>
  <c r="C3" i="7" s="1"/>
  <c r="G6" i="6"/>
  <c r="A3" i="7" s="1"/>
  <c r="E3" i="7" l="1"/>
  <c r="G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<sst xmlns="http://schemas.openxmlformats.org/spreadsheetml/2006/main" count="151" uniqueCount="66">
  <si>
    <t>PROBABILIDADES</t>
  </si>
  <si>
    <t>Psansan</t>
  </si>
  <si>
    <t>Psanlev</t>
  </si>
  <si>
    <t>Psancieg</t>
  </si>
  <si>
    <t>Plevlev</t>
  </si>
  <si>
    <t>Plevsan</t>
  </si>
  <si>
    <t>Plevcieg</t>
  </si>
  <si>
    <t>Pciegcieg</t>
  </si>
  <si>
    <t>Plevavan</t>
  </si>
  <si>
    <t>Psanavan</t>
  </si>
  <si>
    <t>Pavansan</t>
  </si>
  <si>
    <t>Pavanlev</t>
  </si>
  <si>
    <t>Pavanavan</t>
  </si>
  <si>
    <t>Pavancieg</t>
  </si>
  <si>
    <t>Pciegsan</t>
  </si>
  <si>
    <t>Pcieglev</t>
  </si>
  <si>
    <t>Pciegavan</t>
  </si>
  <si>
    <r>
      <t xml:space="preserve">ALTERNATIVA 2 </t>
    </r>
    <r>
      <rPr>
        <sz val="9"/>
        <color theme="1"/>
        <rFont val="Aptos Narrow"/>
        <family val="2"/>
        <scheme val="minor"/>
      </rPr>
      <t>(con)</t>
    </r>
  </si>
  <si>
    <r>
      <t xml:space="preserve">ALTERNATIVA 1 </t>
    </r>
    <r>
      <rPr>
        <sz val="9"/>
        <color theme="1"/>
        <rFont val="Aptos Narrow"/>
        <family val="2"/>
        <scheme val="minor"/>
      </rPr>
      <t>(sin)</t>
    </r>
  </si>
  <si>
    <t>COSTES TRANSICION</t>
  </si>
  <si>
    <t>PARAMETROS COMUNES</t>
  </si>
  <si>
    <t>COSTES ESTADO</t>
  </si>
  <si>
    <t>UTILIDADES</t>
  </si>
  <si>
    <t>Descuento</t>
  </si>
  <si>
    <t>Ctto1</t>
  </si>
  <si>
    <t>Ctto2</t>
  </si>
  <si>
    <t>Csan</t>
  </si>
  <si>
    <t>Clev</t>
  </si>
  <si>
    <t>Cavan</t>
  </si>
  <si>
    <t>Ccieg</t>
  </si>
  <si>
    <t>Usan</t>
  </si>
  <si>
    <t>Ulev</t>
  </si>
  <si>
    <t>Uavan</t>
  </si>
  <si>
    <t>Ucieg</t>
  </si>
  <si>
    <t>Vector inicial</t>
  </si>
  <si>
    <t>ciclo</t>
  </si>
  <si>
    <t>Sano</t>
  </si>
  <si>
    <t>Galucoma
Leve</t>
  </si>
  <si>
    <t>Galucoma
Moderado &amp; Severo</t>
  </si>
  <si>
    <t>Ceguera</t>
  </si>
  <si>
    <t>Glaucoma
Leve</t>
  </si>
  <si>
    <t>Glaucoma
Moderado &amp; Severo</t>
  </si>
  <si>
    <t>Mantienen visión Ciclo</t>
  </si>
  <si>
    <t>Alternativa 1</t>
  </si>
  <si>
    <t>Alternativa 2</t>
  </si>
  <si>
    <t>Utilidad</t>
  </si>
  <si>
    <t>suma</t>
  </si>
  <si>
    <t>Cegeura</t>
  </si>
  <si>
    <t>Glaucoma
Avanzado &amp; Severo</t>
  </si>
  <si>
    <t>Coste</t>
  </si>
  <si>
    <t>Estado</t>
  </si>
  <si>
    <t>Transición</t>
  </si>
  <si>
    <t>Galucoma
Avanzado &amp; Severo</t>
  </si>
  <si>
    <t xml:space="preserve">      Alternativa 1</t>
  </si>
  <si>
    <t xml:space="preserve">     Alternativa 2</t>
  </si>
  <si>
    <t>Efectividad</t>
  </si>
  <si>
    <t>Mant. visión total</t>
  </si>
  <si>
    <t>Psansan2</t>
  </si>
  <si>
    <t>Psanlev2</t>
  </si>
  <si>
    <t>Psanavan2</t>
  </si>
  <si>
    <t>CCEI</t>
  </si>
  <si>
    <t>Coste Incremental</t>
  </si>
  <si>
    <t>Efectividad Incremental</t>
  </si>
  <si>
    <t>Csan2</t>
  </si>
  <si>
    <t>Clev2</t>
  </si>
  <si>
    <t>Cavan2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</si>
</sst>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€&quot;;[Red]\-#,##0\ &quot;€&quot;"/>
    <numFmt numFmtId="164" formatCode="#,##0.0"/>
    <numFmt numFmtId="165" formatCode="0.000"/>
    <numFmt numFmtId="166" formatCode="0.00000"/>
    <numFmt numFmtId="167" formatCode="#,##0\ &quot;€&quot;"/>
    <numFmt numFmtId="168" formatCode="#,##0.00\ &quot;€&quot;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149717</xdr:colOff>
      <xdr:row>0</xdr:row>
      <xdr:rowOff>174351</xdr:rowOff>
    </xdr:from>
    <xdr:to>
      <xdr:col>25</xdr:col>
      <xdr:colOff>186733</xdr:colOff>
      <xdr:row>29</xdr:row>
      <xdr:rowOff>182289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620B7D67-5DEB-8C81-A451-87078CCE2CED}"/>
            </a:ext>
          </a:extLst>
        </xdr:cNvPr>
        <xdr:cNvGrpSpPr/>
      </xdr:nvGrpSpPr>
      <xdr:grpSpPr>
        <a:xfrm>
          <a:off x="933488" y="174351"/>
          <a:ext cx="18847531" cy="5374595"/>
          <a:chOff x="1069373" y="682351"/>
          <a:chExt cx="18955637" cy="5341938"/>
        </a:xfrm>
      </xdr:grpSpPr>
      <xdr:sp macro="" textlink="">
        <xdr:nvSpPr>
          <xdr:cNvPr id="19" name="CuadroTexto 1">
            <a:extLst>
              <a:ext uri="{FF2B5EF4-FFF2-40B4-BE49-F238E27FC236}">
                <a16:creationId xmlns:a16="http://schemas.microsoft.com/office/drawing/2014/main" id="{DE86EEC7-61B7-566B-DE32-8A90752C4A1A}"/>
              </a:ext>
            </a:extLst>
          </xdr:cNvPr>
          <xdr:cNvSpPr txBox="1"/>
        </xdr:nvSpPr>
        <xdr:spPr>
          <a:xfrm>
            <a:off x="1069373" y="682351"/>
            <a:ext cx="18955637" cy="5341938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endParaRPr lang="en-US" sz="1100">
              <a:solidFill>
                <a:schemeClr val="dk1"/>
              </a:solidFill>
              <a:latin typeface="+mn-lt"/>
              <a:ea typeface="+mn-lt"/>
              <a:cs typeface="+mn-lt"/>
            </a:endParaRPr>
          </a:p>
        </xdr:txBody>
      </xdr:sp>
      <xdr:sp macro="" textlink="">
        <xdr:nvSpPr>
          <xdr:cNvPr id="9" name="Rectángulo: esquinas redondeadas 8">
            <a:extLst>
              <a:ext uri="{FF2B5EF4-FFF2-40B4-BE49-F238E27FC236}">
                <a16:creationId xmlns:a16="http://schemas.microsoft.com/office/drawing/2014/main" id="{F6A5079B-76D0-C283-A05E-104237184727}"/>
              </a:ext>
            </a:extLst>
          </xdr:cNvPr>
          <xdr:cNvSpPr/>
        </xdr:nvSpPr>
        <xdr:spPr>
          <a:xfrm>
            <a:off x="1543926" y="3431409"/>
            <a:ext cx="1284452" cy="348812"/>
          </a:xfrm>
          <a:prstGeom prst="round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/>
              <a:t>Atención</a:t>
            </a:r>
            <a:r>
              <a:rPr lang="es-ES" sz="1100" baseline="0"/>
              <a:t> primaria</a:t>
            </a:r>
            <a:endParaRPr lang="es-ES" sz="1100"/>
          </a:p>
        </xdr:txBody>
      </xdr: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0F9CD611-8545-7F27-330C-A2492F6D3C7C}"/>
              </a:ext>
            </a:extLst>
          </xdr:cNvPr>
          <xdr:cNvCxnSpPr>
            <a:stCxn id="9" idx="3"/>
            <a:endCxn id="12" idx="1"/>
          </xdr:cNvCxnSpPr>
        </xdr:nvCxnSpPr>
        <xdr:spPr>
          <a:xfrm flipV="1">
            <a:off x="2828378" y="3602640"/>
            <a:ext cx="864475" cy="3175"/>
          </a:xfrm>
          <a:prstGeom prst="straightConnector1">
            <a:avLst/>
          </a:prstGeom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ADB68154-C1DF-4906-86A4-7E5DB1817D38}"/>
              </a:ext>
            </a:extLst>
          </xdr:cNvPr>
          <xdr:cNvSpPr/>
        </xdr:nvSpPr>
        <xdr:spPr>
          <a:xfrm>
            <a:off x="3692853" y="3355209"/>
            <a:ext cx="1627352" cy="494862"/>
          </a:xfrm>
          <a:prstGeom prst="round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/>
              <a:t>Derivación</a:t>
            </a:r>
            <a:r>
              <a:rPr lang="es-ES" sz="1100" baseline="0"/>
              <a:t> a un centro especializado</a:t>
            </a:r>
            <a:endParaRPr lang="es-ES" sz="1100"/>
          </a:p>
        </xdr:txBody>
      </xdr:sp>
      <xdr:cxnSp macro="">
        <xdr:nvCxnSpPr>
          <xdr:cNvPr id="13" name="Conector recto 14">
            <a:extLst>
              <a:ext uri="{FF2B5EF4-FFF2-40B4-BE49-F238E27FC236}">
                <a16:creationId xmlns:a16="http://schemas.microsoft.com/office/drawing/2014/main" id="{14553B20-7CBF-B408-5CDE-97A9DDA95B71}"/>
              </a:ext>
            </a:extLst>
          </xdr:cNvPr>
          <xdr:cNvCxnSpPr/>
        </xdr:nvCxnSpPr>
        <xdr:spPr>
          <a:xfrm flipH="1" flipV="1">
            <a:off x="3184853" y="3196678"/>
            <a:ext cx="6350" cy="39961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ángulo 15">
            <a:extLst>
              <a:ext uri="{FF2B5EF4-FFF2-40B4-BE49-F238E27FC236}">
                <a16:creationId xmlns:a16="http://schemas.microsoft.com/office/drawing/2014/main" id="{9D64A398-5573-6122-2D85-700B2C1C72CB}"/>
              </a:ext>
            </a:extLst>
          </xdr:cNvPr>
          <xdr:cNvSpPr/>
        </xdr:nvSpPr>
        <xdr:spPr>
          <a:xfrm>
            <a:off x="2417279" y="2730358"/>
            <a:ext cx="1576551" cy="45654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Examen oftalmológico completo</a:t>
            </a:r>
          </a:p>
        </xdr:txBody>
      </xdr:sp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E9AB8F59-5B5D-B3E3-E348-A0336D6D3AA3}"/>
              </a:ext>
            </a:extLst>
          </xdr:cNvPr>
          <xdr:cNvCxnSpPr>
            <a:stCxn id="12" idx="3"/>
            <a:endCxn id="51" idx="1"/>
          </xdr:cNvCxnSpPr>
        </xdr:nvCxnSpPr>
        <xdr:spPr>
          <a:xfrm flipV="1">
            <a:off x="5320205" y="3597504"/>
            <a:ext cx="758022" cy="5136"/>
          </a:xfrm>
          <a:prstGeom prst="straightConnector1">
            <a:avLst/>
          </a:prstGeom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6" name="Rectángulo 20">
            <a:extLst>
              <a:ext uri="{FF2B5EF4-FFF2-40B4-BE49-F238E27FC236}">
                <a16:creationId xmlns:a16="http://schemas.microsoft.com/office/drawing/2014/main" id="{A069F7AE-1228-20F9-5541-C38023D9825B}"/>
              </a:ext>
            </a:extLst>
          </xdr:cNvPr>
          <xdr:cNvSpPr/>
        </xdr:nvSpPr>
        <xdr:spPr>
          <a:xfrm>
            <a:off x="9983628" y="3737226"/>
            <a:ext cx="2183666" cy="1283594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Lámpara de hendidura</a:t>
            </a:r>
          </a:p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Tonometría</a:t>
            </a:r>
          </a:p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Gonioscopia</a:t>
            </a:r>
          </a:p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Examen</a:t>
            </a:r>
            <a:r>
              <a:rPr lang="es-ES" sz="1100" baseline="0">
                <a:solidFill>
                  <a:sysClr val="windowText" lastClr="000000"/>
                </a:solidFill>
              </a:rPr>
              <a:t> de nervio óptico</a:t>
            </a:r>
          </a:p>
          <a:p>
            <a:pPr algn="l"/>
            <a:r>
              <a:rPr lang="es-ES" sz="1100" baseline="0">
                <a:solidFill>
                  <a:sysClr val="windowText" lastClr="000000"/>
                </a:solidFill>
              </a:rPr>
              <a:t>- Paquimetría</a:t>
            </a:r>
          </a:p>
          <a:p>
            <a:pPr algn="l"/>
            <a:r>
              <a:rPr lang="es-ES" sz="1100" baseline="0">
                <a:solidFill>
                  <a:sysClr val="windowText" lastClr="000000"/>
                </a:solidFill>
              </a:rPr>
              <a:t>- Tomografía de coherencia óptica</a:t>
            </a:r>
          </a:p>
          <a:p>
            <a:pPr algn="l"/>
            <a:r>
              <a:rPr lang="es-ES" sz="1100" baseline="0">
                <a:solidFill>
                  <a:sysClr val="windowText" lastClr="000000"/>
                </a:solidFill>
              </a:rPr>
              <a:t>- Campimetría</a:t>
            </a:r>
            <a:r>
              <a:rPr lang="es-ES" sz="1100">
                <a:solidFill>
                  <a:sysClr val="windowText" lastClr="000000"/>
                </a:solidFill>
              </a:rPr>
              <a:t> </a:t>
            </a:r>
          </a:p>
        </xdr:txBody>
      </xdr:sp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5F16762C-90E3-4AE6-B4A7-43AB49AD6641}"/>
              </a:ext>
            </a:extLst>
          </xdr:cNvPr>
          <xdr:cNvCxnSpPr/>
        </xdr:nvCxnSpPr>
        <xdr:spPr>
          <a:xfrm flipV="1">
            <a:off x="2154402" y="3786571"/>
            <a:ext cx="0" cy="29166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Rectángulo 23">
            <a:extLst>
              <a:ext uri="{FF2B5EF4-FFF2-40B4-BE49-F238E27FC236}">
                <a16:creationId xmlns:a16="http://schemas.microsoft.com/office/drawing/2014/main" id="{5318432F-8E38-412C-BE01-3132D6C47992}"/>
              </a:ext>
            </a:extLst>
          </xdr:cNvPr>
          <xdr:cNvSpPr/>
        </xdr:nvSpPr>
        <xdr:spPr>
          <a:xfrm>
            <a:off x="1132686" y="4084772"/>
            <a:ext cx="2058140" cy="45676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Sospecha de glaucoma ocular.</a:t>
            </a:r>
          </a:p>
          <a:p>
            <a:pPr algn="l"/>
            <a:r>
              <a:rPr lang="es-ES" sz="1100">
                <a:solidFill>
                  <a:sysClr val="windowText" lastClr="000000"/>
                </a:solidFill>
              </a:rPr>
              <a:t>- Precio: </a:t>
            </a:r>
            <a:r>
              <a:rPr lang="es-ES" sz="1100">
                <a:solidFill>
                  <a:sysClr val="windowText" lastClr="000000"/>
                </a:solidFill>
                <a:sym typeface="Symbol" panose="05050102010706020507" pitchFamily="18" charset="2"/>
              </a:rPr>
              <a:t> 50€/consulta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5" name="Conector recto 154">
            <a:extLst>
              <a:ext uri="{FF2B5EF4-FFF2-40B4-BE49-F238E27FC236}">
                <a16:creationId xmlns:a16="http://schemas.microsoft.com/office/drawing/2014/main" id="{3C5A92F6-95B3-4A74-9C46-B4BFD95A0CC4}"/>
              </a:ext>
            </a:extLst>
          </xdr:cNvPr>
          <xdr:cNvCxnSpPr/>
        </xdr:nvCxnSpPr>
        <xdr:spPr>
          <a:xfrm flipV="1">
            <a:off x="4500933" y="3835799"/>
            <a:ext cx="0" cy="146209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ángulo 155">
            <a:extLst>
              <a:ext uri="{FF2B5EF4-FFF2-40B4-BE49-F238E27FC236}">
                <a16:creationId xmlns:a16="http://schemas.microsoft.com/office/drawing/2014/main" id="{24586D86-6162-4C20-968B-9ADBA98D34DE}"/>
              </a:ext>
            </a:extLst>
          </xdr:cNvPr>
          <xdr:cNvSpPr/>
        </xdr:nvSpPr>
        <xdr:spPr>
          <a:xfrm>
            <a:off x="3813379" y="3990370"/>
            <a:ext cx="1375237" cy="45836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Examenes rutinarios oftalmológicos</a:t>
            </a:r>
          </a:p>
        </xdr:txBody>
      </xdr:sp>
      <xdr:cxnSp macro="">
        <xdr:nvCxnSpPr>
          <xdr:cNvPr id="5" name="Conector recto 156">
            <a:extLst>
              <a:ext uri="{FF2B5EF4-FFF2-40B4-BE49-F238E27FC236}">
                <a16:creationId xmlns:a16="http://schemas.microsoft.com/office/drawing/2014/main" id="{09CED27C-D45C-4132-AC2E-676A0253DF47}"/>
              </a:ext>
            </a:extLst>
          </xdr:cNvPr>
          <xdr:cNvCxnSpPr/>
        </xdr:nvCxnSpPr>
        <xdr:spPr>
          <a:xfrm flipV="1">
            <a:off x="4513508" y="4445780"/>
            <a:ext cx="1" cy="20908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" name="Rectángulo 155">
            <a:extLst>
              <a:ext uri="{FF2B5EF4-FFF2-40B4-BE49-F238E27FC236}">
                <a16:creationId xmlns:a16="http://schemas.microsoft.com/office/drawing/2014/main" id="{38105F48-235A-4B3D-9567-B0F542E207A1}"/>
              </a:ext>
            </a:extLst>
          </xdr:cNvPr>
          <xdr:cNvSpPr/>
        </xdr:nvSpPr>
        <xdr:spPr>
          <a:xfrm>
            <a:off x="3486320" y="4654859"/>
            <a:ext cx="2157353" cy="608378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Otros</a:t>
            </a:r>
            <a:r>
              <a:rPr lang="es-ES" sz="1100" baseline="0">
                <a:solidFill>
                  <a:sysClr val="windowText" lastClr="000000"/>
                </a:solidFill>
              </a:rPr>
              <a:t> problemas oculares, antecedentes familiares... Gran prevalencia a sufrir glaucoma.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81DE2ACD-2B0E-F1D9-B667-6B79D73D6970}"/>
              </a:ext>
            </a:extLst>
          </xdr:cNvPr>
          <xdr:cNvGrpSpPr/>
        </xdr:nvGrpSpPr>
        <xdr:grpSpPr>
          <a:xfrm>
            <a:off x="13300178" y="1772563"/>
            <a:ext cx="6131011" cy="3178474"/>
            <a:chOff x="6376894" y="1673384"/>
            <a:chExt cx="6100097" cy="3093766"/>
          </a:xfrm>
        </xdr:grpSpPr>
        <xdr:cxnSp macro="">
          <xdr:nvCxnSpPr>
            <xdr:cNvPr id="34" name="Conector recto de flecha 87">
              <a:extLst>
                <a:ext uri="{FF2B5EF4-FFF2-40B4-BE49-F238E27FC236}">
                  <a16:creationId xmlns:a16="http://schemas.microsoft.com/office/drawing/2014/main" id="{9B60E83A-28B8-1EA1-B18F-C2DC7A9AC766}"/>
                </a:ext>
              </a:extLst>
            </xdr:cNvPr>
            <xdr:cNvCxnSpPr/>
          </xdr:nvCxnSpPr>
          <xdr:spPr>
            <a:xfrm>
              <a:off x="9671217" y="1785036"/>
              <a:ext cx="57150" cy="109444"/>
            </a:xfrm>
            <a:prstGeom prst="straightConnector1">
              <a:avLst/>
            </a:prstGeom>
            <a:ln w="1905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80A1590-D1B2-B858-C428-D8DF9A35668D}"/>
                </a:ext>
              </a:extLst>
            </xdr:cNvPr>
            <xdr:cNvGrpSpPr/>
          </xdr:nvGrpSpPr>
          <xdr:grpSpPr>
            <a:xfrm>
              <a:off x="6376894" y="1673384"/>
              <a:ext cx="6100097" cy="3093766"/>
              <a:chOff x="6376894" y="1673384"/>
              <a:chExt cx="6100097" cy="3093766"/>
            </a:xfrm>
          </xdr:grpSpPr>
          <xdr:sp macro="" textlink="">
            <xdr:nvSpPr>
              <xdr:cNvPr id="26" name="Rectángulo: esquinas redondeadas 25">
                <a:extLst>
                  <a:ext uri="{FF2B5EF4-FFF2-40B4-BE49-F238E27FC236}">
                    <a16:creationId xmlns:a16="http://schemas.microsoft.com/office/drawing/2014/main" id="{DAC06069-F187-4667-8BB6-33718D7C401F}"/>
                  </a:ext>
                </a:extLst>
              </xdr:cNvPr>
              <xdr:cNvSpPr/>
            </xdr:nvSpPr>
            <xdr:spPr>
              <a:xfrm>
                <a:off x="6376894" y="3309844"/>
                <a:ext cx="1044762" cy="339538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Diagnóstico</a:t>
                </a:r>
              </a:p>
            </xdr:txBody>
          </xdr:sp>
          <xdr:cxnSp macro="">
            <xdr:nvCxnSpPr>
              <xdr:cNvPr id="28" name="Conector recto de flecha 27">
                <a:extLst>
                  <a:ext uri="{FF2B5EF4-FFF2-40B4-BE49-F238E27FC236}">
                    <a16:creationId xmlns:a16="http://schemas.microsoft.com/office/drawing/2014/main" id="{0406AE42-2375-408F-A2E4-2245889F899A}"/>
                  </a:ext>
                </a:extLst>
              </xdr:cNvPr>
              <xdr:cNvCxnSpPr/>
            </xdr:nvCxnSpPr>
            <xdr:spPr>
              <a:xfrm flipV="1">
                <a:off x="7389906" y="2343398"/>
                <a:ext cx="1120647" cy="972796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Conector recto de flecha 30">
                <a:extLst>
                  <a:ext uri="{FF2B5EF4-FFF2-40B4-BE49-F238E27FC236}">
                    <a16:creationId xmlns:a16="http://schemas.microsoft.com/office/drawing/2014/main" id="{CDED6B01-B8CD-4F84-9E8F-384AEE411B26}"/>
                  </a:ext>
                </a:extLst>
              </xdr:cNvPr>
              <xdr:cNvCxnSpPr/>
            </xdr:nvCxnSpPr>
            <xdr:spPr>
              <a:xfrm flipV="1">
                <a:off x="7428006" y="3000735"/>
                <a:ext cx="1126557" cy="366259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2" name="Conector recto de flecha 32">
                <a:extLst>
                  <a:ext uri="{FF2B5EF4-FFF2-40B4-BE49-F238E27FC236}">
                    <a16:creationId xmlns:a16="http://schemas.microsoft.com/office/drawing/2014/main" id="{4B80D843-EFA9-430B-944E-645C167E6A8D}"/>
                  </a:ext>
                </a:extLst>
              </xdr:cNvPr>
              <xdr:cNvCxnSpPr/>
            </xdr:nvCxnSpPr>
            <xdr:spPr>
              <a:xfrm>
                <a:off x="7421656" y="3592232"/>
                <a:ext cx="1140012" cy="191994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4" name="Rectángulo: esquinas redondeadas 43">
                <a:extLst>
                  <a:ext uri="{FF2B5EF4-FFF2-40B4-BE49-F238E27FC236}">
                    <a16:creationId xmlns:a16="http://schemas.microsoft.com/office/drawing/2014/main" id="{4E34EC42-F00C-4606-8B5F-D1901D5BF18E}"/>
                  </a:ext>
                </a:extLst>
              </xdr:cNvPr>
              <xdr:cNvSpPr/>
            </xdr:nvSpPr>
            <xdr:spPr>
              <a:xfrm>
                <a:off x="8552992" y="1951251"/>
                <a:ext cx="1359273" cy="518833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No tiene glaucoma ocular</a:t>
                </a:r>
              </a:p>
            </xdr:txBody>
          </xdr:sp>
          <xdr:sp macro="" textlink="">
            <xdr:nvSpPr>
              <xdr:cNvPr id="45" name="Rectángulo: esquinas redondeadas 44">
                <a:extLst>
                  <a:ext uri="{FF2B5EF4-FFF2-40B4-BE49-F238E27FC236}">
                    <a16:creationId xmlns:a16="http://schemas.microsoft.com/office/drawing/2014/main" id="{BE92E812-00AC-403E-8543-E9E4E6C5B9AF}"/>
                  </a:ext>
                </a:extLst>
              </xdr:cNvPr>
              <xdr:cNvSpPr/>
            </xdr:nvSpPr>
            <xdr:spPr>
              <a:xfrm>
                <a:off x="8628529" y="2733862"/>
                <a:ext cx="1241612" cy="499782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Fase</a:t>
                </a:r>
                <a:r>
                  <a:rPr lang="es-ES" sz="1100" baseline="0"/>
                  <a:t> temprana / moderada</a:t>
                </a:r>
                <a:endParaRPr lang="es-ES" sz="1100"/>
              </a:p>
            </xdr:txBody>
          </xdr:sp>
          <xdr:sp macro="" textlink="">
            <xdr:nvSpPr>
              <xdr:cNvPr id="46" name="Rectángulo: esquinas redondeadas 45">
                <a:extLst>
                  <a:ext uri="{FF2B5EF4-FFF2-40B4-BE49-F238E27FC236}">
                    <a16:creationId xmlns:a16="http://schemas.microsoft.com/office/drawing/2014/main" id="{4D4D5D20-F9DE-4655-998E-E1D018985AD8}"/>
                  </a:ext>
                </a:extLst>
              </xdr:cNvPr>
              <xdr:cNvSpPr/>
            </xdr:nvSpPr>
            <xdr:spPr>
              <a:xfrm>
                <a:off x="8641480" y="3617632"/>
                <a:ext cx="1241612" cy="339539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Fase avanzada</a:t>
                </a:r>
              </a:p>
            </xdr:txBody>
          </xdr:sp>
          <xdr:sp macro="" textlink="">
            <xdr:nvSpPr>
              <xdr:cNvPr id="47" name="Rectángulo: esquinas redondeadas 46">
                <a:extLst>
                  <a:ext uri="{FF2B5EF4-FFF2-40B4-BE49-F238E27FC236}">
                    <a16:creationId xmlns:a16="http://schemas.microsoft.com/office/drawing/2014/main" id="{32B0B642-53FB-4403-87E5-3A82E19D3802}"/>
                  </a:ext>
                </a:extLst>
              </xdr:cNvPr>
              <xdr:cNvSpPr/>
            </xdr:nvSpPr>
            <xdr:spPr>
              <a:xfrm>
                <a:off x="8739812" y="4244478"/>
                <a:ext cx="1044761" cy="339538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Ceguera</a:t>
                </a:r>
              </a:p>
            </xdr:txBody>
          </xdr:sp>
          <xdr:sp macro="" textlink="">
            <xdr:nvSpPr>
              <xdr:cNvPr id="86" name="Forma libre: forma 85">
                <a:extLst>
                  <a:ext uri="{FF2B5EF4-FFF2-40B4-BE49-F238E27FC236}">
                    <a16:creationId xmlns:a16="http://schemas.microsoft.com/office/drawing/2014/main" id="{E7A3B6FA-A183-8C9E-FC18-D3B6F6490EBC}"/>
                  </a:ext>
                </a:extLst>
              </xdr:cNvPr>
              <xdr:cNvSpPr/>
            </xdr:nvSpPr>
            <xdr:spPr>
              <a:xfrm rot="20624968">
                <a:off x="9709654" y="1673384"/>
                <a:ext cx="354800" cy="435537"/>
              </a:xfrm>
              <a:custGeom>
                <a:avLst/>
                <a:gdLst>
                  <a:gd name="connsiteX0" fmla="*/ 222458 w 555034"/>
                  <a:gd name="connsiteY0" fmla="*/ 438150 h 438150"/>
                  <a:gd name="connsiteX1" fmla="*/ 400258 w 555034"/>
                  <a:gd name="connsiteY1" fmla="*/ 431800 h 438150"/>
                  <a:gd name="connsiteX2" fmla="*/ 470108 w 555034"/>
                  <a:gd name="connsiteY2" fmla="*/ 425450 h 438150"/>
                  <a:gd name="connsiteX3" fmla="*/ 546308 w 555034"/>
                  <a:gd name="connsiteY3" fmla="*/ 381000 h 438150"/>
                  <a:gd name="connsiteX4" fmla="*/ 533608 w 555034"/>
                  <a:gd name="connsiteY4" fmla="*/ 247650 h 438150"/>
                  <a:gd name="connsiteX5" fmla="*/ 387558 w 555034"/>
                  <a:gd name="connsiteY5" fmla="*/ 50800 h 438150"/>
                  <a:gd name="connsiteX6" fmla="*/ 330408 w 555034"/>
                  <a:gd name="connsiteY6" fmla="*/ 19050 h 438150"/>
                  <a:gd name="connsiteX7" fmla="*/ 120858 w 555034"/>
                  <a:gd name="connsiteY7" fmla="*/ 0 h 438150"/>
                  <a:gd name="connsiteX8" fmla="*/ 25608 w 555034"/>
                  <a:gd name="connsiteY8" fmla="*/ 19050 h 438150"/>
                  <a:gd name="connsiteX9" fmla="*/ 6558 w 555034"/>
                  <a:gd name="connsiteY9" fmla="*/ 38100 h 438150"/>
                  <a:gd name="connsiteX10" fmla="*/ 6558 w 555034"/>
                  <a:gd name="connsiteY10" fmla="*/ 88900 h 4381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555034" h="438150">
                    <a:moveTo>
                      <a:pt x="222458" y="438150"/>
                    </a:moveTo>
                    <a:lnTo>
                      <a:pt x="400258" y="431800"/>
                    </a:lnTo>
                    <a:cubicBezTo>
                      <a:pt x="423607" y="430603"/>
                      <a:pt x="447285" y="430522"/>
                      <a:pt x="470108" y="425450"/>
                    </a:cubicBezTo>
                    <a:cubicBezTo>
                      <a:pt x="506691" y="417320"/>
                      <a:pt x="519058" y="402800"/>
                      <a:pt x="546308" y="381000"/>
                    </a:cubicBezTo>
                    <a:cubicBezTo>
                      <a:pt x="556772" y="328680"/>
                      <a:pt x="563086" y="317661"/>
                      <a:pt x="533608" y="247650"/>
                    </a:cubicBezTo>
                    <a:cubicBezTo>
                      <a:pt x="496629" y="159825"/>
                      <a:pt x="459643" y="103915"/>
                      <a:pt x="387558" y="50800"/>
                    </a:cubicBezTo>
                    <a:cubicBezTo>
                      <a:pt x="370014" y="37873"/>
                      <a:pt x="351451" y="24715"/>
                      <a:pt x="330408" y="19050"/>
                    </a:cubicBezTo>
                    <a:cubicBezTo>
                      <a:pt x="292622" y="8877"/>
                      <a:pt x="161345" y="2530"/>
                      <a:pt x="120858" y="0"/>
                    </a:cubicBezTo>
                    <a:cubicBezTo>
                      <a:pt x="90696" y="3351"/>
                      <a:pt x="53750" y="3416"/>
                      <a:pt x="25608" y="19050"/>
                    </a:cubicBezTo>
                    <a:cubicBezTo>
                      <a:pt x="17758" y="23411"/>
                      <a:pt x="12908" y="31750"/>
                      <a:pt x="6558" y="38100"/>
                    </a:cubicBezTo>
                    <a:cubicBezTo>
                      <a:pt x="-3205" y="67389"/>
                      <a:pt x="-1105" y="50586"/>
                      <a:pt x="6558" y="88900"/>
                    </a:cubicBezTo>
                  </a:path>
                </a:pathLst>
              </a:cu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ES" sz="1100"/>
              </a:p>
            </xdr:txBody>
          </xdr:sp>
          <xdr:sp macro="" textlink="">
            <xdr:nvSpPr>
              <xdr:cNvPr id="91" name="Rectángulo: esquinas redondeadas 90">
                <a:extLst>
                  <a:ext uri="{FF2B5EF4-FFF2-40B4-BE49-F238E27FC236}">
                    <a16:creationId xmlns:a16="http://schemas.microsoft.com/office/drawing/2014/main" id="{D23B533D-83F6-4249-9C43-BCF53BF66A6A}"/>
                  </a:ext>
                </a:extLst>
              </xdr:cNvPr>
              <xdr:cNvSpPr/>
            </xdr:nvSpPr>
            <xdr:spPr>
              <a:xfrm>
                <a:off x="11064315" y="3162300"/>
                <a:ext cx="1241611" cy="480732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ES" sz="1100"/>
                  <a:t>Tratamiento / Cirugía</a:t>
                </a:r>
              </a:p>
            </xdr:txBody>
          </xdr:sp>
          <xdr:cxnSp macro="">
            <xdr:nvCxnSpPr>
              <xdr:cNvPr id="30" name="Conector recto de flecha 91">
                <a:extLst>
                  <a:ext uri="{FF2B5EF4-FFF2-40B4-BE49-F238E27FC236}">
                    <a16:creationId xmlns:a16="http://schemas.microsoft.com/office/drawing/2014/main" id="{8F04C8AF-984B-45F9-BF2A-BBC8BE9A2F9B}"/>
                  </a:ext>
                </a:extLst>
              </xdr:cNvPr>
              <xdr:cNvCxnSpPr/>
            </xdr:nvCxnSpPr>
            <xdr:spPr>
              <a:xfrm flipH="1">
                <a:off x="9817032" y="3630206"/>
                <a:ext cx="1282806" cy="657119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Conector recto de flecha 92">
                <a:extLst>
                  <a:ext uri="{FF2B5EF4-FFF2-40B4-BE49-F238E27FC236}">
                    <a16:creationId xmlns:a16="http://schemas.microsoft.com/office/drawing/2014/main" id="{F5CCCC16-D41B-4B28-8B89-14C57F8949F6}"/>
                  </a:ext>
                </a:extLst>
              </xdr:cNvPr>
              <xdr:cNvCxnSpPr/>
            </xdr:nvCxnSpPr>
            <xdr:spPr>
              <a:xfrm flipH="1" flipV="1">
                <a:off x="9972495" y="2374833"/>
                <a:ext cx="1126902" cy="800419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Forma libre: forma 95">
                <a:extLst>
                  <a:ext uri="{FF2B5EF4-FFF2-40B4-BE49-F238E27FC236}">
                    <a16:creationId xmlns:a16="http://schemas.microsoft.com/office/drawing/2014/main" id="{E82FBE95-592C-4BE8-925D-63ADACDB6D0F}"/>
                  </a:ext>
                </a:extLst>
              </xdr:cNvPr>
              <xdr:cNvSpPr/>
            </xdr:nvSpPr>
            <xdr:spPr>
              <a:xfrm rot="4964411">
                <a:off x="9646442" y="4377479"/>
                <a:ext cx="337901" cy="441442"/>
              </a:xfrm>
              <a:custGeom>
                <a:avLst/>
                <a:gdLst>
                  <a:gd name="connsiteX0" fmla="*/ 222458 w 555034"/>
                  <a:gd name="connsiteY0" fmla="*/ 438150 h 438150"/>
                  <a:gd name="connsiteX1" fmla="*/ 400258 w 555034"/>
                  <a:gd name="connsiteY1" fmla="*/ 431800 h 438150"/>
                  <a:gd name="connsiteX2" fmla="*/ 470108 w 555034"/>
                  <a:gd name="connsiteY2" fmla="*/ 425450 h 438150"/>
                  <a:gd name="connsiteX3" fmla="*/ 546308 w 555034"/>
                  <a:gd name="connsiteY3" fmla="*/ 381000 h 438150"/>
                  <a:gd name="connsiteX4" fmla="*/ 533608 w 555034"/>
                  <a:gd name="connsiteY4" fmla="*/ 247650 h 438150"/>
                  <a:gd name="connsiteX5" fmla="*/ 387558 w 555034"/>
                  <a:gd name="connsiteY5" fmla="*/ 50800 h 438150"/>
                  <a:gd name="connsiteX6" fmla="*/ 330408 w 555034"/>
                  <a:gd name="connsiteY6" fmla="*/ 19050 h 438150"/>
                  <a:gd name="connsiteX7" fmla="*/ 120858 w 555034"/>
                  <a:gd name="connsiteY7" fmla="*/ 0 h 438150"/>
                  <a:gd name="connsiteX8" fmla="*/ 25608 w 555034"/>
                  <a:gd name="connsiteY8" fmla="*/ 19050 h 438150"/>
                  <a:gd name="connsiteX9" fmla="*/ 6558 w 555034"/>
                  <a:gd name="connsiteY9" fmla="*/ 38100 h 438150"/>
                  <a:gd name="connsiteX10" fmla="*/ 6558 w 555034"/>
                  <a:gd name="connsiteY10" fmla="*/ 88900 h 4381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555034" h="438150">
                    <a:moveTo>
                      <a:pt x="222458" y="438150"/>
                    </a:moveTo>
                    <a:lnTo>
                      <a:pt x="400258" y="431800"/>
                    </a:lnTo>
                    <a:cubicBezTo>
                      <a:pt x="423607" y="430603"/>
                      <a:pt x="447285" y="430522"/>
                      <a:pt x="470108" y="425450"/>
                    </a:cubicBezTo>
                    <a:cubicBezTo>
                      <a:pt x="506691" y="417320"/>
                      <a:pt x="519058" y="402800"/>
                      <a:pt x="546308" y="381000"/>
                    </a:cubicBezTo>
                    <a:cubicBezTo>
                      <a:pt x="556772" y="328680"/>
                      <a:pt x="563086" y="317661"/>
                      <a:pt x="533608" y="247650"/>
                    </a:cubicBezTo>
                    <a:cubicBezTo>
                      <a:pt x="496629" y="159825"/>
                      <a:pt x="459643" y="103915"/>
                      <a:pt x="387558" y="50800"/>
                    </a:cubicBezTo>
                    <a:cubicBezTo>
                      <a:pt x="370014" y="37873"/>
                      <a:pt x="351451" y="24715"/>
                      <a:pt x="330408" y="19050"/>
                    </a:cubicBezTo>
                    <a:cubicBezTo>
                      <a:pt x="292622" y="8877"/>
                      <a:pt x="161345" y="2530"/>
                      <a:pt x="120858" y="0"/>
                    </a:cubicBezTo>
                    <a:cubicBezTo>
                      <a:pt x="90696" y="3351"/>
                      <a:pt x="53750" y="3416"/>
                      <a:pt x="25608" y="19050"/>
                    </a:cubicBezTo>
                    <a:cubicBezTo>
                      <a:pt x="17758" y="23411"/>
                      <a:pt x="12908" y="31750"/>
                      <a:pt x="6558" y="38100"/>
                    </a:cubicBezTo>
                    <a:cubicBezTo>
                      <a:pt x="-3205" y="67389"/>
                      <a:pt x="-1105" y="50586"/>
                      <a:pt x="6558" y="88900"/>
                    </a:cubicBezTo>
                  </a:path>
                </a:pathLst>
              </a:cu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ES" sz="1100"/>
              </a:p>
            </xdr:txBody>
          </xdr:sp>
          <xdr:cxnSp macro="">
            <xdr:nvCxnSpPr>
              <xdr:cNvPr id="32" name="Conector recto de flecha 96">
                <a:extLst>
                  <a:ext uri="{FF2B5EF4-FFF2-40B4-BE49-F238E27FC236}">
                    <a16:creationId xmlns:a16="http://schemas.microsoft.com/office/drawing/2014/main" id="{FCE8337A-ED21-48C1-8A87-649575F29BFA}"/>
                  </a:ext>
                </a:extLst>
              </xdr:cNvPr>
              <xdr:cNvCxnSpPr/>
            </xdr:nvCxnSpPr>
            <xdr:spPr>
              <a:xfrm flipH="1">
                <a:off x="9828960" y="4410947"/>
                <a:ext cx="113043" cy="38100"/>
              </a:xfrm>
              <a:prstGeom prst="straightConnector1">
                <a:avLst/>
              </a:prstGeom>
              <a:ln w="19050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ector recto 101">
                <a:extLst>
                  <a:ext uri="{FF2B5EF4-FFF2-40B4-BE49-F238E27FC236}">
                    <a16:creationId xmlns:a16="http://schemas.microsoft.com/office/drawing/2014/main" id="{C5555FF4-405D-280C-705D-B06ABC00A1AE}"/>
                  </a:ext>
                </a:extLst>
              </xdr:cNvPr>
              <xdr:cNvCxnSpPr>
                <a:stCxn id="91" idx="2"/>
              </xdr:cNvCxnSpPr>
            </xdr:nvCxnSpPr>
            <xdr:spPr>
              <a:xfrm>
                <a:off x="11673915" y="3643032"/>
                <a:ext cx="6350" cy="396689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6" name="Rectángulo 102">
                    <a:extLst>
                      <a:ext uri="{FF2B5EF4-FFF2-40B4-BE49-F238E27FC236}">
                        <a16:creationId xmlns:a16="http://schemas.microsoft.com/office/drawing/2014/main" id="{67BE2AFB-B527-4690-A7D9-E0C052A6C980}"/>
                      </a:ext>
                    </a:extLst>
                  </xdr:cNvPr>
                  <xdr:cNvSpPr/>
                </xdr:nvSpPr>
                <xdr:spPr>
                  <a:xfrm>
                    <a:off x="11019480" y="4036450"/>
                    <a:ext cx="1457511" cy="282388"/>
                  </a:xfrm>
                  <a:prstGeom prst="rect">
                    <a:avLst/>
                  </a:prstGeom>
                  <a:noFill/>
                  <a:ln w="9525" cap="flat" cmpd="sng" algn="ctr">
                    <a:solidFill>
                      <a:schemeClr val="dk1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s-ES" sz="1100">
                        <a:solidFill>
                          <a:sysClr val="windowText" lastClr="000000"/>
                        </a:solidFill>
                      </a:rPr>
                      <a:t>- Precio: </a:t>
                    </a:r>
                    <a14:m>
                      <m:oMath xmlns:m="http://schemas.openxmlformats.org/officeDocument/2006/math">
                        <m:r>
                          <a:rPr lang="es-E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</m:oMath>
                    </a14:m>
                    <a:r>
                      <a:rPr lang="es-ES" sz="1100">
                        <a:solidFill>
                          <a:sysClr val="windowText" lastClr="000000"/>
                        </a:solidFill>
                      </a:rPr>
                      <a:t> 1.000€</a:t>
                    </a:r>
                  </a:p>
                </xdr:txBody>
              </xdr:sp>
            </mc:Choice>
            <mc:Fallback xmlns="">
              <xdr:sp macro="" textlink="">
                <xdr:nvSpPr>
                  <xdr:cNvPr id="36" name="Rectángulo 102">
                    <a:extLst>
                      <a:ext uri="{FF2B5EF4-FFF2-40B4-BE49-F238E27FC236}">
                        <a16:creationId xmlns:a16="http://schemas.microsoft.com/office/drawing/2014/main" id="{67BE2AFB-B527-4690-A7D9-E0C052A6C980}"/>
                      </a:ext>
                    </a:extLst>
                  </xdr:cNvPr>
                  <xdr:cNvSpPr/>
                </xdr:nvSpPr>
                <xdr:spPr>
                  <a:xfrm>
                    <a:off x="11019480" y="4036450"/>
                    <a:ext cx="1457511" cy="282388"/>
                  </a:xfrm>
                  <a:prstGeom prst="rect">
                    <a:avLst/>
                  </a:prstGeom>
                  <a:noFill/>
                  <a:ln w="9525" cap="flat" cmpd="sng" algn="ctr">
                    <a:solidFill>
                      <a:schemeClr val="dk1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s-ES" sz="1100">
                        <a:solidFill>
                          <a:sysClr val="windowText" lastClr="000000"/>
                        </a:solidFill>
                      </a:rPr>
                      <a:t>- Precio: </a:t>
                    </a:r>
                    <a:r>
                      <a:rPr lang="es-ES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es-ES" sz="1100">
                        <a:solidFill>
                          <a:sysClr val="windowText" lastClr="000000"/>
                        </a:solidFill>
                      </a:rPr>
                      <a:t> 1.000€</a:t>
                    </a:r>
                  </a:p>
                </xdr:txBody>
              </xdr:sp>
            </mc:Fallback>
          </mc:AlternateContent>
          <xdr:cxnSp macro="">
            <xdr:nvCxnSpPr>
              <xdr:cNvPr id="24" name="Conector recto de flecha 135">
                <a:extLst>
                  <a:ext uri="{FF2B5EF4-FFF2-40B4-BE49-F238E27FC236}">
                    <a16:creationId xmlns:a16="http://schemas.microsoft.com/office/drawing/2014/main" id="{8D7227DA-AE27-12DB-9237-E7F67B25674D}"/>
                  </a:ext>
                </a:extLst>
              </xdr:cNvPr>
              <xdr:cNvCxnSpPr/>
            </xdr:nvCxnSpPr>
            <xdr:spPr>
              <a:xfrm>
                <a:off x="9897050" y="2963013"/>
                <a:ext cx="1122438" cy="346014"/>
              </a:xfrm>
              <a:prstGeom prst="straightConnector1">
                <a:avLst/>
              </a:prstGeom>
              <a:ln w="19050" cap="flat" cmpd="sng" algn="ctr">
                <a:solidFill>
                  <a:schemeClr val="dk1"/>
                </a:solidFill>
                <a:prstDash val="solid"/>
                <a:round/>
                <a:headEnd type="arrow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Conector recto de flecha 139">
                <a:extLst>
                  <a:ext uri="{FF2B5EF4-FFF2-40B4-BE49-F238E27FC236}">
                    <a16:creationId xmlns:a16="http://schemas.microsoft.com/office/drawing/2014/main" id="{E1BCB422-B1BC-4393-B9D7-58DF22EC669D}"/>
                  </a:ext>
                </a:extLst>
              </xdr:cNvPr>
              <xdr:cNvCxnSpPr/>
            </xdr:nvCxnSpPr>
            <xdr:spPr>
              <a:xfrm flipV="1">
                <a:off x="9903337" y="3469459"/>
                <a:ext cx="1116151" cy="339727"/>
              </a:xfrm>
              <a:prstGeom prst="straightConnector1">
                <a:avLst/>
              </a:prstGeom>
              <a:ln w="19050" cap="flat" cmpd="sng" algn="ctr">
                <a:solidFill>
                  <a:schemeClr val="dk1"/>
                </a:solidFill>
                <a:prstDash val="solid"/>
                <a:round/>
                <a:headEnd type="arrow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Conector recto de flecha 143">
                <a:extLst>
                  <a:ext uri="{FF2B5EF4-FFF2-40B4-BE49-F238E27FC236}">
                    <a16:creationId xmlns:a16="http://schemas.microsoft.com/office/drawing/2014/main" id="{DD5256BF-C301-C82E-0732-2C23AB911176}"/>
                  </a:ext>
                </a:extLst>
              </xdr:cNvPr>
              <xdr:cNvCxnSpPr>
                <a:stCxn id="44" idx="2"/>
                <a:endCxn id="45" idx="0"/>
              </xdr:cNvCxnSpPr>
            </xdr:nvCxnSpPr>
            <xdr:spPr>
              <a:xfrm>
                <a:off x="9232629" y="2470084"/>
                <a:ext cx="4872" cy="263778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Conector recto de flecha 147">
                <a:extLst>
                  <a:ext uri="{FF2B5EF4-FFF2-40B4-BE49-F238E27FC236}">
                    <a16:creationId xmlns:a16="http://schemas.microsoft.com/office/drawing/2014/main" id="{F17BDB34-2A42-47B2-BDB0-018861121924}"/>
                  </a:ext>
                </a:extLst>
              </xdr:cNvPr>
              <xdr:cNvCxnSpPr>
                <a:stCxn id="45" idx="2"/>
                <a:endCxn id="46" idx="0"/>
              </xdr:cNvCxnSpPr>
            </xdr:nvCxnSpPr>
            <xdr:spPr>
              <a:xfrm>
                <a:off x="9237501" y="3233644"/>
                <a:ext cx="12951" cy="383988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Conector recto de flecha 152">
                <a:extLst>
                  <a:ext uri="{FF2B5EF4-FFF2-40B4-BE49-F238E27FC236}">
                    <a16:creationId xmlns:a16="http://schemas.microsoft.com/office/drawing/2014/main" id="{CC4A8AFF-100F-46E2-B156-F1CAD39B5724}"/>
                  </a:ext>
                </a:extLst>
              </xdr:cNvPr>
              <xdr:cNvCxnSpPr/>
            </xdr:nvCxnSpPr>
            <xdr:spPr>
              <a:xfrm>
                <a:off x="9276042" y="3957048"/>
                <a:ext cx="4872" cy="266810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Conector recto de flecha 55">
                <a:extLst>
                  <a:ext uri="{FF2B5EF4-FFF2-40B4-BE49-F238E27FC236}">
                    <a16:creationId xmlns:a16="http://schemas.microsoft.com/office/drawing/2014/main" id="{1C71E5E5-473A-41AE-973B-A3E1710EF71D}"/>
                  </a:ext>
                </a:extLst>
              </xdr:cNvPr>
              <xdr:cNvCxnSpPr/>
            </xdr:nvCxnSpPr>
            <xdr:spPr>
              <a:xfrm>
                <a:off x="7399211" y="3629891"/>
                <a:ext cx="1267041" cy="698315"/>
              </a:xfrm>
              <a:prstGeom prst="straightConnector1">
                <a:avLst/>
              </a:prstGeom>
              <a:ln w="19050" cap="flat" cmpd="sng" algn="ctr">
                <a:solidFill>
                  <a:sysClr val="windowText" lastClr="000000"/>
                </a:solidFill>
                <a:prstDash val="solid"/>
                <a:round/>
                <a:headEnd type="none" w="med" len="med"/>
                <a:tailEnd type="arrow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51" name="Rectángulo 155">
            <a:extLst>
              <a:ext uri="{FF2B5EF4-FFF2-40B4-BE49-F238E27FC236}">
                <a16:creationId xmlns:a16="http://schemas.microsoft.com/office/drawing/2014/main" id="{3850210A-08A4-4E2E-A1DE-795A2335F078}"/>
              </a:ext>
            </a:extLst>
          </xdr:cNvPr>
          <xdr:cNvSpPr/>
        </xdr:nvSpPr>
        <xdr:spPr>
          <a:xfrm>
            <a:off x="6078227" y="3412498"/>
            <a:ext cx="1068551" cy="370013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rgbClr val="FF0000"/>
                </a:solidFill>
              </a:rPr>
              <a:t>GLUACODTECT</a:t>
            </a:r>
          </a:p>
        </xdr:txBody>
      </xdr:sp>
      <xdr:cxnSp macro="">
        <xdr:nvCxnSpPr>
          <xdr:cNvPr id="20" name="Connector: Elbow 19">
            <a:extLst>
              <a:ext uri="{FF2B5EF4-FFF2-40B4-BE49-F238E27FC236}">
                <a16:creationId xmlns:a16="http://schemas.microsoft.com/office/drawing/2014/main" id="{B590783A-80EB-27E7-DE18-25602755C128}"/>
              </a:ext>
            </a:extLst>
          </xdr:cNvPr>
          <xdr:cNvCxnSpPr>
            <a:endCxn id="29" idx="1"/>
          </xdr:cNvCxnSpPr>
        </xdr:nvCxnSpPr>
        <xdr:spPr>
          <a:xfrm flipV="1">
            <a:off x="7153098" y="2785599"/>
            <a:ext cx="958206" cy="810335"/>
          </a:xfrm>
          <a:prstGeom prst="bentConnector3">
            <a:avLst/>
          </a:prstGeom>
          <a:ln w="1905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27" name="Connector: Elbow 26">
            <a:extLst>
              <a:ext uri="{FF2B5EF4-FFF2-40B4-BE49-F238E27FC236}">
                <a16:creationId xmlns:a16="http://schemas.microsoft.com/office/drawing/2014/main" id="{D0D40E84-4286-5CC4-D4CF-1E47309579E7}"/>
              </a:ext>
            </a:extLst>
          </xdr:cNvPr>
          <xdr:cNvCxnSpPr>
            <a:stCxn id="51" idx="3"/>
            <a:endCxn id="37" idx="1"/>
          </xdr:cNvCxnSpPr>
        </xdr:nvCxnSpPr>
        <xdr:spPr>
          <a:xfrm>
            <a:off x="7146778" y="3597504"/>
            <a:ext cx="975037" cy="785666"/>
          </a:xfrm>
          <a:prstGeom prst="bentConnector3">
            <a:avLst/>
          </a:prstGeom>
          <a:ln w="1905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29" name="Rectángulo 155">
            <a:extLst>
              <a:ext uri="{FF2B5EF4-FFF2-40B4-BE49-F238E27FC236}">
                <a16:creationId xmlns:a16="http://schemas.microsoft.com/office/drawing/2014/main" id="{090047FC-A8A4-4714-95C4-A2FDB70F73C2}"/>
              </a:ext>
            </a:extLst>
          </xdr:cNvPr>
          <xdr:cNvSpPr/>
        </xdr:nvSpPr>
        <xdr:spPr>
          <a:xfrm>
            <a:off x="8111304" y="2600592"/>
            <a:ext cx="1063294" cy="370013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Resultado</a:t>
            </a:r>
            <a:r>
              <a:rPr lang="es-ES" sz="1100" baseline="0">
                <a:solidFill>
                  <a:sysClr val="windowText" lastClr="000000"/>
                </a:solidFill>
              </a:rPr>
              <a:t> +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Rectángulo 155">
            <a:extLst>
              <a:ext uri="{FF2B5EF4-FFF2-40B4-BE49-F238E27FC236}">
                <a16:creationId xmlns:a16="http://schemas.microsoft.com/office/drawing/2014/main" id="{535EB4FC-045E-482F-8C98-F21D554AB746}"/>
              </a:ext>
            </a:extLst>
          </xdr:cNvPr>
          <xdr:cNvSpPr/>
        </xdr:nvSpPr>
        <xdr:spPr>
          <a:xfrm>
            <a:off x="8121815" y="4198164"/>
            <a:ext cx="1063294" cy="370013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Resultado</a:t>
            </a:r>
            <a:r>
              <a:rPr lang="es-ES" sz="1100" baseline="0">
                <a:solidFill>
                  <a:sysClr val="windowText" lastClr="000000"/>
                </a:solidFill>
              </a:rPr>
              <a:t> -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7DA693DF-5B3C-6089-4A06-5084F22DCEAC}"/>
              </a:ext>
            </a:extLst>
          </xdr:cNvPr>
          <xdr:cNvCxnSpPr>
            <a:stCxn id="29" idx="3"/>
            <a:endCxn id="26" idx="1"/>
          </xdr:cNvCxnSpPr>
        </xdr:nvCxnSpPr>
        <xdr:spPr>
          <a:xfrm>
            <a:off x="9174598" y="2785599"/>
            <a:ext cx="4125580" cy="842632"/>
          </a:xfrm>
          <a:prstGeom prst="bentConnector3">
            <a:avLst>
              <a:gd name="adj1" fmla="val 88366"/>
            </a:avLst>
          </a:prstGeom>
          <a:ln w="1905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55" name="Conector recto de flecha 17">
            <a:extLst>
              <a:ext uri="{FF2B5EF4-FFF2-40B4-BE49-F238E27FC236}">
                <a16:creationId xmlns:a16="http://schemas.microsoft.com/office/drawing/2014/main" id="{8EEE9A1F-AD48-4A88-B231-B3AA0FBA8DAC}"/>
              </a:ext>
            </a:extLst>
          </xdr:cNvPr>
          <xdr:cNvCxnSpPr>
            <a:stCxn id="37" idx="3"/>
            <a:endCxn id="6" idx="1"/>
          </xdr:cNvCxnSpPr>
        </xdr:nvCxnSpPr>
        <xdr:spPr>
          <a:xfrm flipV="1">
            <a:off x="9185109" y="4379023"/>
            <a:ext cx="798519" cy="4148"/>
          </a:xfrm>
          <a:prstGeom prst="straightConnector1">
            <a:avLst/>
          </a:prstGeom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63" name="Connector: Elbow 62">
            <a:extLst>
              <a:ext uri="{FF2B5EF4-FFF2-40B4-BE49-F238E27FC236}">
                <a16:creationId xmlns:a16="http://schemas.microsoft.com/office/drawing/2014/main" id="{612422D2-40EB-899D-3679-1A96D53939D9}"/>
              </a:ext>
            </a:extLst>
          </xdr:cNvPr>
          <xdr:cNvCxnSpPr>
            <a:stCxn id="6" idx="3"/>
            <a:endCxn id="26" idx="1"/>
          </xdr:cNvCxnSpPr>
        </xdr:nvCxnSpPr>
        <xdr:spPr>
          <a:xfrm flipV="1">
            <a:off x="12167294" y="3628248"/>
            <a:ext cx="1132884" cy="750775"/>
          </a:xfrm>
          <a:prstGeom prst="bentConnector3">
            <a:avLst>
              <a:gd name="adj1" fmla="val 57731"/>
            </a:avLst>
          </a:prstGeom>
          <a:ln w="19050" cap="flat" cmpd="sng" algn="ctr">
            <a:solidFill>
              <a:schemeClr val="dk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gep-my.sharepoint.com/personal/oier_zazpe_alumni_mondragon_edu/Documents/Ejercicio%202%20Markov%20Plantilla.xlsx" TargetMode="External"/><Relationship Id="rId1" Type="http://schemas.openxmlformats.org/officeDocument/2006/relationships/externalLinkPath" Target="https://mgep-my.sharepoint.com/personal/oier_zazpe_alumni_mondragon_edu/Documents/Ejercicio%202%20Markov%20Plantil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"/>
      <sheetName val="Param"/>
      <sheetName val="Alternativa1"/>
      <sheetName val="Alternativa2"/>
      <sheetName val="Efectividad"/>
      <sheetName val="Coste"/>
      <sheetName val="Sumario"/>
    </sheetNames>
    <sheetDataSet>
      <sheetData sheetId="0"/>
      <sheetData sheetId="1">
        <row r="4">
          <cell r="B4">
            <v>0.65</v>
          </cell>
        </row>
        <row r="5">
          <cell r="B5">
            <v>0.3</v>
          </cell>
        </row>
        <row r="6">
          <cell r="B6">
            <v>0</v>
          </cell>
        </row>
        <row r="7">
          <cell r="B7">
            <v>0.05</v>
          </cell>
        </row>
        <row r="8">
          <cell r="B8">
            <v>0.4</v>
          </cell>
        </row>
        <row r="9">
          <cell r="B9">
            <v>0.4</v>
          </cell>
        </row>
        <row r="10">
          <cell r="B10">
            <v>0.2</v>
          </cell>
        </row>
        <row r="11">
          <cell r="B11">
            <v>0.3</v>
          </cell>
        </row>
        <row r="12">
          <cell r="B12">
            <v>0.7</v>
          </cell>
        </row>
        <row r="20">
          <cell r="B20">
            <v>0.03</v>
          </cell>
        </row>
        <row r="23">
          <cell r="B23">
            <v>0</v>
          </cell>
        </row>
        <row r="24">
          <cell r="B24">
            <v>1000</v>
          </cell>
        </row>
        <row r="25">
          <cell r="B25">
            <v>3000</v>
          </cell>
        </row>
        <row r="28">
          <cell r="B28">
            <v>0.8</v>
          </cell>
        </row>
        <row r="29">
          <cell r="B29">
            <v>0.7</v>
          </cell>
        </row>
        <row r="30">
          <cell r="B30">
            <v>0.4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F5E-9B12-46CF-857A-7933C469A611}">
  <dimension ref="A1"/>
  <sheetViews>
    <sheetView zoomScale="70" zoomScaleNormal="239" workbookViewId="0">
      <selection activeCell="P42" sqref="P42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E955-C07A-4F5D-BDAD-BEAD5FDE047E}">
  <dimension ref="A1:F45"/>
  <sheetViews>
    <sheetView tabSelected="1" topLeftCell="A9" zoomScale="103" workbookViewId="0">
      <selection activeCell="D16" sqref="D16"/>
    </sheetView>
  </sheetViews>
  <sheetFormatPr baseColWidth="10" defaultColWidth="11.44140625" defaultRowHeight="14.4" x14ac:dyDescent="0.3"/>
  <cols>
    <col min="2" max="2" width="20.77734375" customWidth="1"/>
    <col min="4" max="4" width="11.88671875" customWidth="1"/>
    <col min="5" max="5" width="20.77734375" customWidth="1"/>
  </cols>
  <sheetData>
    <row r="1" spans="1:6" ht="21" x14ac:dyDescent="0.3">
      <c r="A1" s="22" t="s">
        <v>0</v>
      </c>
      <c r="B1" s="23"/>
      <c r="C1" s="3"/>
      <c r="D1" s="3"/>
      <c r="E1" s="3"/>
      <c r="F1" s="3"/>
    </row>
    <row r="2" spans="1:6" ht="18" x14ac:dyDescent="0.3">
      <c r="A2" s="3"/>
      <c r="B2" s="12"/>
      <c r="C2" s="3"/>
      <c r="D2" s="3"/>
      <c r="E2" s="12"/>
      <c r="F2" s="3"/>
    </row>
    <row r="3" spans="1:6" ht="18" x14ac:dyDescent="0.3">
      <c r="A3" s="3"/>
      <c r="B3" s="11" t="s">
        <v>18</v>
      </c>
      <c r="C3" s="3"/>
      <c r="D3" s="3"/>
      <c r="E3" s="11" t="s">
        <v>17</v>
      </c>
      <c r="F3" s="3"/>
    </row>
    <row r="4" spans="1:6" x14ac:dyDescent="0.3">
      <c r="A4" s="13" t="s">
        <v>1</v>
      </c>
      <c r="B4" s="14">
        <f>0.935</f>
        <v>0.93500000000000005</v>
      </c>
      <c r="C4" s="3"/>
      <c r="D4" s="13" t="s">
        <v>57</v>
      </c>
      <c r="E4" s="13">
        <f>0.945</f>
        <v>0.94499999999999995</v>
      </c>
      <c r="F4" s="3"/>
    </row>
    <row r="5" spans="1:6" x14ac:dyDescent="0.3">
      <c r="A5" s="13" t="s">
        <v>2</v>
      </c>
      <c r="B5" s="13">
        <f>0.02</f>
        <v>0.02</v>
      </c>
      <c r="C5" s="3"/>
      <c r="D5" s="13" t="s">
        <v>58</v>
      </c>
      <c r="E5" s="13">
        <f>0.015</f>
        <v>1.4999999999999999E-2</v>
      </c>
      <c r="F5" s="3"/>
    </row>
    <row r="6" spans="1:6" x14ac:dyDescent="0.3">
      <c r="A6" s="13" t="s">
        <v>9</v>
      </c>
      <c r="B6" s="13">
        <f>0.01</f>
        <v>0.01</v>
      </c>
      <c r="C6" s="3"/>
      <c r="D6" s="13" t="s">
        <v>59</v>
      </c>
      <c r="E6" s="13">
        <f>0.005</f>
        <v>5.0000000000000001E-3</v>
      </c>
      <c r="F6" s="3"/>
    </row>
    <row r="7" spans="1:6" x14ac:dyDescent="0.3">
      <c r="A7" s="13" t="s">
        <v>3</v>
      </c>
      <c r="B7" s="13">
        <f>0.035</f>
        <v>3.5000000000000003E-2</v>
      </c>
      <c r="C7" s="3"/>
      <c r="D7" s="13" t="s">
        <v>3</v>
      </c>
      <c r="E7" s="13">
        <f>0.035</f>
        <v>3.5000000000000003E-2</v>
      </c>
      <c r="F7" s="3"/>
    </row>
    <row r="8" spans="1:6" x14ac:dyDescent="0.3">
      <c r="A8" s="13" t="s">
        <v>5</v>
      </c>
      <c r="B8" s="13">
        <f>0</f>
        <v>0</v>
      </c>
      <c r="C8" s="3"/>
      <c r="D8" s="13" t="s">
        <v>5</v>
      </c>
      <c r="E8" s="13">
        <f>0</f>
        <v>0</v>
      </c>
      <c r="F8" s="3"/>
    </row>
    <row r="9" spans="1:6" x14ac:dyDescent="0.3">
      <c r="A9" s="13" t="s">
        <v>4</v>
      </c>
      <c r="B9" s="13">
        <f>0.8</f>
        <v>0.8</v>
      </c>
      <c r="C9" s="3"/>
      <c r="D9" s="13" t="s">
        <v>4</v>
      </c>
      <c r="E9" s="13">
        <f>0.8</f>
        <v>0.8</v>
      </c>
      <c r="F9" s="3"/>
    </row>
    <row r="10" spans="1:6" x14ac:dyDescent="0.3">
      <c r="A10" s="13" t="s">
        <v>8</v>
      </c>
      <c r="B10" s="13">
        <f>0.15</f>
        <v>0.15</v>
      </c>
      <c r="C10" s="3"/>
      <c r="D10" s="13" t="s">
        <v>8</v>
      </c>
      <c r="E10" s="13">
        <f>0.15</f>
        <v>0.15</v>
      </c>
      <c r="F10" s="3"/>
    </row>
    <row r="11" spans="1:6" x14ac:dyDescent="0.3">
      <c r="A11" s="13" t="s">
        <v>6</v>
      </c>
      <c r="B11" s="13">
        <f>0.05</f>
        <v>0.05</v>
      </c>
      <c r="C11" s="3"/>
      <c r="D11" s="13" t="s">
        <v>6</v>
      </c>
      <c r="E11" s="13">
        <f>0.05</f>
        <v>0.05</v>
      </c>
      <c r="F11" s="3"/>
    </row>
    <row r="12" spans="1:6" x14ac:dyDescent="0.3">
      <c r="A12" s="13" t="s">
        <v>10</v>
      </c>
      <c r="B12" s="13">
        <f>0</f>
        <v>0</v>
      </c>
      <c r="C12" s="3"/>
      <c r="D12" s="13" t="s">
        <v>10</v>
      </c>
      <c r="E12" s="13">
        <f>0</f>
        <v>0</v>
      </c>
      <c r="F12" s="3"/>
    </row>
    <row r="13" spans="1:6" x14ac:dyDescent="0.3">
      <c r="A13" s="13" t="s">
        <v>11</v>
      </c>
      <c r="B13" s="13">
        <f>0.25</f>
        <v>0.25</v>
      </c>
      <c r="C13" s="3"/>
      <c r="D13" s="13" t="s">
        <v>11</v>
      </c>
      <c r="E13" s="13">
        <f>0.25</f>
        <v>0.25</v>
      </c>
      <c r="F13" s="3"/>
    </row>
    <row r="14" spans="1:6" x14ac:dyDescent="0.3">
      <c r="A14" s="13" t="s">
        <v>12</v>
      </c>
      <c r="B14" s="13">
        <f>0.55</f>
        <v>0.55000000000000004</v>
      </c>
      <c r="C14" s="3"/>
      <c r="D14" s="13" t="s">
        <v>12</v>
      </c>
      <c r="E14" s="13">
        <f>0.55</f>
        <v>0.55000000000000004</v>
      </c>
      <c r="F14" s="3"/>
    </row>
    <row r="15" spans="1:6" x14ac:dyDescent="0.3">
      <c r="A15" s="13" t="s">
        <v>13</v>
      </c>
      <c r="B15" s="13">
        <f>0.2</f>
        <v>0.2</v>
      </c>
      <c r="C15" s="3"/>
      <c r="D15" s="13" t="s">
        <v>13</v>
      </c>
      <c r="E15" s="13">
        <f>0.2</f>
        <v>0.2</v>
      </c>
      <c r="F15" s="3"/>
    </row>
    <row r="16" spans="1:6" x14ac:dyDescent="0.3">
      <c r="A16" s="13" t="s">
        <v>14</v>
      </c>
      <c r="B16" s="13">
        <f>0</f>
        <v>0</v>
      </c>
      <c r="C16" s="3"/>
      <c r="D16" s="13" t="s">
        <v>14</v>
      </c>
      <c r="E16" s="13">
        <f>0</f>
        <v>0</v>
      </c>
      <c r="F16" s="3"/>
    </row>
    <row r="17" spans="1:6" x14ac:dyDescent="0.3">
      <c r="A17" s="13" t="s">
        <v>15</v>
      </c>
      <c r="B17" s="13">
        <f>0</f>
        <v>0</v>
      </c>
      <c r="C17" s="3"/>
      <c r="D17" s="13" t="s">
        <v>15</v>
      </c>
      <c r="E17" s="13">
        <f>0</f>
        <v>0</v>
      </c>
      <c r="F17" s="3"/>
    </row>
    <row r="18" spans="1:6" x14ac:dyDescent="0.3">
      <c r="A18" s="13" t="s">
        <v>16</v>
      </c>
      <c r="B18" s="13">
        <f>0</f>
        <v>0</v>
      </c>
      <c r="C18" s="3"/>
      <c r="D18" s="13" t="s">
        <v>16</v>
      </c>
      <c r="E18" s="13">
        <f>0</f>
        <v>0</v>
      </c>
      <c r="F18" s="3"/>
    </row>
    <row r="19" spans="1:6" x14ac:dyDescent="0.3">
      <c r="A19" s="13" t="s">
        <v>7</v>
      </c>
      <c r="B19" s="13">
        <v>1</v>
      </c>
      <c r="C19" s="3"/>
      <c r="D19" s="13" t="s">
        <v>7</v>
      </c>
      <c r="E19" s="13">
        <v>1</v>
      </c>
      <c r="F19" s="3"/>
    </row>
    <row r="20" spans="1:6" ht="15" thickBot="1" x14ac:dyDescent="0.35">
      <c r="A20" s="3"/>
      <c r="B20" s="3"/>
      <c r="C20" s="3"/>
      <c r="D20" s="3"/>
      <c r="E20" s="3"/>
      <c r="F20" s="3"/>
    </row>
    <row r="21" spans="1:6" ht="21.6" thickBot="1" x14ac:dyDescent="0.35">
      <c r="A21" s="20" t="s">
        <v>19</v>
      </c>
      <c r="B21" s="21"/>
      <c r="C21" s="3"/>
      <c r="D21" s="3"/>
      <c r="E21" s="3"/>
      <c r="F21" s="3"/>
    </row>
    <row r="22" spans="1:6" x14ac:dyDescent="0.3">
      <c r="F22" s="3"/>
    </row>
    <row r="23" spans="1:6" x14ac:dyDescent="0.3">
      <c r="A23" s="13" t="s">
        <v>24</v>
      </c>
      <c r="B23" s="17">
        <f>0</f>
        <v>0</v>
      </c>
      <c r="C23" s="3"/>
      <c r="D23" s="13" t="s">
        <v>25</v>
      </c>
      <c r="E23" s="17">
        <f>50</f>
        <v>50</v>
      </c>
      <c r="F23" s="3"/>
    </row>
    <row r="24" spans="1:6" ht="15" thickBot="1" x14ac:dyDescent="0.35">
      <c r="A24" s="3"/>
      <c r="B24" s="3"/>
      <c r="C24" s="3"/>
      <c r="D24" s="3"/>
      <c r="F24" s="3"/>
    </row>
    <row r="25" spans="1:6" ht="21.6" thickBot="1" x14ac:dyDescent="0.35">
      <c r="A25" s="20" t="s">
        <v>20</v>
      </c>
      <c r="B25" s="21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13" t="s">
        <v>23</v>
      </c>
      <c r="B27" s="13">
        <f>0.03</f>
        <v>0.03</v>
      </c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ht="15" thickBot="1" x14ac:dyDescent="0.35">
      <c r="A29" s="3"/>
      <c r="B29" s="3"/>
      <c r="C29" s="3"/>
      <c r="D29" s="3"/>
      <c r="E29" s="3"/>
      <c r="F29" s="3"/>
    </row>
    <row r="30" spans="1:6" ht="21.6" thickBot="1" x14ac:dyDescent="0.35">
      <c r="A30" s="20" t="s">
        <v>21</v>
      </c>
      <c r="B30" s="21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13" t="s">
        <v>26</v>
      </c>
      <c r="B32" s="15">
        <v>256</v>
      </c>
      <c r="C32" s="3"/>
      <c r="D32" s="13" t="s">
        <v>63</v>
      </c>
      <c r="E32" s="15">
        <v>235</v>
      </c>
      <c r="F32" s="3"/>
    </row>
    <row r="33" spans="1:6" x14ac:dyDescent="0.3">
      <c r="A33" s="13" t="s">
        <v>27</v>
      </c>
      <c r="B33" s="15">
        <v>631</v>
      </c>
      <c r="C33" s="3"/>
      <c r="D33" s="13" t="s">
        <v>64</v>
      </c>
      <c r="E33" s="15">
        <v>600</v>
      </c>
      <c r="F33" s="3"/>
    </row>
    <row r="34" spans="1:6" x14ac:dyDescent="0.3">
      <c r="A34" s="13" t="s">
        <v>28</v>
      </c>
      <c r="B34" s="15">
        <v>1333</v>
      </c>
      <c r="C34" s="3"/>
      <c r="D34" s="13" t="s">
        <v>65</v>
      </c>
      <c r="E34" s="15">
        <v>1333</v>
      </c>
      <c r="F34" s="3"/>
    </row>
    <row r="35" spans="1:6" x14ac:dyDescent="0.3">
      <c r="A35" s="13" t="s">
        <v>29</v>
      </c>
      <c r="B35" s="15">
        <v>0</v>
      </c>
      <c r="C35" s="16">
        <v>11867</v>
      </c>
      <c r="D35" s="13" t="s">
        <v>29</v>
      </c>
      <c r="E35" s="15">
        <v>0</v>
      </c>
      <c r="F35" s="16">
        <v>11867</v>
      </c>
    </row>
    <row r="36" spans="1:6" x14ac:dyDescent="0.3">
      <c r="A36" s="3"/>
      <c r="B36" s="3"/>
      <c r="C36" s="3"/>
      <c r="D36" s="3"/>
      <c r="E36" s="3"/>
      <c r="F36" s="3"/>
    </row>
    <row r="37" spans="1:6" ht="15" thickBot="1" x14ac:dyDescent="0.35">
      <c r="A37" s="3"/>
      <c r="B37" s="3"/>
      <c r="C37" s="3"/>
      <c r="D37" s="3"/>
      <c r="E37" s="3"/>
      <c r="F37" s="3"/>
    </row>
    <row r="38" spans="1:6" ht="21.6" thickBot="1" x14ac:dyDescent="0.35">
      <c r="A38" s="20" t="s">
        <v>22</v>
      </c>
      <c r="B38" s="21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13" t="s">
        <v>30</v>
      </c>
      <c r="B40" s="13">
        <v>1</v>
      </c>
      <c r="C40" s="3"/>
      <c r="D40" s="3"/>
      <c r="E40" s="3"/>
      <c r="F40" s="3"/>
    </row>
    <row r="41" spans="1:6" x14ac:dyDescent="0.3">
      <c r="A41" s="13" t="s">
        <v>31</v>
      </c>
      <c r="B41" s="13">
        <v>0.75</v>
      </c>
      <c r="C41" s="3"/>
      <c r="D41" s="3"/>
      <c r="E41" s="3"/>
      <c r="F41" s="3"/>
    </row>
    <row r="42" spans="1:6" x14ac:dyDescent="0.3">
      <c r="A42" s="13" t="s">
        <v>32</v>
      </c>
      <c r="B42" s="13">
        <v>0.4</v>
      </c>
      <c r="C42" s="3"/>
      <c r="D42" s="3"/>
      <c r="E42" s="3"/>
      <c r="F42" s="3"/>
    </row>
    <row r="43" spans="1:6" x14ac:dyDescent="0.3">
      <c r="A43" s="13" t="s">
        <v>33</v>
      </c>
      <c r="B43" s="13">
        <v>0</v>
      </c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</sheetData>
  <mergeCells count="5">
    <mergeCell ref="A38:B38"/>
    <mergeCell ref="A25:B25"/>
    <mergeCell ref="A1:B1"/>
    <mergeCell ref="A21:B21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CC82-7229-4FB4-97C9-B123235BBBBC}">
  <dimension ref="B2:G49"/>
  <sheetViews>
    <sheetView topLeftCell="A2" workbookViewId="0">
      <selection activeCell="J36" sqref="J36"/>
    </sheetView>
  </sheetViews>
  <sheetFormatPr baseColWidth="10" defaultColWidth="8.77734375" defaultRowHeight="14.4" x14ac:dyDescent="0.3"/>
  <cols>
    <col min="2" max="2" width="15.77734375" customWidth="1"/>
    <col min="3" max="3" width="12.77734375" customWidth="1"/>
    <col min="4" max="4" width="15.77734375" customWidth="1"/>
    <col min="5" max="5" width="20.77734375" customWidth="1"/>
    <col min="6" max="6" width="12.77734375" customWidth="1"/>
    <col min="7" max="7" width="15.77734375" customWidth="1"/>
  </cols>
  <sheetData>
    <row r="2" spans="2:7" ht="26.4" x14ac:dyDescent="0.3">
      <c r="B2" s="3"/>
      <c r="C2" s="1" t="s">
        <v>36</v>
      </c>
      <c r="D2" s="1" t="s">
        <v>40</v>
      </c>
      <c r="E2" s="1" t="s">
        <v>41</v>
      </c>
      <c r="F2" s="2" t="s">
        <v>39</v>
      </c>
      <c r="G2" s="3"/>
    </row>
    <row r="3" spans="2:7" x14ac:dyDescent="0.3">
      <c r="B3" s="2" t="s">
        <v>36</v>
      </c>
      <c r="C3" s="3">
        <f>Psansan</f>
        <v>0.93500000000000005</v>
      </c>
      <c r="D3" s="3">
        <f>Plevsan</f>
        <v>0</v>
      </c>
      <c r="E3" s="3">
        <f>Pavansan</f>
        <v>0</v>
      </c>
      <c r="F3" s="3">
        <f>Pciegsan</f>
        <v>0</v>
      </c>
      <c r="G3" s="3"/>
    </row>
    <row r="4" spans="2:7" ht="26.4" x14ac:dyDescent="0.3">
      <c r="B4" s="2" t="s">
        <v>37</v>
      </c>
      <c r="C4" s="3">
        <f>Psanlev</f>
        <v>0.02</v>
      </c>
      <c r="D4" s="3">
        <f>Plevlev</f>
        <v>0.8</v>
      </c>
      <c r="E4" s="3">
        <f>Pavanlev</f>
        <v>0.25</v>
      </c>
      <c r="F4" s="3">
        <f>Pcieglev</f>
        <v>0</v>
      </c>
      <c r="G4" s="3"/>
    </row>
    <row r="5" spans="2:7" ht="39.6" x14ac:dyDescent="0.3">
      <c r="B5" s="2" t="s">
        <v>38</v>
      </c>
      <c r="C5" s="3">
        <f>Psanavan</f>
        <v>0.01</v>
      </c>
      <c r="D5" s="3">
        <f>Plevavan</f>
        <v>0.15</v>
      </c>
      <c r="E5" s="3">
        <f>Pavanavan</f>
        <v>0.55000000000000004</v>
      </c>
      <c r="F5" s="3" cm="1">
        <f t="array" ref="F5">Pciegavan</f>
        <v>0</v>
      </c>
      <c r="G5" s="3"/>
    </row>
    <row r="6" spans="2:7" x14ac:dyDescent="0.3">
      <c r="B6" s="2" t="s">
        <v>39</v>
      </c>
      <c r="C6" s="3">
        <f>Psancieg</f>
        <v>3.5000000000000003E-2</v>
      </c>
      <c r="D6" s="3">
        <f>Plevcieg</f>
        <v>0.05</v>
      </c>
      <c r="E6" s="3" cm="1">
        <f t="array" ref="E6">Pavancieg</f>
        <v>0.2</v>
      </c>
      <c r="F6" s="3">
        <f>Pciegcieg</f>
        <v>1</v>
      </c>
      <c r="G6" s="3"/>
    </row>
    <row r="7" spans="2:7" x14ac:dyDescent="0.3">
      <c r="B7" s="2"/>
      <c r="C7" s="3"/>
      <c r="D7" s="3"/>
      <c r="E7" s="3"/>
      <c r="F7" s="3"/>
      <c r="G7" s="3"/>
    </row>
    <row r="8" spans="2:7" x14ac:dyDescent="0.3">
      <c r="B8" s="2"/>
      <c r="C8" s="3"/>
      <c r="D8" s="3"/>
      <c r="E8" s="3"/>
      <c r="F8" s="3"/>
      <c r="G8" s="3"/>
    </row>
    <row r="9" spans="2:7" ht="26.4" x14ac:dyDescent="0.3">
      <c r="B9" s="3"/>
      <c r="C9" s="1" t="s">
        <v>36</v>
      </c>
      <c r="D9" s="1" t="s">
        <v>40</v>
      </c>
      <c r="E9" s="1" t="s">
        <v>41</v>
      </c>
      <c r="F9" s="2" t="s">
        <v>39</v>
      </c>
      <c r="G9" s="3"/>
    </row>
    <row r="10" spans="2:7" x14ac:dyDescent="0.3">
      <c r="B10" s="3" t="s">
        <v>34</v>
      </c>
      <c r="C10" s="3">
        <v>10000</v>
      </c>
      <c r="D10" s="3">
        <v>0</v>
      </c>
      <c r="E10" s="3">
        <v>0</v>
      </c>
      <c r="F10" s="3">
        <v>0</v>
      </c>
      <c r="G10" s="3"/>
    </row>
    <row r="11" spans="2:7" x14ac:dyDescent="0.3">
      <c r="B11" s="3" t="s">
        <v>56</v>
      </c>
      <c r="C11" s="4">
        <f>SUM(C15:C49)</f>
        <v>130159.26832528684</v>
      </c>
      <c r="D11" s="4">
        <f>SUM(D15:D49)</f>
        <v>26150.77802965638</v>
      </c>
      <c r="E11" s="4">
        <f>SUM(E15:E49)</f>
        <v>11423.184851926533</v>
      </c>
      <c r="F11" s="4">
        <f>SUM(F15:F49)</f>
        <v>182266.76879313041</v>
      </c>
      <c r="G11" s="5">
        <f>SUM(G15:G49)/C10</f>
        <v>16.773323120686971</v>
      </c>
    </row>
    <row r="12" spans="2:7" x14ac:dyDescent="0.3">
      <c r="B12" s="3"/>
      <c r="C12" s="3"/>
      <c r="D12" s="3"/>
      <c r="E12" s="3"/>
      <c r="F12" s="3"/>
      <c r="G12" s="3"/>
    </row>
    <row r="13" spans="2:7" ht="26.4" x14ac:dyDescent="0.3">
      <c r="B13" s="3" t="s">
        <v>35</v>
      </c>
      <c r="C13" s="1" t="s">
        <v>36</v>
      </c>
      <c r="D13" s="1" t="s">
        <v>40</v>
      </c>
      <c r="E13" s="1" t="s">
        <v>41</v>
      </c>
      <c r="F13" s="2" t="s">
        <v>39</v>
      </c>
      <c r="G13" s="2" t="s">
        <v>42</v>
      </c>
    </row>
    <row r="14" spans="2:7" x14ac:dyDescent="0.3">
      <c r="B14" s="3">
        <v>0</v>
      </c>
      <c r="C14" s="4">
        <v>10000</v>
      </c>
      <c r="D14" s="4">
        <v>0</v>
      </c>
      <c r="E14" s="4">
        <v>0</v>
      </c>
      <c r="F14" s="4">
        <v>0</v>
      </c>
      <c r="G14" s="4">
        <f>SUM(C14:E14)</f>
        <v>10000</v>
      </c>
    </row>
    <row r="15" spans="2:7" x14ac:dyDescent="0.3">
      <c r="B15" s="3">
        <v>1</v>
      </c>
      <c r="C15" s="4">
        <f t="shared" ref="C15:C49" si="0">C14*Psansan+D14*Plevsan+E14*Pavansan+F14*Pciegsan</f>
        <v>9350</v>
      </c>
      <c r="D15" s="4">
        <f t="shared" ref="D15:D49" si="1">C14*Psanlev+D14*Plevlev+E14*Pavanlev+F14*Pcieglev</f>
        <v>200</v>
      </c>
      <c r="E15" s="4">
        <f t="shared" ref="E15:E49" si="2">C14*Psanavan+D14*Plevavan+E14*Pavanavan+F14*Pciegavan</f>
        <v>100</v>
      </c>
      <c r="F15" s="4">
        <f t="shared" ref="F15:F49" si="3">C14*Psancieg+D14*Plevcieg+E14*Pavancieg+F14</f>
        <v>350.00000000000006</v>
      </c>
      <c r="G15" s="4">
        <f t="shared" ref="G15:G49" si="4">SUM(C15:E15)</f>
        <v>9650</v>
      </c>
    </row>
    <row r="16" spans="2:7" x14ac:dyDescent="0.3">
      <c r="B16" s="3">
        <v>2</v>
      </c>
      <c r="C16" s="4">
        <f t="shared" si="0"/>
        <v>8742.25</v>
      </c>
      <c r="D16" s="4">
        <f t="shared" si="1"/>
        <v>372</v>
      </c>
      <c r="E16" s="4">
        <f t="shared" si="2"/>
        <v>178.5</v>
      </c>
      <c r="F16" s="4">
        <f t="shared" si="3"/>
        <v>707.25000000000011</v>
      </c>
      <c r="G16" s="4">
        <f t="shared" si="4"/>
        <v>9292.75</v>
      </c>
    </row>
    <row r="17" spans="2:7" x14ac:dyDescent="0.3">
      <c r="B17" s="3">
        <v>3</v>
      </c>
      <c r="C17" s="4">
        <f t="shared" si="0"/>
        <v>8174.0037500000008</v>
      </c>
      <c r="D17" s="4">
        <f t="shared" si="1"/>
        <v>517.07000000000005</v>
      </c>
      <c r="E17" s="4">
        <f t="shared" si="2"/>
        <v>241.39750000000001</v>
      </c>
      <c r="F17" s="4">
        <f t="shared" si="3"/>
        <v>1067.5287500000002</v>
      </c>
      <c r="G17" s="4">
        <f t="shared" si="4"/>
        <v>8932.4712500000005</v>
      </c>
    </row>
    <row r="18" spans="2:7" x14ac:dyDescent="0.3">
      <c r="B18" s="3">
        <v>4</v>
      </c>
      <c r="C18" s="4">
        <f t="shared" si="0"/>
        <v>7642.6935062500015</v>
      </c>
      <c r="D18" s="4">
        <f t="shared" si="1"/>
        <v>637.48545000000013</v>
      </c>
      <c r="E18" s="4">
        <f t="shared" si="2"/>
        <v>292.06916250000006</v>
      </c>
      <c r="F18" s="4">
        <f t="shared" si="3"/>
        <v>1427.7518812500002</v>
      </c>
      <c r="G18" s="4">
        <f t="shared" si="4"/>
        <v>8572.2481187500016</v>
      </c>
    </row>
    <row r="19" spans="2:7" x14ac:dyDescent="0.3">
      <c r="B19" s="3">
        <v>5</v>
      </c>
      <c r="C19" s="4">
        <f t="shared" si="0"/>
        <v>7145.9184283437517</v>
      </c>
      <c r="D19" s="4">
        <f t="shared" si="1"/>
        <v>735.85952075000012</v>
      </c>
      <c r="E19" s="4">
        <f t="shared" si="2"/>
        <v>332.68779193750004</v>
      </c>
      <c r="F19" s="4">
        <f t="shared" si="3"/>
        <v>1785.5342589687502</v>
      </c>
      <c r="G19" s="4">
        <f t="shared" si="4"/>
        <v>8214.465741031252</v>
      </c>
    </row>
    <row r="20" spans="2:7" x14ac:dyDescent="0.3">
      <c r="B20" s="3">
        <v>6</v>
      </c>
      <c r="C20" s="4">
        <f t="shared" si="0"/>
        <v>6681.4337305014078</v>
      </c>
      <c r="D20" s="4">
        <f t="shared" si="1"/>
        <v>814.77793315125018</v>
      </c>
      <c r="E20" s="4">
        <f t="shared" si="2"/>
        <v>364.81639796156259</v>
      </c>
      <c r="F20" s="4">
        <f t="shared" si="3"/>
        <v>2138.9719383857814</v>
      </c>
      <c r="G20" s="4">
        <f t="shared" si="4"/>
        <v>7861.0280616142209</v>
      </c>
    </row>
    <row r="21" spans="2:7" x14ac:dyDescent="0.3">
      <c r="B21" s="3">
        <v>7</v>
      </c>
      <c r="C21" s="4">
        <f t="shared" si="0"/>
        <v>6247.1405380188171</v>
      </c>
      <c r="D21" s="4">
        <f t="shared" si="1"/>
        <v>876.65512062141897</v>
      </c>
      <c r="E21" s="4">
        <f t="shared" si="2"/>
        <v>389.68004615656105</v>
      </c>
      <c r="F21" s="4">
        <f t="shared" si="3"/>
        <v>2486.5242952032058</v>
      </c>
      <c r="G21" s="4">
        <f t="shared" si="4"/>
        <v>7513.4757047967969</v>
      </c>
    </row>
    <row r="22" spans="2:7" x14ac:dyDescent="0.3">
      <c r="B22" s="3">
        <v>8</v>
      </c>
      <c r="C22" s="4">
        <f t="shared" si="0"/>
        <v>5841.0764030475939</v>
      </c>
      <c r="D22" s="4">
        <f t="shared" si="1"/>
        <v>923.68691879665175</v>
      </c>
      <c r="E22" s="4">
        <f t="shared" si="2"/>
        <v>408.29369885950962</v>
      </c>
      <c r="F22" s="4">
        <f t="shared" si="3"/>
        <v>2826.9429792962474</v>
      </c>
      <c r="G22" s="4">
        <f t="shared" si="4"/>
        <v>7173.0570207037554</v>
      </c>
    </row>
    <row r="23" spans="2:7" x14ac:dyDescent="0.3">
      <c r="B23" s="3">
        <v>9</v>
      </c>
      <c r="C23" s="4">
        <f t="shared" si="0"/>
        <v>5461.406436849501</v>
      </c>
      <c r="D23" s="4">
        <f t="shared" si="1"/>
        <v>957.84448781315075</v>
      </c>
      <c r="E23" s="4">
        <f t="shared" si="2"/>
        <v>421.52533622270403</v>
      </c>
      <c r="F23" s="4">
        <f t="shared" si="3"/>
        <v>3159.2237391146477</v>
      </c>
      <c r="G23" s="4">
        <f t="shared" si="4"/>
        <v>6840.7762608853554</v>
      </c>
    </row>
    <row r="24" spans="2:7" x14ac:dyDescent="0.3">
      <c r="B24" s="3">
        <v>10</v>
      </c>
      <c r="C24" s="4">
        <f t="shared" si="0"/>
        <v>5106.4150184542841</v>
      </c>
      <c r="D24" s="4">
        <f t="shared" si="1"/>
        <v>980.88505304318664</v>
      </c>
      <c r="E24" s="4">
        <f t="shared" si="2"/>
        <v>430.12967246295483</v>
      </c>
      <c r="F24" s="4">
        <f t="shared" si="3"/>
        <v>3482.5702560395785</v>
      </c>
      <c r="G24" s="4">
        <f t="shared" si="4"/>
        <v>6517.4297439604252</v>
      </c>
    </row>
    <row r="25" spans="2:7" x14ac:dyDescent="0.3">
      <c r="B25" s="3">
        <v>11</v>
      </c>
      <c r="C25" s="4">
        <f t="shared" si="0"/>
        <v>4774.498042254756</v>
      </c>
      <c r="D25" s="4">
        <f t="shared" si="1"/>
        <v>994.3687609193737</v>
      </c>
      <c r="E25" s="4">
        <f t="shared" si="2"/>
        <v>434.76822799564604</v>
      </c>
      <c r="F25" s="4">
        <f t="shared" si="3"/>
        <v>3796.3649688302289</v>
      </c>
      <c r="G25" s="4">
        <f t="shared" si="4"/>
        <v>6203.6350311697761</v>
      </c>
    </row>
    <row r="26" spans="2:7" x14ac:dyDescent="0.3">
      <c r="B26" s="3">
        <v>12</v>
      </c>
      <c r="C26" s="4">
        <f t="shared" si="0"/>
        <v>4464.1556695081972</v>
      </c>
      <c r="D26" s="4">
        <f t="shared" si="1"/>
        <v>999.67702657950565</v>
      </c>
      <c r="E26" s="4">
        <f t="shared" si="2"/>
        <v>436.02281995805896</v>
      </c>
      <c r="F26" s="4">
        <f t="shared" si="3"/>
        <v>4100.1444839542437</v>
      </c>
      <c r="G26" s="4">
        <f t="shared" si="4"/>
        <v>5899.8555160457618</v>
      </c>
    </row>
    <row r="27" spans="2:7" x14ac:dyDescent="0.3">
      <c r="B27" s="3">
        <v>13</v>
      </c>
      <c r="C27" s="4">
        <f t="shared" si="0"/>
        <v>4173.9855509901645</v>
      </c>
      <c r="D27" s="4">
        <f t="shared" si="1"/>
        <v>998.03043964328322</v>
      </c>
      <c r="E27" s="4">
        <f t="shared" si="2"/>
        <v>434.40566165894029</v>
      </c>
      <c r="F27" s="4">
        <f t="shared" si="3"/>
        <v>4393.5783477076175</v>
      </c>
      <c r="G27" s="4">
        <f t="shared" si="4"/>
        <v>5606.421652292388</v>
      </c>
    </row>
    <row r="28" spans="2:7" x14ac:dyDescent="0.3">
      <c r="B28" s="3">
        <v>14</v>
      </c>
      <c r="C28" s="4">
        <f t="shared" si="0"/>
        <v>3902.6764901758038</v>
      </c>
      <c r="D28" s="4">
        <f t="shared" si="1"/>
        <v>990.5054781491649</v>
      </c>
      <c r="E28" s="4">
        <f t="shared" si="2"/>
        <v>430.36753536881128</v>
      </c>
      <c r="F28" s="4">
        <f t="shared" si="3"/>
        <v>4676.4504963062254</v>
      </c>
      <c r="G28" s="4">
        <f t="shared" si="4"/>
        <v>5323.54950369378</v>
      </c>
    </row>
    <row r="29" spans="2:7" x14ac:dyDescent="0.3">
      <c r="B29" s="3">
        <v>15</v>
      </c>
      <c r="C29" s="4">
        <f t="shared" si="0"/>
        <v>3649.0025183143766</v>
      </c>
      <c r="D29" s="4">
        <f t="shared" si="1"/>
        <v>978.04979616505091</v>
      </c>
      <c r="E29" s="4">
        <f t="shared" si="2"/>
        <v>424.30473107697901</v>
      </c>
      <c r="F29" s="4">
        <f t="shared" si="3"/>
        <v>4948.6429544435987</v>
      </c>
      <c r="G29" s="4">
        <f t="shared" si="4"/>
        <v>5051.3570455564068</v>
      </c>
    </row>
    <row r="30" spans="2:7" x14ac:dyDescent="0.3">
      <c r="B30" s="3">
        <v>16</v>
      </c>
      <c r="C30" s="4">
        <f t="shared" si="0"/>
        <v>3411.8173546239423</v>
      </c>
      <c r="D30" s="4">
        <f t="shared" si="1"/>
        <v>961.49607006757299</v>
      </c>
      <c r="E30" s="4">
        <f t="shared" si="2"/>
        <v>416.56509670023985</v>
      </c>
      <c r="F30" s="4">
        <f t="shared" si="3"/>
        <v>5210.1214786082501</v>
      </c>
      <c r="G30" s="4">
        <f t="shared" si="4"/>
        <v>4789.8785213917554</v>
      </c>
    </row>
    <row r="31" spans="2:7" x14ac:dyDescent="0.3">
      <c r="B31" s="3">
        <v>17</v>
      </c>
      <c r="C31" s="4">
        <f t="shared" si="0"/>
        <v>3190.049226573386</v>
      </c>
      <c r="D31" s="4">
        <f t="shared" si="1"/>
        <v>941.57447732159721</v>
      </c>
      <c r="E31" s="4">
        <f t="shared" si="2"/>
        <v>407.45338724150736</v>
      </c>
      <c r="F31" s="4">
        <f t="shared" si="3"/>
        <v>5460.9229088635147</v>
      </c>
      <c r="G31" s="4">
        <f t="shared" si="4"/>
        <v>4539.0770911364907</v>
      </c>
    </row>
    <row r="32" spans="2:7" x14ac:dyDescent="0.3">
      <c r="B32" s="3">
        <v>18</v>
      </c>
      <c r="C32" s="4">
        <f t="shared" si="0"/>
        <v>2982.6960268461162</v>
      </c>
      <c r="D32" s="4">
        <f t="shared" si="1"/>
        <v>918.92391319912235</v>
      </c>
      <c r="E32" s="4">
        <f t="shared" si="2"/>
        <v>397.23602684680247</v>
      </c>
      <c r="F32" s="4">
        <f t="shared" si="3"/>
        <v>5701.1440331079648</v>
      </c>
      <c r="G32" s="4">
        <f t="shared" si="4"/>
        <v>4298.8559668920416</v>
      </c>
    </row>
    <row r="33" spans="2:7" x14ac:dyDescent="0.3">
      <c r="B33" s="3">
        <v>19</v>
      </c>
      <c r="C33" s="4">
        <f t="shared" si="0"/>
        <v>2788.8207851011189</v>
      </c>
      <c r="D33" s="4">
        <f t="shared" si="1"/>
        <v>894.1020578079208</v>
      </c>
      <c r="E33" s="4">
        <f t="shared" si="2"/>
        <v>386.14536201407088</v>
      </c>
      <c r="F33" s="4">
        <f t="shared" si="3"/>
        <v>5930.9317950768955</v>
      </c>
      <c r="G33" s="4">
        <f t="shared" si="4"/>
        <v>4069.0682049231109</v>
      </c>
    </row>
    <row r="34" spans="2:7" x14ac:dyDescent="0.3">
      <c r="B34" s="3">
        <v>20</v>
      </c>
      <c r="C34" s="4">
        <f t="shared" si="0"/>
        <v>2607.5474340695464</v>
      </c>
      <c r="D34" s="4">
        <f t="shared" si="1"/>
        <v>867.59440245187682</v>
      </c>
      <c r="E34" s="4">
        <f t="shared" si="2"/>
        <v>374.38346562993831</v>
      </c>
      <c r="F34" s="4">
        <f t="shared" si="3"/>
        <v>6150.4746978486446</v>
      </c>
      <c r="G34" s="4">
        <f t="shared" si="4"/>
        <v>3849.5253021513613</v>
      </c>
    </row>
    <row r="35" spans="2:7" x14ac:dyDescent="0.3">
      <c r="B35" s="3">
        <v>21</v>
      </c>
      <c r="C35" s="4">
        <f t="shared" si="0"/>
        <v>2438.0568508550259</v>
      </c>
      <c r="D35" s="4">
        <f t="shared" si="1"/>
        <v>839.82233705037697</v>
      </c>
      <c r="E35" s="4">
        <f t="shared" si="2"/>
        <v>362.12554080494306</v>
      </c>
      <c r="F35" s="4">
        <f t="shared" si="3"/>
        <v>6359.9952712896602</v>
      </c>
      <c r="G35" s="4">
        <f t="shared" si="4"/>
        <v>3640.0047287103462</v>
      </c>
    </row>
    <row r="36" spans="2:7" x14ac:dyDescent="0.3">
      <c r="B36" s="3">
        <v>22</v>
      </c>
      <c r="C36" s="4">
        <f t="shared" si="0"/>
        <v>2279.5831555494492</v>
      </c>
      <c r="D36" s="4">
        <f t="shared" si="1"/>
        <v>811.15039185863793</v>
      </c>
      <c r="E36" s="4">
        <f t="shared" si="2"/>
        <v>349.5229665088255</v>
      </c>
      <c r="F36" s="4">
        <f t="shared" si="3"/>
        <v>6559.7434860830936</v>
      </c>
      <c r="G36" s="4">
        <f t="shared" si="4"/>
        <v>3440.2565139169128</v>
      </c>
    </row>
    <row r="37" spans="2:7" x14ac:dyDescent="0.3">
      <c r="B37" s="3">
        <v>23</v>
      </c>
      <c r="C37" s="4">
        <f t="shared" si="0"/>
        <v>2131.4102504387351</v>
      </c>
      <c r="D37" s="4">
        <f t="shared" si="1"/>
        <v>781.89271822510568</v>
      </c>
      <c r="E37" s="4">
        <f t="shared" si="2"/>
        <v>336.70602191414423</v>
      </c>
      <c r="F37" s="4">
        <f t="shared" si="3"/>
        <v>6749.9910094220213</v>
      </c>
      <c r="G37" s="4">
        <f t="shared" si="4"/>
        <v>3250.0089905779851</v>
      </c>
    </row>
    <row r="38" spans="2:7" x14ac:dyDescent="0.3">
      <c r="B38" s="3">
        <v>24</v>
      </c>
      <c r="C38" s="4">
        <f t="shared" si="0"/>
        <v>1992.8685841602176</v>
      </c>
      <c r="D38" s="4">
        <f t="shared" si="1"/>
        <v>752.31888506739529</v>
      </c>
      <c r="E38" s="4">
        <f t="shared" si="2"/>
        <v>323.7863222909325</v>
      </c>
      <c r="F38" s="4">
        <f t="shared" si="3"/>
        <v>6931.0262084814613</v>
      </c>
      <c r="G38" s="4">
        <f t="shared" si="4"/>
        <v>3068.9737915185451</v>
      </c>
    </row>
    <row r="39" spans="2:7" x14ac:dyDescent="0.3">
      <c r="B39" s="3">
        <v>25</v>
      </c>
      <c r="C39" s="4">
        <f t="shared" si="0"/>
        <v>1863.3321261898036</v>
      </c>
      <c r="D39" s="4">
        <f t="shared" si="1"/>
        <v>722.65906030985388</v>
      </c>
      <c r="E39" s="4">
        <f t="shared" si="2"/>
        <v>310.85899586172434</v>
      </c>
      <c r="F39" s="4">
        <f t="shared" si="3"/>
        <v>7103.1498176386249</v>
      </c>
      <c r="G39" s="4">
        <f t="shared" si="4"/>
        <v>2896.8501823613819</v>
      </c>
    </row>
    <row r="40" spans="2:7" x14ac:dyDescent="0.3">
      <c r="B40" s="3">
        <v>26</v>
      </c>
      <c r="C40" s="4">
        <f t="shared" si="0"/>
        <v>1742.2155379874664</v>
      </c>
      <c r="D40" s="4">
        <f t="shared" si="1"/>
        <v>693.10863973711037</v>
      </c>
      <c r="E40" s="4">
        <f t="shared" si="2"/>
        <v>298.00462803232449</v>
      </c>
      <c r="F40" s="4">
        <f t="shared" si="3"/>
        <v>7266.6711942431057</v>
      </c>
      <c r="G40" s="4">
        <f t="shared" si="4"/>
        <v>2733.3288057569011</v>
      </c>
    </row>
    <row r="41" spans="2:7" x14ac:dyDescent="0.3">
      <c r="B41" s="3">
        <v>27</v>
      </c>
      <c r="C41" s="4">
        <f t="shared" si="0"/>
        <v>1628.9715280182811</v>
      </c>
      <c r="D41" s="4">
        <f t="shared" si="1"/>
        <v>663.83237955751872</v>
      </c>
      <c r="E41" s="4">
        <f t="shared" si="2"/>
        <v>285.29099675821971</v>
      </c>
      <c r="F41" s="4">
        <f t="shared" si="3"/>
        <v>7421.9050956659876</v>
      </c>
      <c r="G41" s="4">
        <f t="shared" si="4"/>
        <v>2578.0949043340192</v>
      </c>
    </row>
    <row r="42" spans="2:7" x14ac:dyDescent="0.3">
      <c r="B42" s="3">
        <v>28</v>
      </c>
      <c r="C42" s="4">
        <f t="shared" si="0"/>
        <v>1523.0883786970928</v>
      </c>
      <c r="D42" s="4">
        <f t="shared" si="1"/>
        <v>634.96808339593554</v>
      </c>
      <c r="E42" s="4">
        <f t="shared" si="2"/>
        <v>272.77462043083148</v>
      </c>
      <c r="F42" s="4">
        <f t="shared" si="3"/>
        <v>7569.1689174761477</v>
      </c>
      <c r="G42" s="4">
        <f t="shared" si="4"/>
        <v>2430.8310825238595</v>
      </c>
    </row>
    <row r="43" spans="2:7" x14ac:dyDescent="0.3">
      <c r="B43" s="3">
        <v>29</v>
      </c>
      <c r="C43" s="4">
        <f t="shared" si="0"/>
        <v>1424.087634081782</v>
      </c>
      <c r="D43" s="4">
        <f t="shared" si="1"/>
        <v>606.62988939839818</v>
      </c>
      <c r="E43" s="4">
        <f t="shared" si="2"/>
        <v>260.50213753331855</v>
      </c>
      <c r="F43" s="4">
        <f t="shared" si="3"/>
        <v>7708.7803389865094</v>
      </c>
      <c r="G43" s="4">
        <f t="shared" si="4"/>
        <v>2291.2196610134988</v>
      </c>
    </row>
    <row r="44" spans="2:7" x14ac:dyDescent="0.3">
      <c r="B44" s="3">
        <v>30</v>
      </c>
      <c r="C44" s="4">
        <f t="shared" si="0"/>
        <v>1331.5219378664663</v>
      </c>
      <c r="D44" s="4">
        <f t="shared" si="1"/>
        <v>578.91119858368381</v>
      </c>
      <c r="E44" s="4">
        <f t="shared" si="2"/>
        <v>248.51153539390276</v>
      </c>
      <c r="F44" s="4">
        <f t="shared" si="3"/>
        <v>7841.0553281559551</v>
      </c>
      <c r="G44" s="4">
        <f t="shared" si="4"/>
        <v>2158.9446718440527</v>
      </c>
    </row>
    <row r="45" spans="2:7" x14ac:dyDescent="0.3">
      <c r="B45" s="3">
        <v>31</v>
      </c>
      <c r="C45" s="4">
        <f t="shared" si="0"/>
        <v>1244.973011905146</v>
      </c>
      <c r="D45" s="4">
        <f t="shared" si="1"/>
        <v>551.88728147275208</v>
      </c>
      <c r="E45" s="4">
        <f t="shared" si="2"/>
        <v>236.83324363286374</v>
      </c>
      <c r="F45" s="4">
        <f t="shared" si="3"/>
        <v>7966.306462989246</v>
      </c>
      <c r="G45" s="4">
        <f t="shared" si="4"/>
        <v>2033.6935370107617</v>
      </c>
    </row>
    <row r="46" spans="2:7" x14ac:dyDescent="0.3">
      <c r="B46" s="3">
        <v>32</v>
      </c>
      <c r="C46" s="4">
        <f t="shared" si="0"/>
        <v>1164.0497661313116</v>
      </c>
      <c r="D46" s="4">
        <f t="shared" si="1"/>
        <v>525.61759632452049</v>
      </c>
      <c r="E46" s="4">
        <f t="shared" si="2"/>
        <v>225.49110633803934</v>
      </c>
      <c r="F46" s="4">
        <f t="shared" si="3"/>
        <v>8084.8415312061361</v>
      </c>
      <c r="G46" s="4">
        <f t="shared" si="4"/>
        <v>1915.1584687938714</v>
      </c>
    </row>
    <row r="47" spans="2:7" x14ac:dyDescent="0.3">
      <c r="B47" s="3">
        <v>33</v>
      </c>
      <c r="C47" s="4">
        <f t="shared" si="0"/>
        <v>1088.3865313327765</v>
      </c>
      <c r="D47" s="4">
        <f t="shared" si="1"/>
        <v>500.14784896675246</v>
      </c>
      <c r="E47" s="4">
        <f t="shared" si="2"/>
        <v>214.50324559591286</v>
      </c>
      <c r="F47" s="4">
        <f t="shared" si="3"/>
        <v>8196.9623741045652</v>
      </c>
      <c r="G47" s="4">
        <f t="shared" si="4"/>
        <v>1803.0376258954418</v>
      </c>
    </row>
    <row r="48" spans="2:7" x14ac:dyDescent="0.3">
      <c r="B48" s="3">
        <v>34</v>
      </c>
      <c r="C48" s="4">
        <f t="shared" si="0"/>
        <v>1017.641406796146</v>
      </c>
      <c r="D48" s="4">
        <f t="shared" si="1"/>
        <v>475.51182119903575</v>
      </c>
      <c r="E48" s="4">
        <f t="shared" si="2"/>
        <v>203.88282773609271</v>
      </c>
      <c r="F48" s="4">
        <f t="shared" si="3"/>
        <v>8302.963944268733</v>
      </c>
      <c r="G48" s="4">
        <f t="shared" si="4"/>
        <v>1697.0360557312745</v>
      </c>
    </row>
    <row r="49" spans="2:7" x14ac:dyDescent="0.3">
      <c r="B49" s="3">
        <v>35</v>
      </c>
      <c r="C49" s="4">
        <f t="shared" si="0"/>
        <v>951.49471535439659</v>
      </c>
      <c r="D49" s="4">
        <f t="shared" si="1"/>
        <v>451.73299202917474</v>
      </c>
      <c r="E49" s="4">
        <f t="shared" si="2"/>
        <v>193.63874250266781</v>
      </c>
      <c r="F49" s="4">
        <f t="shared" si="3"/>
        <v>8403.1335501137692</v>
      </c>
      <c r="G49" s="4">
        <f t="shared" si="4"/>
        <v>1596.866449886239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8BD5-1D14-47D4-BFBB-94DD7F9C5A9D}">
  <dimension ref="A1:I50"/>
  <sheetViews>
    <sheetView topLeftCell="A4" workbookViewId="0">
      <selection activeCell="C15" sqref="C15"/>
    </sheetView>
  </sheetViews>
  <sheetFormatPr baseColWidth="10" defaultColWidth="8.77734375" defaultRowHeight="14.4" x14ac:dyDescent="0.3"/>
  <cols>
    <col min="2" max="2" width="15.77734375" customWidth="1"/>
    <col min="3" max="3" width="12.77734375" customWidth="1"/>
    <col min="4" max="4" width="15.77734375" customWidth="1"/>
    <col min="5" max="5" width="20.77734375" customWidth="1"/>
    <col min="6" max="6" width="12.77734375" customWidth="1"/>
    <col min="7" max="7" width="15.77734375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ht="26.4" x14ac:dyDescent="0.3">
      <c r="A2" s="3"/>
      <c r="B2" s="3"/>
      <c r="C2" s="1" t="s">
        <v>36</v>
      </c>
      <c r="D2" s="1" t="s">
        <v>40</v>
      </c>
      <c r="E2" s="1" t="s">
        <v>41</v>
      </c>
      <c r="F2" s="2" t="s">
        <v>39</v>
      </c>
      <c r="G2" s="3"/>
      <c r="H2" s="3"/>
      <c r="I2" s="3"/>
    </row>
    <row r="3" spans="1:9" x14ac:dyDescent="0.3">
      <c r="A3" s="3"/>
      <c r="B3" s="2" t="s">
        <v>36</v>
      </c>
      <c r="C3" s="3">
        <f>Psansan2</f>
        <v>0.94499999999999995</v>
      </c>
      <c r="D3" s="3">
        <f>Plevsan</f>
        <v>0</v>
      </c>
      <c r="E3" s="3">
        <f>Pavansan</f>
        <v>0</v>
      </c>
      <c r="F3" s="3">
        <f>Pciegsan</f>
        <v>0</v>
      </c>
      <c r="G3" s="3"/>
      <c r="H3" s="3"/>
      <c r="I3" s="3"/>
    </row>
    <row r="4" spans="1:9" ht="26.4" x14ac:dyDescent="0.3">
      <c r="A4" s="3"/>
      <c r="B4" s="2" t="s">
        <v>37</v>
      </c>
      <c r="C4" s="3">
        <f>Psanlev2</f>
        <v>1.4999999999999999E-2</v>
      </c>
      <c r="D4" s="3">
        <f>Plevlev</f>
        <v>0.8</v>
      </c>
      <c r="E4" s="3">
        <f>Pavanlev</f>
        <v>0.25</v>
      </c>
      <c r="F4" s="3">
        <f>Pcieglev</f>
        <v>0</v>
      </c>
      <c r="G4" s="3"/>
      <c r="H4" s="3"/>
      <c r="I4" s="3"/>
    </row>
    <row r="5" spans="1:9" ht="39.6" x14ac:dyDescent="0.3">
      <c r="A5" s="3"/>
      <c r="B5" s="2" t="s">
        <v>38</v>
      </c>
      <c r="C5" s="3">
        <f>Psanavan2</f>
        <v>5.0000000000000001E-3</v>
      </c>
      <c r="D5" s="3">
        <f>Plevavan</f>
        <v>0.15</v>
      </c>
      <c r="E5" s="3">
        <f>Pavanavan</f>
        <v>0.55000000000000004</v>
      </c>
      <c r="F5" s="3" cm="1">
        <f t="array" ref="F5">Pciegavan</f>
        <v>0</v>
      </c>
      <c r="G5" s="3"/>
      <c r="H5" s="3"/>
      <c r="I5" s="3"/>
    </row>
    <row r="6" spans="1:9" x14ac:dyDescent="0.3">
      <c r="A6" s="3"/>
      <c r="B6" s="2" t="s">
        <v>39</v>
      </c>
      <c r="C6" s="3">
        <f>Psancieg</f>
        <v>3.5000000000000003E-2</v>
      </c>
      <c r="D6" s="3">
        <f>Plevcieg</f>
        <v>0.05</v>
      </c>
      <c r="E6" s="3" cm="1">
        <f t="array" ref="E6">Pavancieg</f>
        <v>0.2</v>
      </c>
      <c r="F6" s="3">
        <f>Pciegcieg</f>
        <v>1</v>
      </c>
      <c r="G6" s="3"/>
      <c r="H6" s="3"/>
      <c r="I6" s="3"/>
    </row>
    <row r="7" spans="1:9" x14ac:dyDescent="0.3">
      <c r="A7" s="3"/>
      <c r="B7" s="2"/>
      <c r="C7" s="3"/>
      <c r="D7" s="3"/>
      <c r="E7" s="3"/>
      <c r="F7" s="3"/>
      <c r="G7" s="3"/>
      <c r="H7" s="3"/>
      <c r="I7" s="3"/>
    </row>
    <row r="8" spans="1:9" x14ac:dyDescent="0.3">
      <c r="A8" s="3"/>
      <c r="B8" s="2"/>
      <c r="C8" s="3"/>
      <c r="D8" s="3"/>
      <c r="E8" s="3"/>
      <c r="F8" s="3"/>
      <c r="G8" s="3"/>
      <c r="H8" s="3"/>
      <c r="I8" s="3"/>
    </row>
    <row r="9" spans="1:9" ht="26.4" x14ac:dyDescent="0.3">
      <c r="A9" s="3"/>
      <c r="B9" s="3"/>
      <c r="C9" s="1" t="s">
        <v>36</v>
      </c>
      <c r="D9" s="1" t="s">
        <v>40</v>
      </c>
      <c r="E9" s="1" t="s">
        <v>41</v>
      </c>
      <c r="F9" s="2" t="s">
        <v>39</v>
      </c>
      <c r="G9" s="3"/>
      <c r="H9" s="3"/>
      <c r="I9" s="3"/>
    </row>
    <row r="10" spans="1:9" x14ac:dyDescent="0.3">
      <c r="A10" s="3"/>
      <c r="B10" s="3" t="s">
        <v>34</v>
      </c>
      <c r="C10" s="3">
        <v>10000</v>
      </c>
      <c r="D10" s="3">
        <v>0</v>
      </c>
      <c r="E10" s="3">
        <v>0</v>
      </c>
      <c r="F10" s="3">
        <v>0</v>
      </c>
      <c r="G10" s="3"/>
      <c r="H10" s="3"/>
      <c r="I10" s="3"/>
    </row>
    <row r="11" spans="1:9" x14ac:dyDescent="0.3">
      <c r="A11" s="3"/>
      <c r="B11" s="3" t="s">
        <v>56</v>
      </c>
      <c r="C11" s="4">
        <f>SUM(C15:C49)</f>
        <v>148094.48218145454</v>
      </c>
      <c r="D11" s="4">
        <f>SUM(D15:D49)</f>
        <v>20170.127549282424</v>
      </c>
      <c r="E11" s="4">
        <f>SUM(E15:E49)</f>
        <v>8138.7845073735771</v>
      </c>
      <c r="F11" s="4">
        <f>SUM(F15:F49)</f>
        <v>173596.60576188943</v>
      </c>
      <c r="G11" s="5">
        <f>SUM(G15:G49)/C10</f>
        <v>17.640339423811053</v>
      </c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26.4" x14ac:dyDescent="0.3">
      <c r="A13" s="3"/>
      <c r="B13" s="3" t="s">
        <v>35</v>
      </c>
      <c r="C13" s="1" t="s">
        <v>36</v>
      </c>
      <c r="D13" s="1" t="s">
        <v>40</v>
      </c>
      <c r="E13" s="1" t="s">
        <v>41</v>
      </c>
      <c r="F13" s="2" t="s">
        <v>39</v>
      </c>
      <c r="G13" s="2" t="s">
        <v>42</v>
      </c>
      <c r="H13" s="3"/>
      <c r="I13" s="3"/>
    </row>
    <row r="14" spans="1:9" x14ac:dyDescent="0.3">
      <c r="A14" s="3"/>
      <c r="B14" s="3">
        <v>0</v>
      </c>
      <c r="C14" s="4">
        <v>10000</v>
      </c>
      <c r="D14" s="4">
        <v>0</v>
      </c>
      <c r="E14" s="4">
        <v>0</v>
      </c>
      <c r="F14" s="4">
        <v>0</v>
      </c>
      <c r="G14" s="4">
        <f>SUM(C14:E14)</f>
        <v>10000</v>
      </c>
      <c r="H14" s="3"/>
      <c r="I14" s="3"/>
    </row>
    <row r="15" spans="1:9" x14ac:dyDescent="0.3">
      <c r="A15" s="3"/>
      <c r="B15" s="3">
        <v>1</v>
      </c>
      <c r="C15" s="4">
        <f t="shared" ref="C15:C49" si="0">C14*Psansan2+D14*Plevsan+E14*Pavansan+F14*Pciegsan</f>
        <v>9450</v>
      </c>
      <c r="D15" s="4">
        <f t="shared" ref="D15:D49" si="1">C14*Psanlev2+D14*Plevlev+E14*Pavanlev+F14*Pcieglev</f>
        <v>150</v>
      </c>
      <c r="E15" s="4">
        <f t="shared" ref="E15:E49" si="2">C14*Psanavan2+D14*Plevavan+E14*Pavanavan+F14*Pciegavan</f>
        <v>50</v>
      </c>
      <c r="F15" s="4">
        <f t="shared" ref="F15:F49" si="3">C14*Psancieg+D14*Plevcieg+E14*Pavancieg+F14</f>
        <v>350.00000000000006</v>
      </c>
      <c r="G15" s="4">
        <f t="shared" ref="G15:G49" si="4">SUM(C15:E15)</f>
        <v>9650</v>
      </c>
      <c r="H15" s="3"/>
      <c r="I15" s="3"/>
    </row>
    <row r="16" spans="1:9" x14ac:dyDescent="0.3">
      <c r="A16" s="3"/>
      <c r="B16" s="3">
        <v>2</v>
      </c>
      <c r="C16" s="4">
        <f t="shared" si="0"/>
        <v>8930.25</v>
      </c>
      <c r="D16" s="4">
        <f t="shared" si="1"/>
        <v>274.25</v>
      </c>
      <c r="E16" s="4">
        <f t="shared" si="2"/>
        <v>97.25</v>
      </c>
      <c r="F16" s="4">
        <f t="shared" si="3"/>
        <v>698.25000000000011</v>
      </c>
      <c r="G16" s="4">
        <f t="shared" si="4"/>
        <v>9301.75</v>
      </c>
      <c r="H16" s="3"/>
      <c r="I16" s="3"/>
    </row>
    <row r="17" spans="1:9" x14ac:dyDescent="0.3">
      <c r="A17" s="3"/>
      <c r="B17" s="3">
        <v>3</v>
      </c>
      <c r="C17" s="4">
        <f t="shared" si="0"/>
        <v>8439.0862500000003</v>
      </c>
      <c r="D17" s="4">
        <f t="shared" si="1"/>
        <v>377.66624999999999</v>
      </c>
      <c r="E17" s="4">
        <f t="shared" si="2"/>
        <v>139.27625</v>
      </c>
      <c r="F17" s="4">
        <f t="shared" si="3"/>
        <v>1043.9712500000001</v>
      </c>
      <c r="G17" s="4">
        <f t="shared" si="4"/>
        <v>8956.0287500000013</v>
      </c>
      <c r="H17" s="3"/>
      <c r="I17" s="3"/>
    </row>
    <row r="18" spans="1:9" x14ac:dyDescent="0.3">
      <c r="A18" s="3"/>
      <c r="B18" s="3">
        <v>4</v>
      </c>
      <c r="C18" s="4">
        <f t="shared" si="0"/>
        <v>7974.9365062500001</v>
      </c>
      <c r="D18" s="4">
        <f t="shared" si="1"/>
        <v>463.53835624999999</v>
      </c>
      <c r="E18" s="4">
        <f t="shared" si="2"/>
        <v>175.44730625</v>
      </c>
      <c r="F18" s="4">
        <f t="shared" si="3"/>
        <v>1386.0778312500001</v>
      </c>
      <c r="G18" s="4">
        <f t="shared" si="4"/>
        <v>8613.9221687499994</v>
      </c>
      <c r="H18" s="3"/>
      <c r="I18" s="3"/>
    </row>
    <row r="19" spans="1:9" x14ac:dyDescent="0.3">
      <c r="A19" s="3"/>
      <c r="B19" s="3">
        <v>5</v>
      </c>
      <c r="C19" s="4">
        <f t="shared" si="0"/>
        <v>7536.3149984062493</v>
      </c>
      <c r="D19" s="4">
        <f t="shared" si="1"/>
        <v>534.31655915625004</v>
      </c>
      <c r="E19" s="4">
        <f t="shared" si="2"/>
        <v>205.90145440625002</v>
      </c>
      <c r="F19" s="4">
        <f t="shared" si="3"/>
        <v>1723.4669880312501</v>
      </c>
      <c r="G19" s="4">
        <f t="shared" si="4"/>
        <v>8276.5330119687496</v>
      </c>
      <c r="H19" s="3"/>
      <c r="I19" s="3"/>
    </row>
    <row r="20" spans="1:9" x14ac:dyDescent="0.3">
      <c r="A20" s="3"/>
      <c r="B20" s="3">
        <v>6</v>
      </c>
      <c r="C20" s="4">
        <f t="shared" si="0"/>
        <v>7121.8176734939052</v>
      </c>
      <c r="D20" s="4">
        <f t="shared" si="1"/>
        <v>591.97333590265634</v>
      </c>
      <c r="E20" s="4">
        <f t="shared" si="2"/>
        <v>231.07485878890628</v>
      </c>
      <c r="F20" s="4">
        <f t="shared" si="3"/>
        <v>2055.1341318145314</v>
      </c>
      <c r="G20" s="4">
        <f t="shared" si="4"/>
        <v>7944.8658681854686</v>
      </c>
      <c r="H20" s="3"/>
      <c r="I20" s="3"/>
    </row>
    <row r="21" spans="1:9" x14ac:dyDescent="0.3">
      <c r="A21" s="3"/>
      <c r="B21" s="3">
        <v>7</v>
      </c>
      <c r="C21" s="4">
        <f t="shared" si="0"/>
        <v>6730.1177014517398</v>
      </c>
      <c r="D21" s="4">
        <f t="shared" si="1"/>
        <v>638.17464852176022</v>
      </c>
      <c r="E21" s="4">
        <f t="shared" si="2"/>
        <v>251.49626108676642</v>
      </c>
      <c r="F21" s="4">
        <f t="shared" si="3"/>
        <v>2380.2113889397324</v>
      </c>
      <c r="G21" s="4">
        <f t="shared" si="4"/>
        <v>7619.7886110602658</v>
      </c>
      <c r="H21" s="3"/>
      <c r="I21" s="3"/>
    </row>
    <row r="22" spans="1:9" x14ac:dyDescent="0.3">
      <c r="A22" s="3"/>
      <c r="B22" s="3">
        <v>8</v>
      </c>
      <c r="C22" s="4">
        <f t="shared" si="0"/>
        <v>6359.9612278718942</v>
      </c>
      <c r="D22" s="4">
        <f t="shared" si="1"/>
        <v>674.36554961087586</v>
      </c>
      <c r="E22" s="4">
        <f t="shared" si="2"/>
        <v>267.69972938324429</v>
      </c>
      <c r="F22" s="4">
        <f t="shared" si="3"/>
        <v>2697.9734931339844</v>
      </c>
      <c r="G22" s="4">
        <f t="shared" si="4"/>
        <v>7302.0265068660146</v>
      </c>
      <c r="H22" s="3"/>
      <c r="I22" s="3"/>
    </row>
    <row r="23" spans="1:9" x14ac:dyDescent="0.3">
      <c r="A23" s="3"/>
      <c r="B23" s="3">
        <v>9</v>
      </c>
      <c r="C23" s="4">
        <f t="shared" si="0"/>
        <v>6010.16336033894</v>
      </c>
      <c r="D23" s="4">
        <f t="shared" si="1"/>
        <v>701.81679045259023</v>
      </c>
      <c r="E23" s="4">
        <f t="shared" si="2"/>
        <v>280.18948974177522</v>
      </c>
      <c r="F23" s="4">
        <f t="shared" si="3"/>
        <v>3007.8303594666936</v>
      </c>
      <c r="G23" s="4">
        <f t="shared" si="4"/>
        <v>6992.169640533305</v>
      </c>
      <c r="H23" s="3"/>
      <c r="I23" s="3"/>
    </row>
    <row r="24" spans="1:9" x14ac:dyDescent="0.3">
      <c r="A24" s="3"/>
      <c r="B24" s="3">
        <v>10</v>
      </c>
      <c r="C24" s="4">
        <f t="shared" si="0"/>
        <v>5679.6043755202982</v>
      </c>
      <c r="D24" s="4">
        <f t="shared" si="1"/>
        <v>721.65325520260012</v>
      </c>
      <c r="E24" s="4">
        <f t="shared" si="2"/>
        <v>289.4275547275596</v>
      </c>
      <c r="F24" s="4">
        <f t="shared" si="3"/>
        <v>3309.3148145495411</v>
      </c>
      <c r="G24" s="4">
        <f t="shared" si="4"/>
        <v>6690.6851854504575</v>
      </c>
      <c r="H24" s="3"/>
      <c r="I24" s="3"/>
    </row>
    <row r="25" spans="1:9" x14ac:dyDescent="0.3">
      <c r="A25" s="3"/>
      <c r="B25" s="3">
        <v>11</v>
      </c>
      <c r="C25" s="4">
        <f t="shared" si="0"/>
        <v>5367.2261348666816</v>
      </c>
      <c r="D25" s="4">
        <f t="shared" si="1"/>
        <v>734.87355847677452</v>
      </c>
      <c r="E25" s="4">
        <f t="shared" si="2"/>
        <v>295.83116525814933</v>
      </c>
      <c r="F25" s="4">
        <f t="shared" si="3"/>
        <v>3602.0691413983936</v>
      </c>
      <c r="G25" s="4">
        <f t="shared" si="4"/>
        <v>6397.9308586016059</v>
      </c>
      <c r="H25" s="3"/>
      <c r="I25" s="3"/>
    </row>
    <row r="26" spans="1:9" x14ac:dyDescent="0.3">
      <c r="A26" s="3"/>
      <c r="B26" s="3">
        <v>12</v>
      </c>
      <c r="C26" s="4">
        <f t="shared" si="0"/>
        <v>5072.0286974490136</v>
      </c>
      <c r="D26" s="4">
        <f t="shared" si="1"/>
        <v>742.36503011895718</v>
      </c>
      <c r="E26" s="4">
        <f t="shared" si="2"/>
        <v>299.77430533783172</v>
      </c>
      <c r="F26" s="4">
        <f t="shared" si="3"/>
        <v>3885.831967094196</v>
      </c>
      <c r="G26" s="4">
        <f t="shared" si="4"/>
        <v>6114.1680329058026</v>
      </c>
      <c r="H26" s="3"/>
      <c r="I26" s="3"/>
    </row>
    <row r="27" spans="1:9" x14ac:dyDescent="0.3">
      <c r="A27" s="3"/>
      <c r="B27" s="3">
        <v>13</v>
      </c>
      <c r="C27" s="4">
        <f t="shared" si="0"/>
        <v>4793.0671190893172</v>
      </c>
      <c r="D27" s="4">
        <f t="shared" si="1"/>
        <v>744.9160308913589</v>
      </c>
      <c r="E27" s="4">
        <f t="shared" si="2"/>
        <v>301.59076594089606</v>
      </c>
      <c r="F27" s="4">
        <f t="shared" si="3"/>
        <v>4160.4260840784254</v>
      </c>
      <c r="G27" s="4">
        <f t="shared" si="4"/>
        <v>5839.5739159215718</v>
      </c>
      <c r="H27" s="3"/>
      <c r="I27" s="3"/>
    </row>
    <row r="28" spans="1:9" x14ac:dyDescent="0.3">
      <c r="A28" s="3"/>
      <c r="B28" s="3">
        <v>14</v>
      </c>
      <c r="C28" s="4">
        <f t="shared" si="0"/>
        <v>4529.4484275394043</v>
      </c>
      <c r="D28" s="4">
        <f t="shared" si="1"/>
        <v>743.22652298465096</v>
      </c>
      <c r="E28" s="4">
        <f t="shared" si="2"/>
        <v>301.57766149664326</v>
      </c>
      <c r="F28" s="4">
        <f t="shared" si="3"/>
        <v>4425.7473879792988</v>
      </c>
      <c r="G28" s="4">
        <f t="shared" si="4"/>
        <v>5574.2526120206985</v>
      </c>
      <c r="H28" s="3"/>
      <c r="I28" s="3"/>
    </row>
    <row r="29" spans="1:9" x14ac:dyDescent="0.3">
      <c r="A29" s="3"/>
      <c r="B29" s="3">
        <v>15</v>
      </c>
      <c r="C29" s="4">
        <f t="shared" si="0"/>
        <v>4280.3287640247372</v>
      </c>
      <c r="D29" s="4">
        <f t="shared" si="1"/>
        <v>737.9173601749726</v>
      </c>
      <c r="E29" s="4">
        <f t="shared" si="2"/>
        <v>299.99893440854845</v>
      </c>
      <c r="F29" s="4">
        <f t="shared" si="3"/>
        <v>4681.7549413917395</v>
      </c>
      <c r="G29" s="4">
        <f t="shared" si="4"/>
        <v>5318.2450586082587</v>
      </c>
      <c r="H29" s="3"/>
      <c r="I29" s="3"/>
    </row>
    <row r="30" spans="1:9" x14ac:dyDescent="0.3">
      <c r="A30" s="3"/>
      <c r="B30" s="3">
        <v>16</v>
      </c>
      <c r="C30" s="4">
        <f t="shared" si="0"/>
        <v>4044.9106820033767</v>
      </c>
      <c r="D30" s="4">
        <f t="shared" si="1"/>
        <v>729.53855320248624</v>
      </c>
      <c r="E30" s="4">
        <f t="shared" si="2"/>
        <v>297.0886617710712</v>
      </c>
      <c r="F30" s="4">
        <f t="shared" si="3"/>
        <v>4928.4621030230637</v>
      </c>
      <c r="G30" s="4">
        <f t="shared" si="4"/>
        <v>5071.5378969769345</v>
      </c>
      <c r="H30" s="3"/>
      <c r="I30" s="3"/>
    </row>
    <row r="31" spans="1:9" x14ac:dyDescent="0.3">
      <c r="A31" s="3"/>
      <c r="B31" s="3">
        <v>17</v>
      </c>
      <c r="C31" s="4">
        <f t="shared" si="0"/>
        <v>3822.4405944931909</v>
      </c>
      <c r="D31" s="4">
        <f t="shared" si="1"/>
        <v>718.57666823480747</v>
      </c>
      <c r="E31" s="4">
        <f t="shared" si="2"/>
        <v>293.05410036447904</v>
      </c>
      <c r="F31" s="4">
        <f t="shared" si="3"/>
        <v>5165.9286369075207</v>
      </c>
      <c r="G31" s="4">
        <f t="shared" si="4"/>
        <v>4834.0713630924774</v>
      </c>
      <c r="H31" s="3"/>
      <c r="I31" s="3"/>
    </row>
    <row r="32" spans="1:9" x14ac:dyDescent="0.3">
      <c r="A32" s="3"/>
      <c r="B32" s="3">
        <v>18</v>
      </c>
      <c r="C32" s="4">
        <f t="shared" si="0"/>
        <v>3612.2063617960653</v>
      </c>
      <c r="D32" s="4">
        <f t="shared" si="1"/>
        <v>705.4614685963636</v>
      </c>
      <c r="E32" s="4">
        <f t="shared" si="2"/>
        <v>288.07845840815054</v>
      </c>
      <c r="F32" s="4">
        <f t="shared" si="3"/>
        <v>5394.2537111994188</v>
      </c>
      <c r="G32" s="4">
        <f t="shared" si="4"/>
        <v>4605.7462888005794</v>
      </c>
      <c r="H32" s="3"/>
      <c r="I32" s="3"/>
    </row>
    <row r="33" spans="1:9" x14ac:dyDescent="0.3">
      <c r="A33" s="3"/>
      <c r="B33" s="3">
        <v>19</v>
      </c>
      <c r="C33" s="4">
        <f t="shared" si="0"/>
        <v>3413.5350118972815</v>
      </c>
      <c r="D33" s="4">
        <f t="shared" si="1"/>
        <v>690.57188490606961</v>
      </c>
      <c r="E33" s="4">
        <f t="shared" si="2"/>
        <v>282.3234042229177</v>
      </c>
      <c r="F33" s="4">
        <f t="shared" si="3"/>
        <v>5613.5696989737298</v>
      </c>
      <c r="G33" s="4">
        <f t="shared" si="4"/>
        <v>4386.4303010262693</v>
      </c>
      <c r="H33" s="3"/>
      <c r="I33" s="3"/>
    </row>
    <row r="34" spans="1:9" x14ac:dyDescent="0.3">
      <c r="A34" s="3"/>
      <c r="B34" s="3">
        <v>20</v>
      </c>
      <c r="C34" s="4">
        <f t="shared" si="0"/>
        <v>3225.7905862429307</v>
      </c>
      <c r="D34" s="4">
        <f t="shared" si="1"/>
        <v>674.2413841590444</v>
      </c>
      <c r="E34" s="4">
        <f t="shared" si="2"/>
        <v>275.9313301180016</v>
      </c>
      <c r="F34" s="4">
        <f t="shared" si="3"/>
        <v>5824.0366994800215</v>
      </c>
      <c r="G34" s="4">
        <f t="shared" si="4"/>
        <v>4175.9633005199767</v>
      </c>
      <c r="H34" s="3"/>
      <c r="I34" s="3"/>
    </row>
    <row r="35" spans="1:9" x14ac:dyDescent="0.3">
      <c r="A35" s="3"/>
      <c r="B35" s="3">
        <v>21</v>
      </c>
      <c r="C35" s="4">
        <f t="shared" si="0"/>
        <v>3048.3721039995694</v>
      </c>
      <c r="D35" s="4">
        <f t="shared" si="1"/>
        <v>656.76279865037986</v>
      </c>
      <c r="E35" s="4">
        <f t="shared" si="2"/>
        <v>269.02739211997221</v>
      </c>
      <c r="F35" s="4">
        <f t="shared" si="3"/>
        <v>6025.8377052300766</v>
      </c>
      <c r="G35" s="4">
        <f t="shared" si="4"/>
        <v>3974.1622947699216</v>
      </c>
      <c r="H35" s="3"/>
      <c r="I35" s="3"/>
    </row>
    <row r="36" spans="1:9" x14ac:dyDescent="0.3">
      <c r="A36" s="3"/>
      <c r="B36" s="3">
        <v>22</v>
      </c>
      <c r="C36" s="4">
        <f t="shared" si="0"/>
        <v>2880.711638279593</v>
      </c>
      <c r="D36" s="4">
        <f t="shared" si="1"/>
        <v>638.39266851029049</v>
      </c>
      <c r="E36" s="4">
        <f t="shared" si="2"/>
        <v>261.72134598353955</v>
      </c>
      <c r="F36" s="4">
        <f t="shared" si="3"/>
        <v>6219.1743472265753</v>
      </c>
      <c r="G36" s="4">
        <f t="shared" si="4"/>
        <v>3780.8256527734229</v>
      </c>
      <c r="H36" s="3"/>
      <c r="I36" s="3"/>
    </row>
    <row r="37" spans="1:9" x14ac:dyDescent="0.3">
      <c r="A37" s="3"/>
      <c r="B37" s="3">
        <v>23</v>
      </c>
      <c r="C37" s="4">
        <f t="shared" si="0"/>
        <v>2722.2724981742153</v>
      </c>
      <c r="D37" s="4">
        <f t="shared" si="1"/>
        <v>619.3551458783113</v>
      </c>
      <c r="E37" s="4">
        <f t="shared" si="2"/>
        <v>254.10919875888828</v>
      </c>
      <c r="F37" s="4">
        <f t="shared" si="3"/>
        <v>6404.2631571885831</v>
      </c>
      <c r="G37" s="4">
        <f t="shared" si="4"/>
        <v>3595.736842811415</v>
      </c>
      <c r="H37" s="3"/>
      <c r="I37" s="3"/>
    </row>
    <row r="38" spans="1:9" x14ac:dyDescent="0.3">
      <c r="A38" s="3"/>
      <c r="B38" s="3">
        <v>24</v>
      </c>
      <c r="C38" s="4">
        <f t="shared" si="0"/>
        <v>2572.5475107746333</v>
      </c>
      <c r="D38" s="4">
        <f t="shared" si="1"/>
        <v>599.84550386498438</v>
      </c>
      <c r="E38" s="4">
        <f t="shared" si="2"/>
        <v>246.27469369000633</v>
      </c>
      <c r="F38" s="4">
        <f t="shared" si="3"/>
        <v>6581.3322916703737</v>
      </c>
      <c r="G38" s="4">
        <f t="shared" si="4"/>
        <v>3418.667708329624</v>
      </c>
      <c r="H38" s="3"/>
      <c r="I38" s="3"/>
    </row>
    <row r="39" spans="1:9" x14ac:dyDescent="0.3">
      <c r="A39" s="3"/>
      <c r="B39" s="3">
        <v>25</v>
      </c>
      <c r="C39" s="4">
        <f t="shared" si="0"/>
        <v>2431.0573976820283</v>
      </c>
      <c r="D39" s="4">
        <f t="shared" si="1"/>
        <v>580.03328917610861</v>
      </c>
      <c r="E39" s="4">
        <f t="shared" si="2"/>
        <v>238.29064466312431</v>
      </c>
      <c r="F39" s="4">
        <f t="shared" si="3"/>
        <v>6750.6186684787363</v>
      </c>
      <c r="G39" s="4">
        <f t="shared" si="4"/>
        <v>3249.381331521261</v>
      </c>
      <c r="H39" s="3"/>
      <c r="I39" s="3"/>
    </row>
    <row r="40" spans="1:9" x14ac:dyDescent="0.3">
      <c r="A40" s="3"/>
      <c r="B40" s="3">
        <v>26</v>
      </c>
      <c r="C40" s="4">
        <f t="shared" si="0"/>
        <v>2297.3492408095167</v>
      </c>
      <c r="D40" s="4">
        <f t="shared" si="1"/>
        <v>560.06515347189838</v>
      </c>
      <c r="E40" s="4">
        <f t="shared" si="2"/>
        <v>230.22013492954483</v>
      </c>
      <c r="F40" s="4">
        <f t="shared" si="3"/>
        <v>6912.3654707890373</v>
      </c>
      <c r="G40" s="4">
        <f t="shared" si="4"/>
        <v>3087.63452921096</v>
      </c>
      <c r="H40" s="3"/>
      <c r="I40" s="3"/>
    </row>
    <row r="41" spans="1:9" x14ac:dyDescent="0.3">
      <c r="A41" s="3"/>
      <c r="B41" s="3">
        <v>27</v>
      </c>
      <c r="C41" s="4">
        <f t="shared" si="0"/>
        <v>2170.9950325649934</v>
      </c>
      <c r="D41" s="4">
        <f t="shared" si="1"/>
        <v>540.06739512204763</v>
      </c>
      <c r="E41" s="4">
        <f t="shared" si="2"/>
        <v>222.11759343608199</v>
      </c>
      <c r="F41" s="4">
        <f t="shared" si="3"/>
        <v>7066.8199788768743</v>
      </c>
      <c r="G41" s="4">
        <f t="shared" si="4"/>
        <v>2933.1800211231234</v>
      </c>
      <c r="H41" s="3"/>
      <c r="I41" s="3"/>
    </row>
    <row r="42" spans="1:9" x14ac:dyDescent="0.3">
      <c r="A42" s="3"/>
      <c r="B42" s="3">
        <v>28</v>
      </c>
      <c r="C42" s="4">
        <f t="shared" si="0"/>
        <v>2051.5903057739188</v>
      </c>
      <c r="D42" s="4">
        <f t="shared" si="1"/>
        <v>520.14823994513358</v>
      </c>
      <c r="E42" s="4">
        <f t="shared" si="2"/>
        <v>214.02976082097723</v>
      </c>
      <c r="F42" s="4">
        <f t="shared" si="3"/>
        <v>7214.2316934599676</v>
      </c>
      <c r="G42" s="4">
        <f t="shared" si="4"/>
        <v>2785.7683065400292</v>
      </c>
      <c r="H42" s="3"/>
      <c r="I42" s="3"/>
    </row>
    <row r="43" spans="1:9" x14ac:dyDescent="0.3">
      <c r="A43" s="3"/>
      <c r="B43" s="3">
        <v>29</v>
      </c>
      <c r="C43" s="4">
        <f t="shared" si="0"/>
        <v>1938.7528389563531</v>
      </c>
      <c r="D43" s="4">
        <f t="shared" si="1"/>
        <v>500.39988674795995</v>
      </c>
      <c r="E43" s="4">
        <f t="shared" si="2"/>
        <v>205.99655597217713</v>
      </c>
      <c r="F43" s="4">
        <f t="shared" si="3"/>
        <v>7354.850718323507</v>
      </c>
      <c r="G43" s="4">
        <f t="shared" si="4"/>
        <v>2645.1492816764903</v>
      </c>
      <c r="H43" s="3"/>
      <c r="I43" s="3"/>
    </row>
    <row r="44" spans="1:9" x14ac:dyDescent="0.3">
      <c r="A44" s="3"/>
      <c r="B44" s="3">
        <v>30</v>
      </c>
      <c r="C44" s="4">
        <f t="shared" si="0"/>
        <v>1832.1214328137537</v>
      </c>
      <c r="D44" s="4">
        <f t="shared" si="1"/>
        <v>480.90034097575756</v>
      </c>
      <c r="E44" s="4">
        <f t="shared" si="2"/>
        <v>198.05185299167317</v>
      </c>
      <c r="F44" s="4">
        <f t="shared" si="3"/>
        <v>7488.9263732188128</v>
      </c>
      <c r="G44" s="4">
        <f t="shared" si="4"/>
        <v>2511.0736267811844</v>
      </c>
      <c r="H44" s="3"/>
      <c r="I44" s="3"/>
    </row>
    <row r="45" spans="1:9" x14ac:dyDescent="0.3">
      <c r="A45" s="3"/>
      <c r="B45" s="3">
        <v>31</v>
      </c>
      <c r="C45" s="4">
        <f t="shared" si="0"/>
        <v>1731.3547540089971</v>
      </c>
      <c r="D45" s="4">
        <f t="shared" si="1"/>
        <v>461.71505752073062</v>
      </c>
      <c r="E45" s="4">
        <f t="shared" si="2"/>
        <v>190.22417745585267</v>
      </c>
      <c r="F45" s="4">
        <f t="shared" si="3"/>
        <v>7616.7060110144166</v>
      </c>
      <c r="G45" s="4">
        <f t="shared" si="4"/>
        <v>2383.2939889855807</v>
      </c>
      <c r="H45" s="3"/>
      <c r="I45" s="3"/>
    </row>
    <row r="46" spans="1:9" x14ac:dyDescent="0.3">
      <c r="A46" s="3"/>
      <c r="B46" s="3">
        <v>32</v>
      </c>
      <c r="C46" s="4">
        <f t="shared" si="0"/>
        <v>1636.1302425385022</v>
      </c>
      <c r="D46" s="4">
        <f t="shared" si="1"/>
        <v>442.89841169068268</v>
      </c>
      <c r="E46" s="4">
        <f t="shared" si="2"/>
        <v>182.53732999887353</v>
      </c>
      <c r="F46" s="4">
        <f t="shared" si="3"/>
        <v>7738.4340157719389</v>
      </c>
      <c r="G46" s="4">
        <f t="shared" si="4"/>
        <v>2261.5659842280588</v>
      </c>
      <c r="H46" s="3"/>
      <c r="I46" s="3"/>
    </row>
    <row r="47" spans="1:9" x14ac:dyDescent="0.3">
      <c r="A47" s="3"/>
      <c r="B47" s="3">
        <v>33</v>
      </c>
      <c r="C47" s="4">
        <f t="shared" si="0"/>
        <v>1546.1430791988846</v>
      </c>
      <c r="D47" s="4">
        <f t="shared" si="1"/>
        <v>424.49501549034204</v>
      </c>
      <c r="E47" s="4">
        <f t="shared" si="2"/>
        <v>175.01094446567538</v>
      </c>
      <c r="F47" s="4">
        <f t="shared" si="3"/>
        <v>7854.350960845095</v>
      </c>
      <c r="G47" s="4">
        <f t="shared" si="4"/>
        <v>2145.6490391549019</v>
      </c>
      <c r="H47" s="3"/>
      <c r="I47" s="3"/>
    </row>
    <row r="48" spans="1:9" x14ac:dyDescent="0.3">
      <c r="A48" s="3"/>
      <c r="B48" s="3">
        <v>34</v>
      </c>
      <c r="C48" s="4">
        <f t="shared" si="0"/>
        <v>1461.1052098429459</v>
      </c>
      <c r="D48" s="4">
        <f t="shared" si="1"/>
        <v>406.54089469667576</v>
      </c>
      <c r="E48" s="4">
        <f t="shared" si="2"/>
        <v>167.66098717566717</v>
      </c>
      <c r="F48" s="4">
        <f t="shared" si="3"/>
        <v>7964.6929082847082</v>
      </c>
      <c r="G48" s="4">
        <f t="shared" si="4"/>
        <v>2035.3070917152891</v>
      </c>
      <c r="H48" s="3"/>
      <c r="I48" s="3"/>
    </row>
    <row r="49" spans="1:9" x14ac:dyDescent="0.3">
      <c r="A49" s="3"/>
      <c r="B49" s="3">
        <v>35</v>
      </c>
      <c r="C49" s="4">
        <f t="shared" si="0"/>
        <v>1380.7444233015838</v>
      </c>
      <c r="D49" s="4">
        <f t="shared" si="1"/>
        <v>389.06454069890162</v>
      </c>
      <c r="E49" s="4">
        <f t="shared" si="2"/>
        <v>160.50020320033303</v>
      </c>
      <c r="F49" s="4">
        <f t="shared" si="3"/>
        <v>8069.6908327991787</v>
      </c>
      <c r="G49" s="4">
        <f t="shared" si="4"/>
        <v>1930.3091672008186</v>
      </c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56A0-3822-4B95-8782-32F8BCB0369B}">
  <dimension ref="A1:L45"/>
  <sheetViews>
    <sheetView topLeftCell="B1" workbookViewId="0">
      <selection activeCell="F6" sqref="F6"/>
    </sheetView>
  </sheetViews>
  <sheetFormatPr baseColWidth="10" defaultColWidth="8.77734375" defaultRowHeight="14.4" x14ac:dyDescent="0.3"/>
  <cols>
    <col min="1" max="1" width="12.77734375" customWidth="1"/>
    <col min="2" max="2" width="15.77734375" customWidth="1"/>
    <col min="3" max="3" width="12.77734375" customWidth="1"/>
    <col min="4" max="5" width="15.77734375" customWidth="1"/>
    <col min="6" max="6" width="12.77734375" customWidth="1"/>
    <col min="7" max="7" width="15.77734375" customWidth="1"/>
    <col min="8" max="8" width="12.77734375" customWidth="1"/>
    <col min="9" max="10" width="15.77734375" customWidth="1"/>
    <col min="11" max="11" width="12.77734375" customWidth="1"/>
    <col min="12" max="12" width="15.77734375" customWidth="1"/>
  </cols>
  <sheetData>
    <row r="1" spans="1:12" x14ac:dyDescent="0.3">
      <c r="A1" s="3"/>
      <c r="B1" s="3"/>
      <c r="C1" s="24" t="s">
        <v>43</v>
      </c>
      <c r="D1" s="24"/>
      <c r="E1" s="24"/>
      <c r="F1" s="24"/>
      <c r="G1" s="3"/>
      <c r="H1" s="25" t="s">
        <v>44</v>
      </c>
      <c r="I1" s="25"/>
      <c r="J1" s="25"/>
      <c r="K1" s="25"/>
    </row>
    <row r="2" spans="1:12" x14ac:dyDescent="0.3">
      <c r="A2" s="3"/>
      <c r="B2" s="3"/>
      <c r="C2" s="3"/>
      <c r="D2" s="3"/>
      <c r="E2" s="5"/>
      <c r="F2" s="3"/>
      <c r="G2" s="3"/>
      <c r="H2" s="3"/>
      <c r="I2" s="3"/>
      <c r="J2" s="5"/>
      <c r="K2" s="3"/>
    </row>
    <row r="3" spans="1:12" ht="49.95" customHeight="1" x14ac:dyDescent="0.3">
      <c r="A3" s="3"/>
      <c r="B3" s="3"/>
      <c r="C3" s="1" t="s">
        <v>36</v>
      </c>
      <c r="D3" s="1" t="s">
        <v>40</v>
      </c>
      <c r="E3" s="1" t="s">
        <v>48</v>
      </c>
      <c r="F3" s="2" t="s">
        <v>39</v>
      </c>
      <c r="G3" s="3"/>
      <c r="H3" s="1" t="s">
        <v>36</v>
      </c>
      <c r="I3" s="1" t="s">
        <v>40</v>
      </c>
      <c r="J3" s="1" t="s">
        <v>48</v>
      </c>
      <c r="K3" s="2" t="s">
        <v>39</v>
      </c>
    </row>
    <row r="4" spans="1:12" x14ac:dyDescent="0.3">
      <c r="A4" s="3"/>
      <c r="B4" s="6" t="s">
        <v>45</v>
      </c>
      <c r="C4" s="3">
        <f>Usan</f>
        <v>1</v>
      </c>
      <c r="D4" s="3">
        <f>Ulev</f>
        <v>0.75</v>
      </c>
      <c r="E4" s="3">
        <f>Uavan</f>
        <v>0.4</v>
      </c>
      <c r="F4" s="3">
        <f>Ucieg</f>
        <v>0</v>
      </c>
      <c r="G4" s="3"/>
      <c r="H4" s="3">
        <f>Usan</f>
        <v>1</v>
      </c>
      <c r="I4" s="3">
        <f>Ulev</f>
        <v>0.75</v>
      </c>
      <c r="J4" s="3">
        <f>Uavan</f>
        <v>0.4</v>
      </c>
      <c r="K4" s="3">
        <f>Ucieg</f>
        <v>0</v>
      </c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3">
      <c r="A6" s="3"/>
      <c r="B6" s="3" t="s">
        <v>46</v>
      </c>
      <c r="C6" s="7">
        <f>SUM(C11:C35)</f>
        <v>92352.056851464018</v>
      </c>
      <c r="D6" s="7">
        <f>SUM(D11:D35)</f>
        <v>10717.878234704513</v>
      </c>
      <c r="E6" s="7">
        <f>SUM(E11:E35)</f>
        <v>2519.5814044509466</v>
      </c>
      <c r="F6" s="7">
        <f>SUM(F11:F45)</f>
        <v>0</v>
      </c>
      <c r="G6" s="8">
        <f>SUM(C6:F6)/10000</f>
        <v>10.558951649061948</v>
      </c>
      <c r="H6" s="7">
        <f>SUM(H11:H35)</f>
        <v>101215.95769755103</v>
      </c>
      <c r="I6" s="7">
        <f>SUM(I11:I35)</f>
        <v>8042.6893709414726</v>
      </c>
      <c r="J6" s="7">
        <f>SUM(J11:J35)</f>
        <v>1710.7205095996435</v>
      </c>
      <c r="K6" s="7">
        <f>SUM(K11:K45)</f>
        <v>0</v>
      </c>
      <c r="L6" s="8">
        <f>SUM(H6:K6)/10000</f>
        <v>11.096936757809214</v>
      </c>
    </row>
    <row r="7" spans="1:12" x14ac:dyDescent="0.3">
      <c r="A7" s="3"/>
      <c r="B7" s="3"/>
      <c r="C7" s="7"/>
      <c r="D7" s="7"/>
      <c r="E7" s="7"/>
      <c r="F7" s="3"/>
      <c r="G7" s="3"/>
      <c r="H7" s="7"/>
      <c r="I7" s="7"/>
      <c r="J7" s="7"/>
      <c r="K7" s="3"/>
    </row>
    <row r="8" spans="1:12" x14ac:dyDescent="0.3">
      <c r="A8" s="6"/>
      <c r="B8" s="3"/>
      <c r="C8" s="7"/>
      <c r="D8" s="7"/>
      <c r="E8" s="7"/>
      <c r="F8" s="3"/>
      <c r="G8" s="3"/>
      <c r="H8" s="7"/>
      <c r="I8" s="7"/>
      <c r="J8" s="7"/>
      <c r="K8" s="3"/>
    </row>
    <row r="9" spans="1:12" x14ac:dyDescent="0.3">
      <c r="A9" s="3"/>
      <c r="B9" s="3"/>
      <c r="C9" s="26" t="s">
        <v>43</v>
      </c>
      <c r="D9" s="26"/>
      <c r="E9" s="26"/>
      <c r="F9" s="26"/>
      <c r="G9" s="3"/>
      <c r="H9" s="27" t="s">
        <v>44</v>
      </c>
      <c r="I9" s="27"/>
      <c r="J9" s="27"/>
      <c r="K9" s="27"/>
    </row>
    <row r="10" spans="1:12" ht="49.95" customHeight="1" x14ac:dyDescent="0.3">
      <c r="A10" s="6" t="s">
        <v>23</v>
      </c>
      <c r="B10" s="6" t="s">
        <v>35</v>
      </c>
      <c r="C10" s="1" t="s">
        <v>36</v>
      </c>
      <c r="D10" s="1" t="s">
        <v>40</v>
      </c>
      <c r="E10" s="1" t="s">
        <v>48</v>
      </c>
      <c r="F10" s="2" t="s">
        <v>39</v>
      </c>
      <c r="G10" s="6"/>
      <c r="H10" s="1" t="s">
        <v>36</v>
      </c>
      <c r="I10" s="1" t="s">
        <v>40</v>
      </c>
      <c r="J10" s="1" t="s">
        <v>48</v>
      </c>
      <c r="K10" s="2" t="s">
        <v>47</v>
      </c>
    </row>
    <row r="11" spans="1:12" x14ac:dyDescent="0.3">
      <c r="A11" s="3">
        <v>1</v>
      </c>
      <c r="B11" s="3">
        <v>1</v>
      </c>
      <c r="C11" s="8">
        <f>A11*Alternativa1!C15*Usan</f>
        <v>9350</v>
      </c>
      <c r="D11" s="8">
        <f>A11*Alternativa1!D15*Ulev</f>
        <v>150</v>
      </c>
      <c r="E11" s="8">
        <f>A11*Alternativa1!E15*Uavan</f>
        <v>40</v>
      </c>
      <c r="F11" s="8">
        <f>A11*Alternativa1!F15*Ucieg</f>
        <v>0</v>
      </c>
      <c r="G11" s="3"/>
      <c r="H11" s="8">
        <f>A11*Alternativa2!C15*Usan</f>
        <v>9450</v>
      </c>
      <c r="I11" s="8">
        <f>A11*Alternativa2!D15*Ulev</f>
        <v>112.5</v>
      </c>
      <c r="J11" s="8">
        <f>A11*Alternativa2!E15*Uavan</f>
        <v>20</v>
      </c>
      <c r="K11" s="8">
        <f>A11*Alternativa2!F15*Ucieg</f>
        <v>0</v>
      </c>
    </row>
    <row r="12" spans="1:12" x14ac:dyDescent="0.3">
      <c r="A12" s="3">
        <f t="shared" ref="A12:A45" si="0">A11/(1+Descuento)</f>
        <v>0.970873786407767</v>
      </c>
      <c r="B12" s="3">
        <v>2</v>
      </c>
      <c r="C12" s="8">
        <f>A12*Alternativa1!C16*Usan</f>
        <v>8487.6213592233016</v>
      </c>
      <c r="D12" s="8">
        <f>A12*Alternativa1!D16*Ulev</f>
        <v>270.873786407767</v>
      </c>
      <c r="E12" s="8">
        <f>A12*Alternativa1!E16*Uavan</f>
        <v>69.320388349514573</v>
      </c>
      <c r="F12" s="8">
        <f>A12*Alternativa1!F16*Ucieg</f>
        <v>0</v>
      </c>
      <c r="G12" s="3"/>
      <c r="H12" s="8">
        <f>A12*Alternativa2!C16*Usan</f>
        <v>8670.1456310679605</v>
      </c>
      <c r="I12" s="8">
        <f>A12*Alternativa2!D16*Ulev</f>
        <v>199.69660194174759</v>
      </c>
      <c r="J12" s="8">
        <f>A12*Alternativa2!E16*Uavan</f>
        <v>37.76699029126214</v>
      </c>
      <c r="K12" s="8">
        <f>A12*Alternativa2!F16*Ucieg</f>
        <v>0</v>
      </c>
    </row>
    <row r="13" spans="1:12" x14ac:dyDescent="0.3">
      <c r="A13" s="3">
        <f t="shared" si="0"/>
        <v>0.94259590913375435</v>
      </c>
      <c r="B13" s="3">
        <v>3</v>
      </c>
      <c r="C13" s="8">
        <f>A13*Alternativa1!C17*Usan</f>
        <v>7704.782495993968</v>
      </c>
      <c r="D13" s="8">
        <f>A13*Alternativa1!D17*Ulev</f>
        <v>365.54105005184283</v>
      </c>
      <c r="E13" s="8">
        <f>A13*Alternativa1!E17*Uavan</f>
        <v>91.016118390046188</v>
      </c>
      <c r="F13" s="8">
        <f>A13*Alternativa1!F17*Ucieg</f>
        <v>0</v>
      </c>
      <c r="G13" s="3"/>
      <c r="H13" s="8">
        <f>A13*Alternativa2!C17*Usan</f>
        <v>7954.6481760769157</v>
      </c>
      <c r="I13" s="8">
        <f>A13*Alternativa2!D17*Ulev</f>
        <v>266.98999670091428</v>
      </c>
      <c r="J13" s="8">
        <f>A13*Alternativa2!E17*Uavan</f>
        <v>52.512489395796024</v>
      </c>
      <c r="K13" s="8">
        <f>A13*Alternativa2!F17*Ucieg</f>
        <v>0</v>
      </c>
    </row>
    <row r="14" spans="1:12" x14ac:dyDescent="0.3">
      <c r="A14" s="3">
        <f t="shared" si="0"/>
        <v>0.9151416593531595</v>
      </c>
      <c r="B14" s="3">
        <v>4</v>
      </c>
      <c r="C14" s="8">
        <f>A14*Alternativa1!C18*Usan</f>
        <v>6994.1472172372432</v>
      </c>
      <c r="D14" s="8">
        <f>A14*Alternativa1!D18*Ulev</f>
        <v>437.54211939487175</v>
      </c>
      <c r="E14" s="8">
        <f>A14*Alternativa1!E18*Uavan</f>
        <v>106.91386320645506</v>
      </c>
      <c r="F14" s="8">
        <f>A14*Alternativa1!F18*Ucieg</f>
        <v>0</v>
      </c>
      <c r="G14" s="3"/>
      <c r="H14" s="8">
        <f>A14*Alternativa2!C18*Usan</f>
        <v>7298.1966275657132</v>
      </c>
      <c r="I14" s="8">
        <f>A14*Alternativa2!D18*Ulev</f>
        <v>318.15244538434575</v>
      </c>
      <c r="J14" s="8">
        <f>A14*Alternativa2!E18*Uavan</f>
        <v>64.22365558826678</v>
      </c>
      <c r="K14" s="8">
        <f>A14*Alternativa2!F18*Ucieg</f>
        <v>0</v>
      </c>
    </row>
    <row r="15" spans="1:12" x14ac:dyDescent="0.3">
      <c r="A15" s="3">
        <f t="shared" si="0"/>
        <v>0.88848704791568878</v>
      </c>
      <c r="B15" s="3">
        <v>5</v>
      </c>
      <c r="C15" s="8">
        <f>A15*Alternativa1!C19*Usan</f>
        <v>6349.0559690454584</v>
      </c>
      <c r="D15" s="8">
        <f>A15*Alternativa1!D19*Ulev</f>
        <v>490.35123995386584</v>
      </c>
      <c r="E15" s="8">
        <f>A15*Alternativa1!E19*Uavan</f>
        <v>118.23551765445532</v>
      </c>
      <c r="F15" s="8">
        <f>A15*Alternativa1!F19*Ucieg</f>
        <v>0</v>
      </c>
      <c r="G15" s="3"/>
      <c r="H15" s="8">
        <f>A15*Alternativa2!C19*Usan</f>
        <v>6695.9182650966968</v>
      </c>
      <c r="I15" s="8">
        <f>A15*Alternativa2!D19*Ulev</f>
        <v>356.05000672290379</v>
      </c>
      <c r="J15" s="8">
        <f>A15*Alternativa2!E19*Uavan</f>
        <v>73.176310154782342</v>
      </c>
      <c r="K15" s="8">
        <f>A15*Alternativa2!F19*Ucieg</f>
        <v>0</v>
      </c>
    </row>
    <row r="16" spans="1:12" x14ac:dyDescent="0.3">
      <c r="A16" s="3">
        <f t="shared" si="0"/>
        <v>0.86260878438416388</v>
      </c>
      <c r="B16" s="3">
        <v>6</v>
      </c>
      <c r="C16" s="8">
        <f>A16*Alternativa1!C20*Usan</f>
        <v>5763.4634282111683</v>
      </c>
      <c r="D16" s="8">
        <f>A16*Alternativa1!D20*Ulev</f>
        <v>527.12595184398106</v>
      </c>
      <c r="E16" s="8">
        <f>A16*Alternativa1!E20*Uavan</f>
        <v>125.87753182761315</v>
      </c>
      <c r="F16" s="8">
        <f>A16*Alternativa1!F20*Ucieg</f>
        <v>0</v>
      </c>
      <c r="G16" s="3"/>
      <c r="H16" s="8">
        <f>A16*Alternativa2!C20*Usan</f>
        <v>6143.3424859382321</v>
      </c>
      <c r="I16" s="8">
        <f>A16*Alternativa2!D20*Ulev</f>
        <v>382.98104975312151</v>
      </c>
      <c r="J16" s="8">
        <f>A16*Alternativa2!E20*Uavan</f>
        <v>79.730881216656314</v>
      </c>
      <c r="K16" s="8">
        <f>A16*Alternativa2!F20*Ucieg</f>
        <v>0</v>
      </c>
    </row>
    <row r="17" spans="1:11" x14ac:dyDescent="0.3">
      <c r="A17" s="3">
        <f t="shared" si="0"/>
        <v>0.83748425668365423</v>
      </c>
      <c r="B17" s="3">
        <v>7</v>
      </c>
      <c r="C17" s="8">
        <f>A17*Alternativa1!C21*Usan</f>
        <v>5231.8818498810124</v>
      </c>
      <c r="D17" s="8">
        <f>A17*Alternativa1!D21*Ulev</f>
        <v>550.63864654616123</v>
      </c>
      <c r="E17" s="8">
        <f>A17*Alternativa1!E21*Uavan</f>
        <v>130.54036151995183</v>
      </c>
      <c r="F17" s="8">
        <f>A17*Alternativa1!F21*Ucieg</f>
        <v>0</v>
      </c>
      <c r="G17" s="3"/>
      <c r="H17" s="8">
        <f>A17*Alternativa2!C21*Usan</f>
        <v>5636.3676205938136</v>
      </c>
      <c r="I17" s="8">
        <f>A17*Alternativa2!D21*Ulev</f>
        <v>400.84591586369902</v>
      </c>
      <c r="J17" s="8">
        <f>A17*Alternativa2!E21*Uavan</f>
        <v>84.24966370998753</v>
      </c>
      <c r="K17" s="8">
        <f>A17*Alternativa2!F21*Ucieg</f>
        <v>0</v>
      </c>
    </row>
    <row r="18" spans="1:11" x14ac:dyDescent="0.3">
      <c r="A18" s="3">
        <f t="shared" si="0"/>
        <v>0.81309151134335356</v>
      </c>
      <c r="B18" s="3">
        <v>8</v>
      </c>
      <c r="C18" s="8">
        <f>A18*Alternativa1!C22*Usan</f>
        <v>4749.3296404259672</v>
      </c>
      <c r="D18" s="8">
        <f>A18*Alternativa1!D22*Ulev</f>
        <v>563.28149460934128</v>
      </c>
      <c r="E18" s="8">
        <f>A18*Alternativa1!E22*Uavan</f>
        <v>132.79205627105873</v>
      </c>
      <c r="F18" s="8">
        <f>A18*Alternativa1!F22*Ucieg</f>
        <v>0</v>
      </c>
      <c r="G18" s="3"/>
      <c r="H18" s="8">
        <f>A18*Alternativa2!C22*Usan</f>
        <v>5171.2304868554893</v>
      </c>
      <c r="I18" s="8">
        <f>A18*Alternativa2!D22*Ulev</f>
        <v>411.24067794824873</v>
      </c>
      <c r="J18" s="8">
        <f>A18*Alternativa2!E22*Uavan</f>
        <v>87.065751020171547</v>
      </c>
      <c r="K18" s="8">
        <f>A18*Alternativa2!F22*Ucieg</f>
        <v>0</v>
      </c>
    </row>
    <row r="19" spans="1:11" x14ac:dyDescent="0.3">
      <c r="A19" s="3">
        <f t="shared" si="0"/>
        <v>0.7894092343139355</v>
      </c>
      <c r="B19" s="3">
        <v>9</v>
      </c>
      <c r="C19" s="8">
        <f>A19*Alternativa1!C23*Usan</f>
        <v>4311.2846735905632</v>
      </c>
      <c r="D19" s="8">
        <f>A19*Alternativa1!D23*Ulev</f>
        <v>567.0984627873022</v>
      </c>
      <c r="E19" s="8">
        <f>A19*Alternativa1!E23*Uavan</f>
        <v>133.1023971645956</v>
      </c>
      <c r="F19" s="8">
        <f>A19*Alternativa1!F23*Ucieg</f>
        <v>0</v>
      </c>
      <c r="G19" s="3"/>
      <c r="H19" s="8">
        <f>A19*Alternativa2!C23*Usan</f>
        <v>4744.4784563868325</v>
      </c>
      <c r="I19" s="8">
        <f>A19*Alternativa2!D23*Ulev</f>
        <v>415.51549138488224</v>
      </c>
      <c r="J19" s="8">
        <f>A19*Alternativa2!E23*Uavan</f>
        <v>88.473668223946831</v>
      </c>
      <c r="K19" s="8">
        <f>A19*Alternativa2!F23*Ucieg</f>
        <v>0</v>
      </c>
    </row>
    <row r="20" spans="1:11" x14ac:dyDescent="0.3">
      <c r="A20" s="3">
        <f t="shared" si="0"/>
        <v>0.76641673234362673</v>
      </c>
      <c r="B20" s="3">
        <v>10</v>
      </c>
      <c r="C20" s="8">
        <f>A20*Alternativa1!C24*Usan</f>
        <v>3913.6419124341528</v>
      </c>
      <c r="D20" s="8">
        <f>A20*Alternativa1!D24*Ulev</f>
        <v>563.82503786854807</v>
      </c>
      <c r="E20" s="8">
        <f>A20*Alternativa1!E24*Uavan</f>
        <v>131.86343122123694</v>
      </c>
      <c r="F20" s="8">
        <f>A20*Alternativa1!F24*Ucieg</f>
        <v>0</v>
      </c>
      <c r="G20" s="3"/>
      <c r="H20" s="8">
        <f>A20*Alternativa2!C24*Usan</f>
        <v>4352.9438264908313</v>
      </c>
      <c r="I20" s="8">
        <f>A20*Alternativa2!D24*Ulev</f>
        <v>414.81534730313859</v>
      </c>
      <c r="J20" s="8">
        <f>A20*Alternativa2!E24*Uavan</f>
        <v>88.72884829780098</v>
      </c>
      <c r="K20" s="8">
        <f>A20*Alternativa2!F24*Ucieg</f>
        <v>0</v>
      </c>
    </row>
    <row r="21" spans="1:11" x14ac:dyDescent="0.3">
      <c r="A21" s="3">
        <f t="shared" si="0"/>
        <v>0.74409391489672494</v>
      </c>
      <c r="B21" s="3">
        <v>11</v>
      </c>
      <c r="C21" s="8">
        <f>A21*Alternativa1!C25*Usan</f>
        <v>3552.6749399280902</v>
      </c>
      <c r="D21" s="8">
        <f>A21*Alternativa1!D25*Ulev</f>
        <v>554.92780812262674</v>
      </c>
      <c r="E21" s="8">
        <f>A21*Alternativa1!E25*Uavan</f>
        <v>129.40335713679687</v>
      </c>
      <c r="F21" s="8">
        <f>A21*Alternativa1!F25*Ucieg</f>
        <v>0</v>
      </c>
      <c r="G21" s="3"/>
      <c r="H21" s="8">
        <f>A21*Alternativa2!C25*Usan</f>
        <v>3993.7203068289664</v>
      </c>
      <c r="I21" s="8">
        <f>A21*Alternativa2!D25*Ulev</f>
        <v>410.11120731080291</v>
      </c>
      <c r="J21" s="8">
        <f>A21*Alternativa2!E25*Uavan</f>
        <v>88.050467962158535</v>
      </c>
      <c r="K21" s="8">
        <f>A21*Alternativa2!F25*Ucieg</f>
        <v>0</v>
      </c>
    </row>
    <row r="22" spans="1:11" x14ac:dyDescent="0.3">
      <c r="A22" s="3">
        <f t="shared" si="0"/>
        <v>0.7224212765987621</v>
      </c>
      <c r="B22" s="3">
        <v>12</v>
      </c>
      <c r="C22" s="8">
        <f>A22*Alternativa1!C26*Usan</f>
        <v>3225.0010377017134</v>
      </c>
      <c r="D22" s="8">
        <f>A22*Alternativa1!D26*Ulev</f>
        <v>541.64096529601579</v>
      </c>
      <c r="E22" s="8">
        <f>A22*Alternativa1!E26*Uavan</f>
        <v>125.99686488811727</v>
      </c>
      <c r="F22" s="8">
        <f>A22*Alternativa1!F26*Ucieg</f>
        <v>0</v>
      </c>
      <c r="G22" s="3"/>
      <c r="H22" s="8">
        <f>A22*Alternativa2!C26*Usan</f>
        <v>3664.1414465566727</v>
      </c>
      <c r="I22" s="8">
        <f>A22*Alternativa2!D26*Ulev</f>
        <v>402.22521957061167</v>
      </c>
      <c r="J22" s="8">
        <f>A22*Alternativa2!E26*Uavan</f>
        <v>86.625334541465406</v>
      </c>
      <c r="K22" s="8">
        <f>A22*Alternativa2!F26*Ucieg</f>
        <v>0</v>
      </c>
    </row>
    <row r="23" spans="1:11" x14ac:dyDescent="0.3">
      <c r="A23" s="3">
        <f t="shared" si="0"/>
        <v>0.70137988019297293</v>
      </c>
      <c r="B23" s="3">
        <v>13</v>
      </c>
      <c r="C23" s="8">
        <f>A23*Alternativa1!C27*Usan</f>
        <v>2927.5494856806818</v>
      </c>
      <c r="D23" s="8">
        <f>A23*Alternativa1!D27*Ulev</f>
        <v>524.99885263945953</v>
      </c>
      <c r="E23" s="8">
        <f>A23*Alternativa1!E27*Uavan</f>
        <v>121.87335637179868</v>
      </c>
      <c r="F23" s="8">
        <f>A23*Alternativa1!F27*Ucieg</f>
        <v>0</v>
      </c>
      <c r="G23" s="3"/>
      <c r="H23" s="8">
        <f>A23*Alternativa2!C27*Usan</f>
        <v>3361.7608417437432</v>
      </c>
      <c r="I23" s="8">
        <f>A23*Alternativa2!D27*Ulev</f>
        <v>391.85183737530468</v>
      </c>
      <c r="J23" s="8">
        <f>A23*Alternativa2!E27*Uavan</f>
        <v>84.611878113173049</v>
      </c>
      <c r="K23" s="8">
        <f>A23*Alternativa2!F27*Ucieg</f>
        <v>0</v>
      </c>
    </row>
    <row r="24" spans="1:11" x14ac:dyDescent="0.3">
      <c r="A24" s="3">
        <f t="shared" si="0"/>
        <v>0.68095133999317758</v>
      </c>
      <c r="B24" s="3">
        <v>14</v>
      </c>
      <c r="C24" s="8">
        <f>A24*Alternativa1!C28*Usan</f>
        <v>2657.5327855450846</v>
      </c>
      <c r="D24" s="8">
        <f>A24*Alternativa1!D28*Ulev</f>
        <v>505.86452446219266</v>
      </c>
      <c r="E24" s="8">
        <f>A24*Alternativa1!E28*Uavan</f>
        <v>117.22373995958131</v>
      </c>
      <c r="F24" s="8">
        <f>A24*Alternativa1!F28*Ucieg</f>
        <v>0</v>
      </c>
      <c r="G24" s="3"/>
      <c r="H24" s="8">
        <f>A24*Alternativa2!C28*Usan</f>
        <v>3084.3339761629486</v>
      </c>
      <c r="I24" s="8">
        <f>A24*Alternativa2!D28*Ulev</f>
        <v>379.57582255865117</v>
      </c>
      <c r="J24" s="8">
        <f>A24*Alternativa2!E28*Uavan</f>
        <v>82.143885083259264</v>
      </c>
      <c r="K24" s="8">
        <f>A24*Alternativa2!F28*Ucieg</f>
        <v>0</v>
      </c>
    </row>
    <row r="25" spans="1:11" x14ac:dyDescent="0.3">
      <c r="A25" s="3">
        <f t="shared" si="0"/>
        <v>0.66111780581861901</v>
      </c>
      <c r="B25" s="3">
        <v>15</v>
      </c>
      <c r="C25" s="8">
        <f>A25*Alternativa1!C29*Usan</f>
        <v>2412.4205383346157</v>
      </c>
      <c r="D25" s="8">
        <f>A25*Alternativa1!D29*Ulev</f>
        <v>484.95460141648954</v>
      </c>
      <c r="E25" s="8">
        <f>A25*Alternativa1!E29*Uavan</f>
        <v>112.20616512322863</v>
      </c>
      <c r="F25" s="8">
        <f>A25*Alternativa1!F29*Ucieg</f>
        <v>0</v>
      </c>
      <c r="G25" s="3"/>
      <c r="H25" s="8">
        <f>A25*Alternativa2!C29*Usan</f>
        <v>2829.8015606543559</v>
      </c>
      <c r="I25" s="8">
        <f>A25*Alternativa2!D29*Ulev</f>
        <v>365.88772952575908</v>
      </c>
      <c r="J25" s="8">
        <f>A25*Alternativa2!E29*Uavan</f>
        <v>79.333854905641346</v>
      </c>
      <c r="K25" s="8">
        <f>A25*Alternativa2!F29*Ucieg</f>
        <v>0</v>
      </c>
    </row>
    <row r="26" spans="1:11" x14ac:dyDescent="0.3">
      <c r="A26" s="3">
        <f t="shared" si="0"/>
        <v>0.64186194739671742</v>
      </c>
      <c r="B26" s="3">
        <v>16</v>
      </c>
      <c r="C26" s="8">
        <f>A26*Alternativa1!C30*Usan</f>
        <v>2189.9157314008403</v>
      </c>
      <c r="D26" s="8">
        <f>A26*Alternativa1!D30*Ulev</f>
        <v>462.86080496089733</v>
      </c>
      <c r="E26" s="8">
        <f>A26*Alternativa1!E30*Uavan</f>
        <v>106.95091367420714</v>
      </c>
      <c r="F26" s="8">
        <f>A26*Alternativa1!F30*Ucieg</f>
        <v>0</v>
      </c>
      <c r="G26" s="3"/>
      <c r="H26" s="8">
        <f>A26*Alternativa2!C30*Usan</f>
        <v>2596.2742473964718</v>
      </c>
      <c r="I26" s="8">
        <f>A26*Alternativa2!D30*Ulev</f>
        <v>351.19727734464868</v>
      </c>
      <c r="J26" s="8">
        <f>A26*Alternativa2!E30*Uavan</f>
        <v>76.275962797545787</v>
      </c>
      <c r="K26" s="8">
        <f>A26*Alternativa2!F30*Ucieg</f>
        <v>0</v>
      </c>
    </row>
    <row r="27" spans="1:11" x14ac:dyDescent="0.3">
      <c r="A27" s="3">
        <f t="shared" si="0"/>
        <v>0.62316693922011401</v>
      </c>
      <c r="B27" s="3">
        <v>17</v>
      </c>
      <c r="C27" s="8">
        <f>A27*Alternativa1!C31*Usan</f>
        <v>1987.933212485229</v>
      </c>
      <c r="D27" s="8">
        <f>A27*Alternativa1!D31*Ulev</f>
        <v>440.06856381020884</v>
      </c>
      <c r="E27" s="8">
        <f>A27*Alternativa1!E31*Uavan</f>
        <v>101.56459208086321</v>
      </c>
      <c r="F27" s="8">
        <f>A27*Alternativa1!F31*Ucieg</f>
        <v>0</v>
      </c>
      <c r="G27" s="3"/>
      <c r="H27" s="8">
        <f>A27*Alternativa2!C31*Usan</f>
        <v>2382.0186056210346</v>
      </c>
      <c r="I27" s="8">
        <f>A27*Alternativa2!D31*Ulev</f>
        <v>335.84491720415423</v>
      </c>
      <c r="J27" s="8">
        <f>A27*Alternativa2!E31*Uavan</f>
        <v>73.048650700014605</v>
      </c>
      <c r="K27" s="8">
        <f>A27*Alternativa2!F31*Ucieg</f>
        <v>0</v>
      </c>
    </row>
    <row r="28" spans="1:11" x14ac:dyDescent="0.3">
      <c r="A28" s="3">
        <f t="shared" si="0"/>
        <v>0.60501644584477088</v>
      </c>
      <c r="B28" s="3">
        <v>18</v>
      </c>
      <c r="C28" s="8">
        <f>A28*Alternativa1!C32*Usan</f>
        <v>1804.5801491977566</v>
      </c>
      <c r="D28" s="8">
        <f>A28*Alternativa1!D32*Ulev</f>
        <v>416.97305997412627</v>
      </c>
      <c r="E28" s="8">
        <f>A28*Alternativa1!E32*Uavan</f>
        <v>96.133731649740184</v>
      </c>
      <c r="F28" s="8">
        <f>A28*Alternativa1!F32*Ucieg</f>
        <v>0</v>
      </c>
      <c r="G28" s="3"/>
      <c r="H28" s="8">
        <f>A28*Alternativa2!C32*Usan</f>
        <v>2185.444254671726</v>
      </c>
      <c r="I28" s="8">
        <f>A28*Alternativa2!D32*Ulev</f>
        <v>320.11184280795328</v>
      </c>
      <c r="J28" s="8">
        <f>A28*Alternativa2!E32*Uavan</f>
        <v>69.716882012215962</v>
      </c>
      <c r="K28" s="8">
        <f>A28*Alternativa2!F32*Ucieg</f>
        <v>0</v>
      </c>
    </row>
    <row r="29" spans="1:11" x14ac:dyDescent="0.3">
      <c r="A29" s="3">
        <f t="shared" si="0"/>
        <v>0.58739460761628237</v>
      </c>
      <c r="B29" s="3">
        <v>19</v>
      </c>
      <c r="C29" s="8">
        <f>A29*Alternativa1!C33*Usan</f>
        <v>1638.1382907766042</v>
      </c>
      <c r="D29" s="8">
        <f>A29*Alternativa1!D33*Ulev</f>
        <v>393.89304556124569</v>
      </c>
      <c r="E29" s="8">
        <f>A29*Alternativa1!E33*Uavan</f>
        <v>90.727881361240989</v>
      </c>
      <c r="F29" s="8">
        <f>A29*Alternativa1!F33*Ucieg</f>
        <v>0</v>
      </c>
      <c r="G29" s="3"/>
      <c r="H29" s="8">
        <f>A29*Alternativa2!C33*Usan</f>
        <v>2005.0920588978454</v>
      </c>
      <c r="I29" s="8">
        <f>A29*Alternativa2!D33*Ulev</f>
        <v>304.22865102392791</v>
      </c>
      <c r="J29" s="8">
        <f>A29*Alternativa2!E33*Uavan</f>
        <v>66.334098097765533</v>
      </c>
      <c r="K29" s="8">
        <f>A29*Alternativa2!F33*Ucieg</f>
        <v>0</v>
      </c>
    </row>
    <row r="30" spans="1:11" x14ac:dyDescent="0.3">
      <c r="A30" s="3">
        <f t="shared" si="0"/>
        <v>0.57028602681192464</v>
      </c>
      <c r="B30" s="3">
        <v>20</v>
      </c>
      <c r="C30" s="8">
        <f>A30*Alternativa1!C34*Usan</f>
        <v>1487.0478658991506</v>
      </c>
      <c r="D30" s="8">
        <f>A30*Alternativa1!D34*Ulev</f>
        <v>371.08272349391007</v>
      </c>
      <c r="E30" s="8">
        <f>A30*Alternativa1!E34*Uavan</f>
        <v>85.402263647270502</v>
      </c>
      <c r="F30" s="8">
        <f>A30*Alternativa1!F34*Ucieg</f>
        <v>0</v>
      </c>
      <c r="G30" s="3"/>
      <c r="H30" s="8">
        <f>A30*Alternativa2!C34*Usan</f>
        <v>1839.6232967557901</v>
      </c>
      <c r="I30" s="8">
        <f>A30*Alternativa2!D34*Ulev</f>
        <v>288.38283006317545</v>
      </c>
      <c r="J30" s="8">
        <f>A30*Alternativa2!E34*Uavan</f>
        <v>62.943912770369877</v>
      </c>
      <c r="K30" s="8">
        <f>A30*Alternativa2!F34*Ucieg</f>
        <v>0</v>
      </c>
    </row>
    <row r="31" spans="1:11" x14ac:dyDescent="0.3">
      <c r="A31" s="3">
        <f t="shared" si="0"/>
        <v>0.55367575418633463</v>
      </c>
      <c r="B31" s="3">
        <v>21</v>
      </c>
      <c r="C31" s="8">
        <f>A31*Alternativa1!C35*Usan</f>
        <v>1349.8929656463165</v>
      </c>
      <c r="D31" s="8">
        <f>A31*Alternativa1!D35*Ulev</f>
        <v>348.74194938667324</v>
      </c>
      <c r="E31" s="8">
        <f>A31*Alternativa1!E35*Uavan</f>
        <v>80.200052766124472</v>
      </c>
      <c r="F31" s="8">
        <f>A31*Alternativa1!F35*Ucieg</f>
        <v>0</v>
      </c>
      <c r="G31" s="3"/>
      <c r="H31" s="8">
        <f>A31*Alternativa2!C35*Usan</f>
        <v>1687.8097237225452</v>
      </c>
      <c r="I31" s="8">
        <f>A31*Alternativa2!D35*Ulev</f>
        <v>272.72522839820772</v>
      </c>
      <c r="J31" s="8">
        <f>A31*Alternativa2!E35*Uavan</f>
        <v>59.581577691523357</v>
      </c>
      <c r="K31" s="8">
        <f>A31*Alternativa2!F35*Ucieg</f>
        <v>0</v>
      </c>
    </row>
    <row r="32" spans="1:11" x14ac:dyDescent="0.3">
      <c r="A32" s="3">
        <f t="shared" si="0"/>
        <v>0.53754927590906276</v>
      </c>
      <c r="B32" s="3">
        <v>22</v>
      </c>
      <c r="C32" s="8">
        <f>A32*Alternativa1!C36*Usan</f>
        <v>1225.3882746401027</v>
      </c>
      <c r="D32" s="8">
        <f>A32*Alternativa1!D36*Ulev</f>
        <v>327.02497934772254</v>
      </c>
      <c r="E32" s="8">
        <f>A32*Alternativa1!E36*Uavan</f>
        <v>75.154327024162697</v>
      </c>
      <c r="F32" s="8">
        <f>A32*Alternativa1!F36*Ucieg</f>
        <v>0</v>
      </c>
      <c r="G32" s="3"/>
      <c r="H32" s="8">
        <f>A32*Alternativa2!C36*Usan</f>
        <v>1548.5244552600052</v>
      </c>
      <c r="I32" s="8">
        <f>A32*Alternativa2!D36*Ulev</f>
        <v>257.37563752752078</v>
      </c>
      <c r="J32" s="8">
        <f>A32*Alternativa2!E36*Uavan</f>
        <v>56.275248009358791</v>
      </c>
      <c r="K32" s="8">
        <f>A32*Alternativa2!F36*Ucieg</f>
        <v>0</v>
      </c>
    </row>
    <row r="33" spans="1:11" x14ac:dyDescent="0.3">
      <c r="A33" s="3">
        <f t="shared" si="0"/>
        <v>0.52189250088258521</v>
      </c>
      <c r="B33" s="3">
        <v>23</v>
      </c>
      <c r="C33" s="8">
        <f>A33*Alternativa1!C37*Usan</f>
        <v>1112.3670260082488</v>
      </c>
      <c r="D33" s="8">
        <f>A33*Alternativa1!D37*Ulev</f>
        <v>306.04795960228716</v>
      </c>
      <c r="E33" s="8">
        <f>A33*Alternativa1!E37*Uavan</f>
        <v>70.289739135599717</v>
      </c>
      <c r="F33" s="8">
        <f>A33*Alternativa1!F37*Ucieg</f>
        <v>0</v>
      </c>
      <c r="G33" s="3"/>
      <c r="H33" s="8">
        <f>A33*Alternativa2!C37*Usan</f>
        <v>1420.7336021560241</v>
      </c>
      <c r="I33" s="8">
        <f>A33*Alternativa2!D37*Ulev</f>
        <v>242.42760451269768</v>
      </c>
      <c r="J33" s="8">
        <f>A33*Alternativa2!E37*Uavan</f>
        <v>53.047074095018445</v>
      </c>
      <c r="K33" s="8">
        <f>A33*Alternativa2!F37*Ucieg</f>
        <v>0</v>
      </c>
    </row>
    <row r="34" spans="1:11" x14ac:dyDescent="0.3">
      <c r="A34" s="3">
        <f t="shared" si="0"/>
        <v>0.50669174842969433</v>
      </c>
      <c r="B34" s="3">
        <v>24</v>
      </c>
      <c r="C34" s="8">
        <f>A34*Alternativa1!C38*Usan</f>
        <v>1009.7700672987501</v>
      </c>
      <c r="D34" s="8">
        <f>A34*Alternativa1!D38*Ulev</f>
        <v>285.89532843860758</v>
      </c>
      <c r="E34" s="8">
        <f>A34*Alternativa1!E38*Uavan</f>
        <v>65.623943103685249</v>
      </c>
      <c r="F34" s="8">
        <f>A34*Alternativa1!F38*Ucieg</f>
        <v>0</v>
      </c>
      <c r="G34" s="3"/>
      <c r="H34" s="8">
        <f>A34*Alternativa2!C38*Usan</f>
        <v>1303.4885961528569</v>
      </c>
      <c r="I34" s="8">
        <f>A34*Alternativa2!D38*Ulev</f>
        <v>227.95257535577994</v>
      </c>
      <c r="J34" s="8">
        <f>A34*Alternativa2!E38*Uavan</f>
        <v>49.914142055910688</v>
      </c>
      <c r="K34" s="8">
        <f>A34*Alternativa2!F38*Ucieg</f>
        <v>0</v>
      </c>
    </row>
    <row r="35" spans="1:11" x14ac:dyDescent="0.3">
      <c r="A35" s="3">
        <f t="shared" si="0"/>
        <v>0.49193373633950904</v>
      </c>
      <c r="B35" s="3">
        <v>25</v>
      </c>
      <c r="C35" s="8">
        <f>A35*Alternativa1!C39*Usan</f>
        <v>916.63593487799164</v>
      </c>
      <c r="D35" s="8">
        <f>A35*Alternativa1!D39*Ulev</f>
        <v>266.62527872836876</v>
      </c>
      <c r="E35" s="8">
        <f>A35*Alternativa1!E39*Uavan</f>
        <v>61.168810923602422</v>
      </c>
      <c r="F35" s="8">
        <f>A35*Alternativa1!F39*Ucieg</f>
        <v>0</v>
      </c>
      <c r="G35" s="3"/>
      <c r="H35" s="8">
        <f>A35*Alternativa2!C39*Usan</f>
        <v>1195.9191488975239</v>
      </c>
      <c r="I35" s="8">
        <f>A35*Alternativa2!D39*Ulev</f>
        <v>214.00345735927351</v>
      </c>
      <c r="J35" s="8">
        <f>A35*Alternativa2!E39*Uavan</f>
        <v>46.889282865552417</v>
      </c>
      <c r="K35" s="8">
        <f>A35*Alternativa2!F39*Ucieg</f>
        <v>0</v>
      </c>
    </row>
    <row r="36" spans="1:11" x14ac:dyDescent="0.3">
      <c r="A36" s="3">
        <f t="shared" si="0"/>
        <v>0.47760556926165926</v>
      </c>
      <c r="B36" s="3">
        <v>26</v>
      </c>
      <c r="C36" s="8">
        <f>A36*Alternativa1!C40*Usan</f>
        <v>832.09184379701185</v>
      </c>
      <c r="D36" s="8">
        <f>A36*Alternativa1!D40*Ulev</f>
        <v>248.27440983136268</v>
      </c>
      <c r="E36" s="8">
        <f>A36*Alternativa1!E40*Uavan</f>
        <v>56.931468005594951</v>
      </c>
      <c r="F36" s="8">
        <f>A36*Alternativa1!F40*Ucieg</f>
        <v>0</v>
      </c>
      <c r="G36" s="3"/>
      <c r="H36" s="8">
        <f>A36*Alternativa2!C40*Usan</f>
        <v>1097.2267919496699</v>
      </c>
      <c r="I36" s="8">
        <f>A36*Alternativa2!D40*Ulev</f>
        <v>200.61767733567345</v>
      </c>
      <c r="J36" s="8">
        <f>A36*Alternativa2!E40*Uavan</f>
        <v>43.981767439408507</v>
      </c>
      <c r="K36" s="8">
        <f>A36*Alternativa2!F40*Ucieg</f>
        <v>0</v>
      </c>
    </row>
    <row r="37" spans="1:11" x14ac:dyDescent="0.3">
      <c r="A37" s="3">
        <f t="shared" si="0"/>
        <v>0.4636947274385041</v>
      </c>
      <c r="B37" s="3">
        <v>27</v>
      </c>
      <c r="C37" s="8">
        <f>A37*Alternativa1!C41*Usan</f>
        <v>755.34550868952044</v>
      </c>
      <c r="D37" s="8">
        <f>A37*Alternativa1!D41*Ulev</f>
        <v>230.86168072783292</v>
      </c>
      <c r="E37" s="8">
        <f>A37*Alternativa1!E41*Uavan</f>
        <v>52.915172392984736</v>
      </c>
      <c r="F37" s="8">
        <f>A37*Alternativa1!F41*Ucieg</f>
        <v>0</v>
      </c>
      <c r="G37" s="3"/>
      <c r="H37" s="8">
        <f>A37*Alternativa2!C41*Usan</f>
        <v>1006.6789498955709</v>
      </c>
      <c r="I37" s="8">
        <f>A37*Alternativa2!D41*Ulev</f>
        <v>187.81980268465557</v>
      </c>
      <c r="J37" s="8">
        <f>A37*Alternativa2!E41*Uavan</f>
        <v>41.197902779056207</v>
      </c>
      <c r="K37" s="8">
        <f>A37*Alternativa2!F41*Ucieg</f>
        <v>0</v>
      </c>
    </row>
    <row r="38" spans="1:11" x14ac:dyDescent="0.3">
      <c r="A38" s="3">
        <f t="shared" si="0"/>
        <v>0.45018905576553797</v>
      </c>
      <c r="B38" s="3">
        <v>28</v>
      </c>
      <c r="C38" s="8">
        <f>A38*Alternativa1!C42*Usan</f>
        <v>685.67771905310838</v>
      </c>
      <c r="D38" s="8">
        <f>A38*Alternativa1!D42*Ulev</f>
        <v>214.39176142895218</v>
      </c>
      <c r="E38" s="8">
        <f>A38*Alternativa1!E42*Uavan</f>
        <v>49.12005952342362</v>
      </c>
      <c r="F38" s="8">
        <f>A38*Alternativa1!F42*Ucieg</f>
        <v>0</v>
      </c>
      <c r="G38" s="3"/>
      <c r="H38" s="8">
        <f>A38*Alternativa2!C42*Usan</f>
        <v>923.60350257409186</v>
      </c>
      <c r="I38" s="8">
        <f>A38*Alternativa2!D42*Ulev</f>
        <v>175.62378374925464</v>
      </c>
      <c r="J38" s="8">
        <f>A38*Alternativa2!E42*Uavan</f>
        <v>38.541542371887871</v>
      </c>
      <c r="K38" s="8">
        <f>A38*Alternativa2!F42*Ucieg</f>
        <v>0</v>
      </c>
    </row>
    <row r="39" spans="1:11" x14ac:dyDescent="0.3">
      <c r="A39" s="3">
        <f t="shared" si="0"/>
        <v>0.43707675317042521</v>
      </c>
      <c r="B39" s="3">
        <v>29</v>
      </c>
      <c r="C39" s="8">
        <f>A39*Alternativa1!C43*Usan</f>
        <v>622.43559933461779</v>
      </c>
      <c r="D39" s="8">
        <f>A39*Alternativa1!D43*Ulev</f>
        <v>198.85786682578953</v>
      </c>
      <c r="E39" s="8">
        <f>A39*Alternativa1!E43*Uavan</f>
        <v>45.543771386807379</v>
      </c>
      <c r="F39" s="8">
        <f>A39*Alternativa1!F43*Ucieg</f>
        <v>0</v>
      </c>
      <c r="G39" s="3"/>
      <c r="H39" s="8">
        <f>A39*Alternativa2!C43*Usan</f>
        <v>847.38379605098714</v>
      </c>
      <c r="I39" s="8">
        <f>A39*Alternativa2!D43*Ulev</f>
        <v>164.03486833998511</v>
      </c>
      <c r="J39" s="8">
        <f>A39*Alternativa2!E43*Uavan</f>
        <v>36.01452233944358</v>
      </c>
      <c r="K39" s="8">
        <f>A39*Alternativa2!F43*Ucieg</f>
        <v>0</v>
      </c>
    </row>
    <row r="40" spans="1:11" x14ac:dyDescent="0.3">
      <c r="A40" s="3">
        <f t="shared" si="0"/>
        <v>0.42434636230138367</v>
      </c>
      <c r="B40" s="3">
        <v>30</v>
      </c>
      <c r="C40" s="8">
        <f>A40*Alternativa1!C44*Usan</f>
        <v>565.02649065812398</v>
      </c>
      <c r="D40" s="8">
        <f>A40*Alternativa1!D44*Ulev</f>
        <v>184.24414591089013</v>
      </c>
      <c r="E40" s="8">
        <f>A40*Alternativa1!E44*Uavan</f>
        <v>42.181986413733682</v>
      </c>
      <c r="F40" s="8">
        <f>A40*Alternativa1!F44*Ucieg</f>
        <v>0</v>
      </c>
      <c r="G40" s="3"/>
      <c r="H40" s="8">
        <f>A40*Alternativa2!C44*Usan</f>
        <v>777.45406530891535</v>
      </c>
      <c r="I40" s="8">
        <f>A40*Alternativa2!D44*Ulev</f>
        <v>153.05123274191831</v>
      </c>
      <c r="J40" s="8">
        <f>A40*Alternativa2!E44*Uavan</f>
        <v>33.61703334562597</v>
      </c>
      <c r="K40" s="8">
        <f>A40*Alternativa2!F44*Ucieg</f>
        <v>0</v>
      </c>
    </row>
    <row r="41" spans="1:11" x14ac:dyDescent="0.3">
      <c r="A41" s="3">
        <f t="shared" si="0"/>
        <v>0.41198675951590646</v>
      </c>
      <c r="B41" s="3">
        <v>31</v>
      </c>
      <c r="C41" s="8">
        <f>A41*Alternativa1!C45*Usan</f>
        <v>512.91239685955918</v>
      </c>
      <c r="D41" s="8">
        <f>A41*Alternativa1!D45*Ulev</f>
        <v>170.52768953400158</v>
      </c>
      <c r="E41" s="8">
        <f>A41*Alternativa1!E45*Uavan</f>
        <v>39.028864235977892</v>
      </c>
      <c r="F41" s="8">
        <f>A41*Alternativa1!F45*Ucieg</f>
        <v>0</v>
      </c>
      <c r="G41" s="3"/>
      <c r="H41" s="8">
        <f>A41*Alternativa2!C45*Usan</f>
        <v>713.29523467662614</v>
      </c>
      <c r="I41" s="8">
        <f>A41*Alternativa2!D45*Ulev</f>
        <v>142.66536777574964</v>
      </c>
      <c r="J41" s="8">
        <f>A41*Alternativa2!E45*Uavan</f>
        <v>31.347936980646196</v>
      </c>
      <c r="K41" s="8">
        <f>A41*Alternativa2!F45*Ucieg</f>
        <v>0</v>
      </c>
    </row>
    <row r="42" spans="1:11" x14ac:dyDescent="0.3">
      <c r="A42" s="3">
        <f t="shared" si="0"/>
        <v>0.39998714516107425</v>
      </c>
      <c r="B42" s="3">
        <v>32</v>
      </c>
      <c r="C42" s="8">
        <f>A42*Alternativa1!C46*Usan</f>
        <v>465.60494278027943</v>
      </c>
      <c r="D42" s="8">
        <f>A42*Alternativa1!D46*Ulev</f>
        <v>157.68021135020319</v>
      </c>
      <c r="E42" s="8">
        <f>A42*Alternativa1!E46*Uavan</f>
        <v>36.077417553345832</v>
      </c>
      <c r="F42" s="8">
        <f>A42*Alternativa1!F46*Ucieg</f>
        <v>0</v>
      </c>
      <c r="G42" s="3"/>
      <c r="H42" s="8">
        <f>A42*Alternativa2!C46*Usan</f>
        <v>654.43106482467147</v>
      </c>
      <c r="I42" s="8">
        <f>A42*Alternativa2!D46*Ulev</f>
        <v>132.86525346639775</v>
      </c>
      <c r="J42" s="8">
        <f>A42*Alternativa2!E46*Uavan</f>
        <v>29.20503420462974</v>
      </c>
      <c r="K42" s="8">
        <f>A42*Alternativa2!F46*Ucieg</f>
        <v>0</v>
      </c>
    </row>
    <row r="43" spans="1:11" x14ac:dyDescent="0.3">
      <c r="A43" s="3">
        <f t="shared" si="0"/>
        <v>0.3883370341369653</v>
      </c>
      <c r="B43" s="3">
        <v>33</v>
      </c>
      <c r="C43" s="8">
        <f>A43*Alternativa1!C47*Usan</f>
        <v>422.6607975723897</v>
      </c>
      <c r="D43" s="8">
        <f>A43*Alternativa1!D47*Ulev</f>
        <v>145.66944922329861</v>
      </c>
      <c r="E43" s="8">
        <f>A43*Alternativa1!E47*Uavan</f>
        <v>33.31982168298795</v>
      </c>
      <c r="F43" s="8">
        <f>A43*Alternativa1!F47*Ucieg</f>
        <v>0</v>
      </c>
      <c r="G43" s="3"/>
      <c r="H43" s="8">
        <f>A43*Alternativa2!C47*Usan</f>
        <v>600.42461772748993</v>
      </c>
      <c r="I43" s="8">
        <f>A43*Alternativa2!D47*Ulev</f>
        <v>123.63535149108343</v>
      </c>
      <c r="J43" s="8">
        <f>A43*Alternativa2!E47*Uavan</f>
        <v>27.185292446123807</v>
      </c>
      <c r="K43" s="8">
        <f>A43*Alternativa2!F47*Ucieg</f>
        <v>0</v>
      </c>
    </row>
    <row r="44" spans="1:11" x14ac:dyDescent="0.3">
      <c r="A44" s="3">
        <f t="shared" si="0"/>
        <v>0.37702624673491775</v>
      </c>
      <c r="B44" s="3">
        <v>34</v>
      </c>
      <c r="C44" s="8">
        <f>A44*Alternativa1!C48*Usan</f>
        <v>383.67752012639255</v>
      </c>
      <c r="D44" s="8">
        <f>A44*Alternativa1!D48*Ulev</f>
        <v>134.46032791856831</v>
      </c>
      <c r="E44" s="8">
        <f>A44*Alternativa1!E48*Uavan</f>
        <v>30.747670926016326</v>
      </c>
      <c r="F44" s="8">
        <f>A44*Alternativa1!F48*Ucieg</f>
        <v>0</v>
      </c>
      <c r="G44" s="3"/>
      <c r="H44" s="8">
        <f>A44*Alternativa2!C48*Usan</f>
        <v>550.8750133519203</v>
      </c>
      <c r="I44" s="8">
        <f>A44*Alternativa2!D48*Ulev</f>
        <v>114.95744075380733</v>
      </c>
      <c r="J44" s="8">
        <f>A44*Alternativa2!E48*Uavan</f>
        <v>25.28503708748519</v>
      </c>
      <c r="K44" s="8">
        <f>A44*Alternativa2!F48*Ucieg</f>
        <v>0</v>
      </c>
    </row>
    <row r="45" spans="1:11" x14ac:dyDescent="0.3">
      <c r="A45" s="3">
        <f t="shared" si="0"/>
        <v>0.3660448997426386</v>
      </c>
      <c r="B45" s="3">
        <v>35</v>
      </c>
      <c r="C45" s="8">
        <f>A45*Alternativa1!C49*Usan</f>
        <v>348.28978768755053</v>
      </c>
      <c r="D45" s="8">
        <f>A45*Alternativa1!D49*Ulev</f>
        <v>124.01591833332105</v>
      </c>
      <c r="E45" s="8">
        <f>A45*Alternativa1!E49*Uavan</f>
        <v>28.352189634271863</v>
      </c>
      <c r="F45" s="8">
        <f>A45*Alternativa1!F49*Ucieg</f>
        <v>0</v>
      </c>
      <c r="G45" s="3"/>
      <c r="H45" s="8">
        <f>A45*Alternativa2!C49*Usan</f>
        <v>505.41445399763558</v>
      </c>
      <c r="I45" s="8">
        <f>A45*Alternativa2!D49*Ulev</f>
        <v>106.81131809515888</v>
      </c>
      <c r="J45" s="8">
        <f>A45*Alternativa2!E49*Uavan</f>
        <v>23.500112315655613</v>
      </c>
      <c r="K45" s="8">
        <f>A45*Alternativa2!F49*Ucieg</f>
        <v>0</v>
      </c>
    </row>
  </sheetData>
  <mergeCells count="4">
    <mergeCell ref="C1:F1"/>
    <mergeCell ref="H1:K1"/>
    <mergeCell ref="C9:F9"/>
    <mergeCell ref="H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B2C-1806-4275-9795-AF4898F60A99}">
  <dimension ref="A1:N46"/>
  <sheetViews>
    <sheetView topLeftCell="B1" zoomScaleNormal="100" workbookViewId="0">
      <selection activeCell="H6" sqref="H6"/>
    </sheetView>
  </sheetViews>
  <sheetFormatPr baseColWidth="10" defaultColWidth="8.77734375" defaultRowHeight="14.4" x14ac:dyDescent="0.3"/>
  <cols>
    <col min="1" max="1" width="12.77734375" customWidth="1"/>
    <col min="2" max="2" width="15.77734375" customWidth="1"/>
    <col min="3" max="3" width="12.77734375" customWidth="1"/>
    <col min="4" max="7" width="15.77734375" customWidth="1"/>
    <col min="8" max="8" width="12.77734375" customWidth="1"/>
    <col min="9" max="12" width="15.77734375" customWidth="1"/>
  </cols>
  <sheetData>
    <row r="1" spans="1:14" x14ac:dyDescent="0.3">
      <c r="A1" s="3"/>
      <c r="B1" s="3"/>
      <c r="C1" s="28" t="s">
        <v>43</v>
      </c>
      <c r="D1" s="28"/>
      <c r="E1" s="28"/>
      <c r="F1" s="28"/>
      <c r="G1" s="4"/>
      <c r="H1" s="29" t="s">
        <v>44</v>
      </c>
      <c r="I1" s="29"/>
      <c r="J1" s="29"/>
      <c r="K1" s="29"/>
      <c r="L1" s="3"/>
      <c r="N1" s="3"/>
    </row>
    <row r="2" spans="1:14" x14ac:dyDescent="0.3">
      <c r="A2" s="3"/>
      <c r="B2" s="3"/>
      <c r="C2" s="4"/>
      <c r="D2" s="4"/>
      <c r="E2" s="4"/>
      <c r="F2" s="9"/>
      <c r="G2" s="4"/>
      <c r="H2" s="4"/>
      <c r="I2" s="4"/>
      <c r="J2" s="4"/>
      <c r="K2" s="9"/>
      <c r="L2" s="3"/>
      <c r="N2" s="3"/>
    </row>
    <row r="3" spans="1:14" ht="49.95" customHeight="1" x14ac:dyDescent="0.3">
      <c r="A3" s="3"/>
      <c r="B3" s="3"/>
      <c r="C3" s="1" t="s">
        <v>36</v>
      </c>
      <c r="D3" s="1" t="s">
        <v>40</v>
      </c>
      <c r="E3" s="1" t="s">
        <v>52</v>
      </c>
      <c r="F3" s="2" t="s">
        <v>39</v>
      </c>
      <c r="G3" s="4"/>
      <c r="H3" s="1" t="s">
        <v>36</v>
      </c>
      <c r="I3" s="1" t="s">
        <v>40</v>
      </c>
      <c r="J3" s="1" t="s">
        <v>48</v>
      </c>
      <c r="K3" s="2" t="s">
        <v>39</v>
      </c>
      <c r="L3" s="3"/>
      <c r="N3" s="3"/>
    </row>
    <row r="4" spans="1:14" x14ac:dyDescent="0.3">
      <c r="A4" s="6" t="s">
        <v>49</v>
      </c>
      <c r="B4" s="6" t="s">
        <v>50</v>
      </c>
      <c r="C4" s="4">
        <f>Csan</f>
        <v>256</v>
      </c>
      <c r="D4" s="4">
        <f>Clev</f>
        <v>631</v>
      </c>
      <c r="E4" s="4">
        <f>Cavan</f>
        <v>1333</v>
      </c>
      <c r="F4" s="4">
        <f>Ccieg</f>
        <v>0</v>
      </c>
      <c r="G4" s="4"/>
      <c r="H4" s="4">
        <f>Csan</f>
        <v>256</v>
      </c>
      <c r="I4" s="4">
        <f>Clev</f>
        <v>631</v>
      </c>
      <c r="J4" s="4">
        <f>Cavan</f>
        <v>1333</v>
      </c>
      <c r="K4" s="4">
        <f>Ccieg</f>
        <v>0</v>
      </c>
      <c r="L4" s="3"/>
      <c r="N4" s="3"/>
    </row>
    <row r="5" spans="1:14" x14ac:dyDescent="0.3">
      <c r="A5" s="3"/>
      <c r="B5" s="6" t="s">
        <v>51</v>
      </c>
      <c r="C5" s="4">
        <f>Ctto1</f>
        <v>0</v>
      </c>
      <c r="D5" s="4">
        <v>0</v>
      </c>
      <c r="E5" s="4">
        <v>0</v>
      </c>
      <c r="F5" s="4">
        <v>0</v>
      </c>
      <c r="G5" s="4"/>
      <c r="H5" s="4">
        <f>Ctto2</f>
        <v>50</v>
      </c>
      <c r="I5" s="4">
        <v>0</v>
      </c>
      <c r="J5" s="4">
        <v>0</v>
      </c>
      <c r="K5" s="4">
        <v>0</v>
      </c>
      <c r="L5" s="3"/>
      <c r="N5" s="3"/>
    </row>
    <row r="6" spans="1:14" x14ac:dyDescent="0.3">
      <c r="A6" s="3"/>
      <c r="B6" s="6" t="s">
        <v>46</v>
      </c>
      <c r="C6" s="4">
        <f>SUM(C11:C45)+C5*10000</f>
        <v>25074119.541253779</v>
      </c>
      <c r="D6" s="4">
        <f>SUM(D11:D45)</f>
        <v>10539266.306723589</v>
      </c>
      <c r="E6" s="4">
        <f>SUM(E11:E45)</f>
        <v>9776887.9208317958</v>
      </c>
      <c r="F6" s="4">
        <f>SUM(F11:F45)</f>
        <v>0</v>
      </c>
      <c r="G6" s="8">
        <f>SUM(C6:F6)/10000</f>
        <v>4539.0273768809166</v>
      </c>
      <c r="H6" s="4">
        <f>SUM(H11:H45)+H5*10000</f>
        <v>26089795.119158506</v>
      </c>
      <c r="I6" s="4">
        <f>SUM(I11:I45)</f>
        <v>7635817.1739001246</v>
      </c>
      <c r="J6" s="4">
        <f>SUM(J11:J45)</f>
        <v>6800288.4724562606</v>
      </c>
      <c r="K6" s="4">
        <f>SUM(K11:K45)</f>
        <v>0</v>
      </c>
      <c r="L6" s="8">
        <f>SUM(H6:K6)/10000</f>
        <v>4052.5900765514893</v>
      </c>
      <c r="N6" s="3"/>
    </row>
    <row r="7" spans="1:14" x14ac:dyDescent="0.3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3"/>
      <c r="N7" s="3"/>
    </row>
    <row r="8" spans="1:14" x14ac:dyDescent="0.3">
      <c r="A8" s="6"/>
      <c r="B8" s="3"/>
      <c r="C8" s="4"/>
      <c r="D8" s="4"/>
      <c r="E8" s="4"/>
      <c r="F8" s="4"/>
      <c r="G8" s="4"/>
      <c r="H8" s="4"/>
      <c r="I8" s="4"/>
      <c r="J8" s="4"/>
      <c r="K8" s="4"/>
      <c r="L8" s="3"/>
      <c r="N8" s="3"/>
    </row>
    <row r="9" spans="1:14" x14ac:dyDescent="0.3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3"/>
      <c r="N9" s="3"/>
    </row>
    <row r="10" spans="1:14" ht="49.95" customHeight="1" x14ac:dyDescent="0.3">
      <c r="A10" s="6" t="s">
        <v>23</v>
      </c>
      <c r="B10" s="6" t="s">
        <v>35</v>
      </c>
      <c r="C10" s="1" t="s">
        <v>36</v>
      </c>
      <c r="D10" s="1" t="s">
        <v>40</v>
      </c>
      <c r="E10" s="1" t="s">
        <v>48</v>
      </c>
      <c r="F10" s="2" t="s">
        <v>39</v>
      </c>
      <c r="G10" s="9"/>
      <c r="H10" s="1" t="s">
        <v>36</v>
      </c>
      <c r="I10" s="1" t="s">
        <v>40</v>
      </c>
      <c r="J10" s="1" t="s">
        <v>48</v>
      </c>
      <c r="K10" s="2" t="s">
        <v>39</v>
      </c>
      <c r="L10" s="3"/>
      <c r="N10" s="3"/>
    </row>
    <row r="11" spans="1:14" x14ac:dyDescent="0.3">
      <c r="A11" s="3">
        <v>1</v>
      </c>
      <c r="B11" s="3">
        <v>1</v>
      </c>
      <c r="C11" s="4">
        <f>A11*Alternativa1!C15*Csan</f>
        <v>2393600</v>
      </c>
      <c r="D11" s="4">
        <f>A11*Alternativa1!D15*Clev</f>
        <v>126200</v>
      </c>
      <c r="E11" s="4">
        <f>A11*Alternativa1!E15*Cavan</f>
        <v>133300</v>
      </c>
      <c r="F11" s="4">
        <f>A11*Alternativa1!F15*Ccieg</f>
        <v>0</v>
      </c>
      <c r="G11" s="4"/>
      <c r="H11" s="4">
        <f>A11*Alternativa2!C15*Csan2</f>
        <v>2220750</v>
      </c>
      <c r="I11" s="4">
        <f>A11*Alternativa2!D15*Clev2</f>
        <v>90000</v>
      </c>
      <c r="J11" s="4">
        <f>A11*Alternativa2!E15*Cavan2</f>
        <v>66650</v>
      </c>
      <c r="K11" s="4">
        <f>A11*Alternativa2!F15*Ccieg</f>
        <v>0</v>
      </c>
      <c r="L11" s="3"/>
      <c r="N11" s="3"/>
    </row>
    <row r="12" spans="1:14" x14ac:dyDescent="0.3">
      <c r="A12" s="3">
        <f t="shared" ref="A12:A45" si="0">A11/(1+Descuento)</f>
        <v>0.970873786407767</v>
      </c>
      <c r="B12" s="3">
        <v>2</v>
      </c>
      <c r="C12" s="4">
        <f>A12*Alternativa1!C16*Csan</f>
        <v>2172831.0679611652</v>
      </c>
      <c r="D12" s="4">
        <f>A12*Alternativa1!D16*Clev</f>
        <v>227895.14563106798</v>
      </c>
      <c r="E12" s="4">
        <f>A12*Alternativa1!E16*Cavan</f>
        <v>231010.19417475729</v>
      </c>
      <c r="F12" s="4">
        <f>A12*Alternativa1!F16*Ccieg</f>
        <v>0</v>
      </c>
      <c r="G12" s="4"/>
      <c r="H12" s="4">
        <f>A12*Alternativa2!C16*Csan2</f>
        <v>2037484.2233009706</v>
      </c>
      <c r="I12" s="4">
        <f>A12*Alternativa2!D16*Clev2</f>
        <v>159757.28155339806</v>
      </c>
      <c r="J12" s="4">
        <f>A12*Alternativa2!E16*Cavan2</f>
        <v>125858.49514563107</v>
      </c>
      <c r="K12" s="4">
        <f>A12*Alternativa2!F16*Ccieg</f>
        <v>0</v>
      </c>
      <c r="L12" s="3"/>
      <c r="N12" s="3"/>
    </row>
    <row r="13" spans="1:14" x14ac:dyDescent="0.3">
      <c r="A13" s="3">
        <f t="shared" si="0"/>
        <v>0.94259590913375435</v>
      </c>
      <c r="B13" s="3">
        <v>3</v>
      </c>
      <c r="C13" s="4">
        <f>A13*Alternativa1!C17*Csan</f>
        <v>1972424.3189744558</v>
      </c>
      <c r="D13" s="4">
        <f>A13*Alternativa1!D17*Clev</f>
        <v>307541.87011028372</v>
      </c>
      <c r="E13" s="4">
        <f>A13*Alternativa1!E17*Cavan</f>
        <v>303311.21453482891</v>
      </c>
      <c r="F13" s="4">
        <f>A13*Alternativa1!F17*Ccieg</f>
        <v>0</v>
      </c>
      <c r="G13" s="4"/>
      <c r="H13" s="4">
        <f>A13*Alternativa2!C17*Csan2</f>
        <v>1869342.3213780753</v>
      </c>
      <c r="I13" s="4">
        <f>A13*Alternativa2!D17*Clev2</f>
        <v>213591.99736073145</v>
      </c>
      <c r="J13" s="4">
        <f>A13*Alternativa2!E17*Cavan2</f>
        <v>174997.87091149026</v>
      </c>
      <c r="K13" s="4">
        <f>A13*Alternativa2!F17*Ccieg</f>
        <v>0</v>
      </c>
      <c r="L13" s="3"/>
      <c r="N13" s="3"/>
    </row>
    <row r="14" spans="1:14" x14ac:dyDescent="0.3">
      <c r="A14" s="3">
        <f t="shared" si="0"/>
        <v>0.9151416593531595</v>
      </c>
      <c r="B14" s="3">
        <v>4</v>
      </c>
      <c r="C14" s="4">
        <f>A14*Alternativa1!C18*Csan</f>
        <v>1790501.6876127343</v>
      </c>
      <c r="D14" s="4">
        <f>A14*Alternativa1!D18*Clev</f>
        <v>368118.76978421881</v>
      </c>
      <c r="E14" s="4">
        <f>A14*Alternativa1!E18*Cavan</f>
        <v>356290.44913551147</v>
      </c>
      <c r="F14" s="4">
        <f>A14*Alternativa1!F18*Ccieg</f>
        <v>0</v>
      </c>
      <c r="G14" s="4"/>
      <c r="H14" s="4">
        <f>A14*Alternativa2!C18*Csan2</f>
        <v>1715076.2074779426</v>
      </c>
      <c r="I14" s="4">
        <f>A14*Alternativa2!D18*Clev2</f>
        <v>254521.95630747659</v>
      </c>
      <c r="J14" s="4">
        <f>A14*Alternativa2!E18*Cavan2</f>
        <v>214025.33224789903</v>
      </c>
      <c r="K14" s="4">
        <f>A14*Alternativa2!F18*Ccieg</f>
        <v>0</v>
      </c>
      <c r="L14" s="3"/>
      <c r="N14" s="3"/>
    </row>
    <row r="15" spans="1:14" x14ac:dyDescent="0.3">
      <c r="A15" s="3">
        <f t="shared" si="0"/>
        <v>0.88848704791568878</v>
      </c>
      <c r="B15" s="3">
        <v>5</v>
      </c>
      <c r="C15" s="4">
        <f>A15*Alternativa1!C19*Csan</f>
        <v>1625358.3280756373</v>
      </c>
      <c r="D15" s="4">
        <f>A15*Alternativa1!D19*Clev</f>
        <v>412548.84321451915</v>
      </c>
      <c r="E15" s="4">
        <f>A15*Alternativa1!E19*Cavan</f>
        <v>394019.86258347234</v>
      </c>
      <c r="F15" s="4">
        <f>A15*Alternativa1!F19*Ccieg</f>
        <v>0</v>
      </c>
      <c r="G15" s="4"/>
      <c r="H15" s="4">
        <f>A15*Alternativa2!C19*Csan2</f>
        <v>1573540.7922977237</v>
      </c>
      <c r="I15" s="4">
        <f>A15*Alternativa2!D19*Clev2</f>
        <v>284840.00537832303</v>
      </c>
      <c r="J15" s="4">
        <f>A15*Alternativa2!E19*Cavan2</f>
        <v>243860.05359081217</v>
      </c>
      <c r="K15" s="4">
        <f>A15*Alternativa2!F19*Ccieg</f>
        <v>0</v>
      </c>
      <c r="L15" s="3"/>
      <c r="N15" s="3"/>
    </row>
    <row r="16" spans="1:14" x14ac:dyDescent="0.3">
      <c r="A16" s="3">
        <f t="shared" si="0"/>
        <v>0.86260878438416388</v>
      </c>
      <c r="B16" s="3">
        <v>6</v>
      </c>
      <c r="C16" s="4">
        <f>A16*Alternativa1!C20*Csan</f>
        <v>1475446.6376220591</v>
      </c>
      <c r="D16" s="4">
        <f>A16*Alternativa1!D20*Clev</f>
        <v>443488.6341514028</v>
      </c>
      <c r="E16" s="4">
        <f>A16*Alternativa1!E20*Cavan</f>
        <v>419486.87481552077</v>
      </c>
      <c r="F16" s="4">
        <f>A16*Alternativa1!F20*Ccieg</f>
        <v>0</v>
      </c>
      <c r="G16" s="4"/>
      <c r="H16" s="4">
        <f>A16*Alternativa2!C20*Csan2</f>
        <v>1443685.4841954845</v>
      </c>
      <c r="I16" s="4">
        <f>A16*Alternativa2!D20*Clev2</f>
        <v>306384.83980249724</v>
      </c>
      <c r="J16" s="4">
        <f>A16*Alternativa2!E20*Cavan2</f>
        <v>265703.16165450716</v>
      </c>
      <c r="K16" s="4">
        <f>A16*Alternativa2!F20*Ccieg</f>
        <v>0</v>
      </c>
      <c r="L16" s="3"/>
      <c r="N16" s="3"/>
    </row>
    <row r="17" spans="1:14" x14ac:dyDescent="0.3">
      <c r="A17" s="3">
        <f t="shared" si="0"/>
        <v>0.83748425668365423</v>
      </c>
      <c r="B17" s="3">
        <v>7</v>
      </c>
      <c r="C17" s="4">
        <f>A17*Alternativa1!C21*Csan</f>
        <v>1339361.7535695392</v>
      </c>
      <c r="D17" s="4">
        <f>A17*Alternativa1!D21*Clev</f>
        <v>463270.647960837</v>
      </c>
      <c r="E17" s="4">
        <f>A17*Alternativa1!E21*Cavan</f>
        <v>435025.75476523949</v>
      </c>
      <c r="F17" s="4">
        <f>A17*Alternativa1!F21*Ccieg</f>
        <v>0</v>
      </c>
      <c r="G17" s="4"/>
      <c r="H17" s="4">
        <f>A17*Alternativa2!C21*Csan2</f>
        <v>1324546.3908395462</v>
      </c>
      <c r="I17" s="4">
        <f>A17*Alternativa2!D21*Clev2</f>
        <v>320676.73269095924</v>
      </c>
      <c r="J17" s="4">
        <f>A17*Alternativa2!E21*Cavan2</f>
        <v>280762.00431353343</v>
      </c>
      <c r="K17" s="4">
        <f>A17*Alternativa2!F21*Ccieg</f>
        <v>0</v>
      </c>
      <c r="L17" s="3"/>
      <c r="N17" s="3"/>
    </row>
    <row r="18" spans="1:14" x14ac:dyDescent="0.3">
      <c r="A18" s="3">
        <f t="shared" si="0"/>
        <v>0.81309151134335356</v>
      </c>
      <c r="B18" s="3">
        <v>8</v>
      </c>
      <c r="C18" s="4">
        <f>A18*Alternativa1!C22*Csan</f>
        <v>1215828.3879490476</v>
      </c>
      <c r="D18" s="4">
        <f>A18*Alternativa1!D22*Clev</f>
        <v>473907.49746465916</v>
      </c>
      <c r="E18" s="4">
        <f>A18*Alternativa1!E22*Cavan</f>
        <v>442529.52752330317</v>
      </c>
      <c r="F18" s="4">
        <f>A18*Alternativa1!F22*Ccieg</f>
        <v>0</v>
      </c>
      <c r="G18" s="4"/>
      <c r="H18" s="4">
        <f>A18*Alternativa2!C22*Csan2</f>
        <v>1215239.16441104</v>
      </c>
      <c r="I18" s="4">
        <f>A18*Alternativa2!D22*Clev2</f>
        <v>328992.54235859896</v>
      </c>
      <c r="J18" s="4">
        <f>A18*Alternativa2!E22*Cavan2</f>
        <v>290146.61527472164</v>
      </c>
      <c r="K18" s="4">
        <f>A18*Alternativa2!F22*Ccieg</f>
        <v>0</v>
      </c>
      <c r="L18" s="3"/>
      <c r="N18" s="3"/>
    </row>
    <row r="19" spans="1:14" x14ac:dyDescent="0.3">
      <c r="A19" s="3">
        <f t="shared" si="0"/>
        <v>0.7894092343139355</v>
      </c>
      <c r="B19" s="3">
        <v>9</v>
      </c>
      <c r="C19" s="4">
        <f>A19*Alternativa1!C23*Csan</f>
        <v>1103688.8764391842</v>
      </c>
      <c r="D19" s="4">
        <f>A19*Alternativa1!D23*Clev</f>
        <v>477118.84002505027</v>
      </c>
      <c r="E19" s="4">
        <f>A19*Alternativa1!E23*Cavan</f>
        <v>443563.7385510148</v>
      </c>
      <c r="F19" s="4">
        <f>A19*Alternativa1!F23*Ccieg</f>
        <v>0</v>
      </c>
      <c r="G19" s="4"/>
      <c r="H19" s="4">
        <f>A19*Alternativa2!C23*Csan2</f>
        <v>1114952.4372509057</v>
      </c>
      <c r="I19" s="4">
        <f>A19*Alternativa2!D23*Clev2</f>
        <v>332412.39310790575</v>
      </c>
      <c r="J19" s="4">
        <f>A19*Alternativa2!E23*Cavan2</f>
        <v>294838.49935630278</v>
      </c>
      <c r="K19" s="4">
        <f>A19*Alternativa2!F23*Ccieg</f>
        <v>0</v>
      </c>
      <c r="L19" s="3"/>
      <c r="N19" s="3"/>
    </row>
    <row r="20" spans="1:14" x14ac:dyDescent="0.3">
      <c r="A20" s="3">
        <f t="shared" si="0"/>
        <v>0.76641673234362673</v>
      </c>
      <c r="B20" s="3">
        <v>10</v>
      </c>
      <c r="C20" s="4">
        <f>A20*Alternativa1!C24*Csan</f>
        <v>1001892.3295831431</v>
      </c>
      <c r="D20" s="4">
        <f>A20*Alternativa1!D24*Clev</f>
        <v>474364.79852673848</v>
      </c>
      <c r="E20" s="4">
        <f>A20*Alternativa1!E24*Cavan</f>
        <v>439434.88454477204</v>
      </c>
      <c r="F20" s="4">
        <f>A20*Alternativa1!F24*Ccieg</f>
        <v>0</v>
      </c>
      <c r="G20" s="4"/>
      <c r="H20" s="4">
        <f>A20*Alternativa2!C24*Csan2</f>
        <v>1022941.7992253454</v>
      </c>
      <c r="I20" s="4">
        <f>A20*Alternativa2!D24*Clev2</f>
        <v>331852.2778425109</v>
      </c>
      <c r="J20" s="4">
        <f>A20*Alternativa2!E24*Cavan2</f>
        <v>295688.88695242174</v>
      </c>
      <c r="K20" s="4">
        <f>A20*Alternativa2!F24*Ccieg</f>
        <v>0</v>
      </c>
      <c r="L20" s="3"/>
      <c r="N20" s="3"/>
    </row>
    <row r="21" spans="1:14" x14ac:dyDescent="0.3">
      <c r="A21" s="3">
        <f t="shared" si="0"/>
        <v>0.74409391489672494</v>
      </c>
      <c r="B21" s="3">
        <v>11</v>
      </c>
      <c r="C21" s="4">
        <f>A21*Alternativa1!C25*Csan</f>
        <v>909484.7846215911</v>
      </c>
      <c r="D21" s="4">
        <f>A21*Alternativa1!D25*Clev</f>
        <v>466879.26256716996</v>
      </c>
      <c r="E21" s="4">
        <f>A21*Alternativa1!E25*Cavan</f>
        <v>431236.68765837554</v>
      </c>
      <c r="F21" s="4">
        <f>A21*Alternativa1!F25*Ccieg</f>
        <v>0</v>
      </c>
      <c r="G21" s="4"/>
      <c r="H21" s="4">
        <f>A21*Alternativa2!C25*Csan2</f>
        <v>938524.27210480708</v>
      </c>
      <c r="I21" s="4">
        <f>A21*Alternativa2!D25*Clev2</f>
        <v>328088.96584864228</v>
      </c>
      <c r="J21" s="4">
        <f>A21*Alternativa2!E25*Cavan2</f>
        <v>293428.18448389327</v>
      </c>
      <c r="K21" s="4">
        <f>A21*Alternativa2!F25*Ccieg</f>
        <v>0</v>
      </c>
      <c r="L21" s="3"/>
      <c r="N21" s="3"/>
    </row>
    <row r="22" spans="1:14" x14ac:dyDescent="0.3">
      <c r="A22" s="3">
        <f t="shared" si="0"/>
        <v>0.7224212765987621</v>
      </c>
      <c r="B22" s="3">
        <v>12</v>
      </c>
      <c r="C22" s="4">
        <f>A22*Alternativa1!C26*Csan</f>
        <v>825600.26565163862</v>
      </c>
      <c r="D22" s="4">
        <f>A22*Alternativa1!D26*Clev</f>
        <v>455700.59880238131</v>
      </c>
      <c r="E22" s="4">
        <f>A22*Alternativa1!E26*Cavan</f>
        <v>419884.55223965074</v>
      </c>
      <c r="F22" s="4">
        <f>A22*Alternativa1!F26*Ccieg</f>
        <v>0</v>
      </c>
      <c r="G22" s="4"/>
      <c r="H22" s="4">
        <f>A22*Alternativa2!C26*Csan2</f>
        <v>861073.23994081805</v>
      </c>
      <c r="I22" s="4">
        <f>A22*Alternativa2!D26*Clev2</f>
        <v>321780.17565648933</v>
      </c>
      <c r="J22" s="4">
        <f>A22*Alternativa2!E26*Cavan2</f>
        <v>288678.92735943344</v>
      </c>
      <c r="K22" s="4">
        <f>A22*Alternativa2!F26*Ccieg</f>
        <v>0</v>
      </c>
      <c r="L22" s="3"/>
      <c r="N22" s="3"/>
    </row>
    <row r="23" spans="1:14" x14ac:dyDescent="0.3">
      <c r="A23" s="3">
        <f t="shared" si="0"/>
        <v>0.70137988019297293</v>
      </c>
      <c r="B23" s="3">
        <v>13</v>
      </c>
      <c r="C23" s="4">
        <f>A23*Alternativa1!C27*Csan</f>
        <v>749452.66833425453</v>
      </c>
      <c r="D23" s="4">
        <f>A23*Alternativa1!D27*Clev</f>
        <v>441699.03468733199</v>
      </c>
      <c r="E23" s="4">
        <f>A23*Alternativa1!E27*Cavan</f>
        <v>406142.96010901907</v>
      </c>
      <c r="F23" s="4">
        <f>A23*Alternativa1!F27*Ccieg</f>
        <v>0</v>
      </c>
      <c r="G23" s="4"/>
      <c r="H23" s="4">
        <f>A23*Alternativa2!C27*Csan2</f>
        <v>790013.79780977964</v>
      </c>
      <c r="I23" s="4">
        <f>A23*Alternativa2!D27*Clev2</f>
        <v>313481.46990024374</v>
      </c>
      <c r="J23" s="4">
        <f>A23*Alternativa2!E27*Cavan2</f>
        <v>281969.08381214918</v>
      </c>
      <c r="K23" s="4">
        <f>A23*Alternativa2!F27*Ccieg</f>
        <v>0</v>
      </c>
      <c r="L23" s="3"/>
      <c r="N23" s="3"/>
    </row>
    <row r="24" spans="1:14" x14ac:dyDescent="0.3">
      <c r="A24" s="3">
        <f t="shared" si="0"/>
        <v>0.68095133999317758</v>
      </c>
      <c r="B24" s="3">
        <v>14</v>
      </c>
      <c r="C24" s="4">
        <f>A24*Alternativa1!C28*Csan</f>
        <v>680328.39309954166</v>
      </c>
      <c r="D24" s="4">
        <f>A24*Alternativa1!D28*Clev</f>
        <v>425600.68658085814</v>
      </c>
      <c r="E24" s="4">
        <f>A24*Alternativa1!E28*Cavan</f>
        <v>390648.11341530469</v>
      </c>
      <c r="F24" s="4">
        <f>A24*Alternativa1!F28*Ccieg</f>
        <v>0</v>
      </c>
      <c r="G24" s="4"/>
      <c r="H24" s="4">
        <f>A24*Alternativa2!C28*Csan2</f>
        <v>724818.48439829296</v>
      </c>
      <c r="I24" s="4">
        <f>A24*Alternativa2!D28*Clev2</f>
        <v>303660.65804692096</v>
      </c>
      <c r="J24" s="4">
        <f>A24*Alternativa2!E28*Cavan2</f>
        <v>273744.49703996151</v>
      </c>
      <c r="K24" s="4">
        <f>A24*Alternativa2!F28*Ccieg</f>
        <v>0</v>
      </c>
      <c r="L24" s="3"/>
      <c r="N24" s="3"/>
    </row>
    <row r="25" spans="1:14" x14ac:dyDescent="0.3">
      <c r="A25" s="3">
        <f t="shared" si="0"/>
        <v>0.66111780581861901</v>
      </c>
      <c r="B25" s="3">
        <v>15</v>
      </c>
      <c r="C25" s="4">
        <f>A25*Alternativa1!C29*Csan</f>
        <v>617579.65781366162</v>
      </c>
      <c r="D25" s="4">
        <f>A25*Alternativa1!D29*Clev</f>
        <v>408008.47132507322</v>
      </c>
      <c r="E25" s="4">
        <f>A25*Alternativa1!E29*Cavan</f>
        <v>373927.0452731594</v>
      </c>
      <c r="F25" s="4">
        <f>A25*Alternativa1!F29*Ccieg</f>
        <v>0</v>
      </c>
      <c r="G25" s="4"/>
      <c r="H25" s="4">
        <f>A25*Alternativa2!C29*Csan2</f>
        <v>665003.36675377365</v>
      </c>
      <c r="I25" s="4">
        <f>A25*Alternativa2!D29*Clev2</f>
        <v>292710.18362060731</v>
      </c>
      <c r="J25" s="4">
        <f>A25*Alternativa2!E29*Cavan2</f>
        <v>264380.07147304976</v>
      </c>
      <c r="K25" s="4">
        <f>A25*Alternativa2!F29*Ccieg</f>
        <v>0</v>
      </c>
      <c r="L25" s="3"/>
      <c r="N25" s="3"/>
    </row>
    <row r="26" spans="1:14" x14ac:dyDescent="0.3">
      <c r="A26" s="3">
        <f t="shared" si="0"/>
        <v>0.64186194739671742</v>
      </c>
      <c r="B26" s="3">
        <v>16</v>
      </c>
      <c r="C26" s="4">
        <f>A26*Alternativa1!C30*Csan</f>
        <v>560618.42723861511</v>
      </c>
      <c r="D26" s="4">
        <f>A26*Alternativa1!D30*Clev</f>
        <v>389420.22390710161</v>
      </c>
      <c r="E26" s="4">
        <f>A26*Alternativa1!E30*Cavan</f>
        <v>356413.91981929529</v>
      </c>
      <c r="F26" s="4">
        <f>A26*Alternativa1!F30*Ccieg</f>
        <v>0</v>
      </c>
      <c r="G26" s="4"/>
      <c r="H26" s="4">
        <f>A26*Alternativa2!C30*Csan2</f>
        <v>610124.44813817088</v>
      </c>
      <c r="I26" s="4">
        <f>A26*Alternativa2!D30*Clev2</f>
        <v>280957.82187571895</v>
      </c>
      <c r="J26" s="4">
        <f>A26*Alternativa2!E30*Cavan2</f>
        <v>254189.64602282134</v>
      </c>
      <c r="K26" s="4">
        <f>A26*Alternativa2!F30*Ccieg</f>
        <v>0</v>
      </c>
      <c r="L26" s="3"/>
      <c r="N26" s="3"/>
    </row>
    <row r="27" spans="1:14" x14ac:dyDescent="0.3">
      <c r="A27" s="3">
        <f t="shared" si="0"/>
        <v>0.62316693922011401</v>
      </c>
      <c r="B27" s="3">
        <v>17</v>
      </c>
      <c r="C27" s="4">
        <f>A27*Alternativa1!C31*Csan</f>
        <v>508910.90239621862</v>
      </c>
      <c r="D27" s="4">
        <f>A27*Alternativa1!D31*Clev</f>
        <v>370244.35168565571</v>
      </c>
      <c r="E27" s="4">
        <f>A27*Alternativa1!E31*Cavan</f>
        <v>338464.00310947665</v>
      </c>
      <c r="F27" s="4">
        <f>A27*Alternativa1!F31*Ccieg</f>
        <v>0</v>
      </c>
      <c r="G27" s="4"/>
      <c r="H27" s="4">
        <f>A27*Alternativa2!C31*Csan2</f>
        <v>559774.37232094316</v>
      </c>
      <c r="I27" s="4">
        <f>A27*Alternativa2!D31*Clev2</f>
        <v>268675.93376332341</v>
      </c>
      <c r="J27" s="4">
        <f>A27*Alternativa2!E31*Cavan2</f>
        <v>243434.62845779868</v>
      </c>
      <c r="K27" s="4">
        <f>A27*Alternativa2!F31*Ccieg</f>
        <v>0</v>
      </c>
      <c r="L27" s="3"/>
      <c r="N27" s="3"/>
    </row>
    <row r="28" spans="1:14" x14ac:dyDescent="0.3">
      <c r="A28" s="3">
        <f t="shared" si="0"/>
        <v>0.60501644584477088</v>
      </c>
      <c r="B28" s="3">
        <v>18</v>
      </c>
      <c r="C28" s="4">
        <f>A28*Alternativa1!C32*Csan</f>
        <v>461972.51819462568</v>
      </c>
      <c r="D28" s="4">
        <f>A28*Alternativa1!D32*Clev</f>
        <v>350813.33445823158</v>
      </c>
      <c r="E28" s="4">
        <f>A28*Alternativa1!E32*Cavan</f>
        <v>320365.66072275914</v>
      </c>
      <c r="F28" s="4">
        <f>A28*Alternativa1!F32*Ccieg</f>
        <v>0</v>
      </c>
      <c r="G28" s="4"/>
      <c r="H28" s="4">
        <f>A28*Alternativa2!C32*Csan2</f>
        <v>513579.39984785562</v>
      </c>
      <c r="I28" s="4">
        <f>A28*Alternativa2!D32*Clev2</f>
        <v>256089.4742463626</v>
      </c>
      <c r="J28" s="4">
        <f>A28*Alternativa2!E32*Cavan2</f>
        <v>232331.50930570968</v>
      </c>
      <c r="K28" s="4">
        <f>A28*Alternativa2!F32*Ccieg</f>
        <v>0</v>
      </c>
      <c r="L28" s="3"/>
      <c r="N28" s="3"/>
    </row>
    <row r="29" spans="1:14" x14ac:dyDescent="0.3">
      <c r="A29" s="3">
        <f t="shared" si="0"/>
        <v>0.58739460761628237</v>
      </c>
      <c r="B29" s="3">
        <v>19</v>
      </c>
      <c r="C29" s="4">
        <f>A29*Alternativa1!C33*Csan</f>
        <v>419363.40243881068</v>
      </c>
      <c r="D29" s="4">
        <f>A29*Alternativa1!D33*Clev</f>
        <v>331395.34899886139</v>
      </c>
      <c r="E29" s="4">
        <f>A29*Alternativa1!E33*Cavan</f>
        <v>302350.66463633557</v>
      </c>
      <c r="F29" s="4">
        <f>A29*Alternativa1!F33*Ccieg</f>
        <v>0</v>
      </c>
      <c r="G29" s="4"/>
      <c r="H29" s="4">
        <f>A29*Alternativa2!C33*Csan2</f>
        <v>471196.63384099369</v>
      </c>
      <c r="I29" s="4">
        <f>A29*Alternativa2!D33*Clev2</f>
        <v>243382.92081914234</v>
      </c>
      <c r="J29" s="4">
        <f>A29*Alternativa2!E33*Cavan2</f>
        <v>221058.38191080361</v>
      </c>
      <c r="K29" s="4">
        <f>A29*Alternativa2!F33*Ccieg</f>
        <v>0</v>
      </c>
      <c r="L29" s="3"/>
      <c r="N29" s="3"/>
    </row>
    <row r="30" spans="1:14" x14ac:dyDescent="0.3">
      <c r="A30" s="3">
        <f t="shared" si="0"/>
        <v>0.57028602681192464</v>
      </c>
      <c r="B30" s="3">
        <v>20</v>
      </c>
      <c r="C30" s="4">
        <f>A30*Alternativa1!C34*Csan</f>
        <v>380684.25367018254</v>
      </c>
      <c r="D30" s="4">
        <f>A30*Alternativa1!D34*Clev</f>
        <v>312204.26469954301</v>
      </c>
      <c r="E30" s="4">
        <f>A30*Alternativa1!E34*Cavan</f>
        <v>284603.04360452894</v>
      </c>
      <c r="F30" s="4">
        <f>A30*Alternativa1!F34*Ccieg</f>
        <v>0</v>
      </c>
      <c r="G30" s="4"/>
      <c r="H30" s="4">
        <f>A30*Alternativa2!C34*Csan2</f>
        <v>432311.47473761067</v>
      </c>
      <c r="I30" s="4">
        <f>A30*Alternativa2!D34*Clev2</f>
        <v>230706.26405054037</v>
      </c>
      <c r="J30" s="4">
        <f>A30*Alternativa2!E34*Cavan2</f>
        <v>209760.58930725761</v>
      </c>
      <c r="K30" s="4">
        <f>A30*Alternativa2!F34*Ccieg</f>
        <v>0</v>
      </c>
      <c r="L30" s="3"/>
      <c r="N30" s="3"/>
    </row>
    <row r="31" spans="1:14" x14ac:dyDescent="0.3">
      <c r="A31" s="3">
        <f t="shared" si="0"/>
        <v>0.55367575418633463</v>
      </c>
      <c r="B31" s="3">
        <v>21</v>
      </c>
      <c r="C31" s="4">
        <f>A31*Alternativa1!C35*Csan</f>
        <v>345572.59920545702</v>
      </c>
      <c r="D31" s="4">
        <f>A31*Alternativa1!D35*Clev</f>
        <v>293408.2267506544</v>
      </c>
      <c r="E31" s="4">
        <f>A31*Alternativa1!E35*Cavan</f>
        <v>267266.67584310978</v>
      </c>
      <c r="F31" s="4">
        <f>A31*Alternativa1!F35*Ccieg</f>
        <v>0</v>
      </c>
      <c r="G31" s="4"/>
      <c r="H31" s="4">
        <f>A31*Alternativa2!C35*Csan2</f>
        <v>396635.2850747981</v>
      </c>
      <c r="I31" s="4">
        <f>A31*Alternativa2!D35*Clev2</f>
        <v>218180.18271856615</v>
      </c>
      <c r="J31" s="4">
        <f>A31*Alternativa2!E35*Cavan2</f>
        <v>198555.60765700159</v>
      </c>
      <c r="K31" s="4">
        <f>A31*Alternativa2!F35*Ccieg</f>
        <v>0</v>
      </c>
      <c r="L31" s="3"/>
      <c r="N31" s="3"/>
    </row>
    <row r="32" spans="1:14" x14ac:dyDescent="0.3">
      <c r="A32" s="3">
        <f t="shared" si="0"/>
        <v>0.53754927590906276</v>
      </c>
      <c r="B32" s="3">
        <v>22</v>
      </c>
      <c r="C32" s="4">
        <f>A32*Alternativa1!C36*Csan</f>
        <v>313699.3983078663</v>
      </c>
      <c r="D32" s="4">
        <f>A32*Alternativa1!D36*Clev</f>
        <v>275137.01595788391</v>
      </c>
      <c r="E32" s="4">
        <f>A32*Alternativa1!E36*Cavan</f>
        <v>250451.79480802218</v>
      </c>
      <c r="F32" s="4">
        <f>A32*Alternativa1!F36*Ccieg</f>
        <v>0</v>
      </c>
      <c r="G32" s="4"/>
      <c r="H32" s="4">
        <f>A32*Alternativa2!C36*Csan2</f>
        <v>363903.24698610121</v>
      </c>
      <c r="I32" s="4">
        <f>A32*Alternativa2!D36*Clev2</f>
        <v>205900.51002201659</v>
      </c>
      <c r="J32" s="4">
        <f>A32*Alternativa2!E36*Cavan2</f>
        <v>187537.26399118817</v>
      </c>
      <c r="K32" s="4">
        <f>A32*Alternativa2!F36*Ccieg</f>
        <v>0</v>
      </c>
      <c r="L32" s="3"/>
      <c r="N32" s="3"/>
    </row>
    <row r="33" spans="1:14" x14ac:dyDescent="0.3">
      <c r="A33" s="3">
        <f t="shared" si="0"/>
        <v>0.52189250088258521</v>
      </c>
      <c r="B33" s="3">
        <v>23</v>
      </c>
      <c r="C33" s="4">
        <f>A33*Alternativa1!C37*Csan</f>
        <v>284765.95865811169</v>
      </c>
      <c r="D33" s="4">
        <f>A33*Alternativa1!D37*Clev</f>
        <v>257488.35001205764</v>
      </c>
      <c r="E33" s="4">
        <f>A33*Alternativa1!E37*Cavan</f>
        <v>234240.55566938603</v>
      </c>
      <c r="F33" s="4">
        <f>A33*Alternativa1!F37*Ccieg</f>
        <v>0</v>
      </c>
      <c r="G33" s="4"/>
      <c r="H33" s="4">
        <f>A33*Alternativa2!C37*Csan2</f>
        <v>333872.39650666568</v>
      </c>
      <c r="I33" s="4">
        <f>A33*Alternativa2!D37*Clev2</f>
        <v>193942.08361015815</v>
      </c>
      <c r="J33" s="4">
        <f>A33*Alternativa2!E37*Cavan2</f>
        <v>176779.37442164897</v>
      </c>
      <c r="K33" s="4">
        <f>A33*Alternativa2!F37*Ccieg</f>
        <v>0</v>
      </c>
      <c r="L33" s="3"/>
      <c r="N33" s="3"/>
    </row>
    <row r="34" spans="1:14" x14ac:dyDescent="0.3">
      <c r="A34" s="3">
        <f t="shared" si="0"/>
        <v>0.50669174842969433</v>
      </c>
      <c r="B34" s="3">
        <v>24</v>
      </c>
      <c r="C34" s="4">
        <f>A34*Alternativa1!C38*Csan</f>
        <v>258501.13722848002</v>
      </c>
      <c r="D34" s="4">
        <f>A34*Alternativa1!D38*Clev</f>
        <v>240533.26965968186</v>
      </c>
      <c r="E34" s="4">
        <f>A34*Alternativa1!E38*Cavan</f>
        <v>218691.79039303109</v>
      </c>
      <c r="F34" s="4">
        <f>A34*Alternativa1!F38*Ccieg</f>
        <v>0</v>
      </c>
      <c r="G34" s="4"/>
      <c r="H34" s="4">
        <f>A34*Alternativa2!C38*Csan2</f>
        <v>306319.82009592134</v>
      </c>
      <c r="I34" s="4">
        <f>A34*Alternativa2!D38*Clev2</f>
        <v>182362.06028462396</v>
      </c>
      <c r="J34" s="4">
        <f>A34*Alternativa2!E38*Cavan2</f>
        <v>166338.87840132235</v>
      </c>
      <c r="K34" s="4">
        <f>A34*Alternativa2!F38*Ccieg</f>
        <v>0</v>
      </c>
      <c r="L34" s="3"/>
      <c r="N34" s="3"/>
    </row>
    <row r="35" spans="1:14" x14ac:dyDescent="0.3">
      <c r="A35" s="3">
        <f t="shared" si="0"/>
        <v>0.49193373633950904</v>
      </c>
      <c r="B35" s="3">
        <v>25</v>
      </c>
      <c r="C35" s="4">
        <f>A35*Alternativa1!C39*Csan</f>
        <v>234658.79932876586</v>
      </c>
      <c r="D35" s="4">
        <f>A35*Alternativa1!D39*Clev</f>
        <v>224320.7345034676</v>
      </c>
      <c r="E35" s="4">
        <f>A35*Alternativa1!E39*Cavan</f>
        <v>203845.06240290505</v>
      </c>
      <c r="F35" s="4">
        <f>A35*Alternativa1!F39*Ccieg</f>
        <v>0</v>
      </c>
      <c r="G35" s="4"/>
      <c r="H35" s="4">
        <f>A35*Alternativa2!C39*Csan2</f>
        <v>281040.99999091809</v>
      </c>
      <c r="I35" s="4">
        <f>A35*Alternativa2!D39*Clev2</f>
        <v>171202.76588741882</v>
      </c>
      <c r="J35" s="4">
        <f>A35*Alternativa2!E39*Cavan2</f>
        <v>156258.53514945341</v>
      </c>
      <c r="K35" s="4">
        <f>A35*Alternativa2!F39*Ccieg</f>
        <v>0</v>
      </c>
      <c r="L35" s="3"/>
      <c r="N35" s="3"/>
    </row>
    <row r="36" spans="1:14" x14ac:dyDescent="0.3">
      <c r="A36" s="3">
        <f t="shared" si="0"/>
        <v>0.47760556926165926</v>
      </c>
      <c r="B36" s="3">
        <v>26</v>
      </c>
      <c r="C36" s="4">
        <f>A36*Alternativa1!C40*Csan</f>
        <v>213015.51201203503</v>
      </c>
      <c r="D36" s="4">
        <f>A36*Alternativa1!D40*Clev</f>
        <v>208881.53680478648</v>
      </c>
      <c r="E36" s="4">
        <f>A36*Alternativa1!E40*Cavan</f>
        <v>189724.11712864516</v>
      </c>
      <c r="F36" s="4">
        <f>A36*Alternativa1!F40*Ccieg</f>
        <v>0</v>
      </c>
      <c r="G36" s="4"/>
      <c r="H36" s="4">
        <f>A36*Alternativa2!C40*Csan2</f>
        <v>257848.29610817242</v>
      </c>
      <c r="I36" s="4">
        <f>A36*Alternativa2!D40*Clev2</f>
        <v>160494.14186853875</v>
      </c>
      <c r="J36" s="4">
        <f>A36*Alternativa2!E40*Cavan2</f>
        <v>146569.23999182883</v>
      </c>
      <c r="K36" s="4">
        <f>A36*Alternativa2!F40*Ccieg</f>
        <v>0</v>
      </c>
      <c r="L36" s="3"/>
      <c r="N36" s="3"/>
    </row>
    <row r="37" spans="1:14" x14ac:dyDescent="0.3">
      <c r="A37" s="3">
        <f t="shared" si="0"/>
        <v>0.4636947274385041</v>
      </c>
      <c r="B37" s="3">
        <v>27</v>
      </c>
      <c r="C37" s="4">
        <f>A37*Alternativa1!C41*Csan</f>
        <v>193368.45022451723</v>
      </c>
      <c r="D37" s="4">
        <f>A37*Alternativa1!D41*Clev</f>
        <v>194231.62738568342</v>
      </c>
      <c r="E37" s="4">
        <f>A37*Alternativa1!E41*Cavan</f>
        <v>176339.81199962163</v>
      </c>
      <c r="F37" s="4">
        <f>A37*Alternativa1!F41*Ccieg</f>
        <v>0</v>
      </c>
      <c r="G37" s="4"/>
      <c r="H37" s="4">
        <f>A37*Alternativa2!C41*Csan2</f>
        <v>236569.55322545915</v>
      </c>
      <c r="I37" s="4">
        <f>A37*Alternativa2!D41*Clev2</f>
        <v>150255.84214772447</v>
      </c>
      <c r="J37" s="4">
        <f>A37*Alternativa2!E41*Cavan2</f>
        <v>137292.0110112048</v>
      </c>
      <c r="K37" s="4">
        <f>A37*Alternativa2!F41*Ccieg</f>
        <v>0</v>
      </c>
      <c r="L37" s="3"/>
      <c r="N37" s="3"/>
    </row>
    <row r="38" spans="1:14" x14ac:dyDescent="0.3">
      <c r="A38" s="3">
        <f t="shared" si="0"/>
        <v>0.45018905576553797</v>
      </c>
      <c r="B38" s="3">
        <v>28</v>
      </c>
      <c r="C38" s="4">
        <f>A38*Alternativa1!C42*Csan</f>
        <v>175533.49607759574</v>
      </c>
      <c r="D38" s="4">
        <f>A38*Alternativa1!D42*Clev</f>
        <v>180374.93528222511</v>
      </c>
      <c r="E38" s="4">
        <f>A38*Alternativa1!E42*Cavan</f>
        <v>163692.59836180921</v>
      </c>
      <c r="F38" s="4">
        <f>A38*Alternativa1!F42*Ccieg</f>
        <v>0</v>
      </c>
      <c r="G38" s="4"/>
      <c r="H38" s="4">
        <f>A38*Alternativa2!C42*Csan2</f>
        <v>217046.8231049116</v>
      </c>
      <c r="I38" s="4">
        <f>A38*Alternativa2!D42*Clev2</f>
        <v>140499.02699940369</v>
      </c>
      <c r="J38" s="4">
        <f>A38*Alternativa2!E42*Cavan2</f>
        <v>128439.68995431632</v>
      </c>
      <c r="K38" s="4">
        <f>A38*Alternativa2!F42*Ccieg</f>
        <v>0</v>
      </c>
      <c r="L38" s="3"/>
      <c r="N38" s="3"/>
    </row>
    <row r="39" spans="1:14" x14ac:dyDescent="0.3">
      <c r="A39" s="3">
        <f t="shared" si="0"/>
        <v>0.43707675317042521</v>
      </c>
      <c r="B39" s="3">
        <v>29</v>
      </c>
      <c r="C39" s="4">
        <f>A39*Alternativa1!C43*Csan</f>
        <v>159343.51342966215</v>
      </c>
      <c r="D39" s="4">
        <f>A39*Alternativa1!D43*Clev</f>
        <v>167305.75195609758</v>
      </c>
      <c r="E39" s="4">
        <f>A39*Alternativa1!E43*Cavan</f>
        <v>151774.61814653556</v>
      </c>
      <c r="F39" s="4">
        <f>A39*Alternativa1!F43*Ccieg</f>
        <v>0</v>
      </c>
      <c r="G39" s="4"/>
      <c r="H39" s="4">
        <f>A39*Alternativa2!C43*Csan2</f>
        <v>199135.19207198199</v>
      </c>
      <c r="I39" s="4">
        <f>A39*Alternativa2!D43*Clev2</f>
        <v>131227.89467198809</v>
      </c>
      <c r="J39" s="4">
        <f>A39*Alternativa2!E43*Cavan2</f>
        <v>120018.39569619573</v>
      </c>
      <c r="K39" s="4">
        <f>A39*Alternativa2!F43*Ccieg</f>
        <v>0</v>
      </c>
      <c r="L39" s="3"/>
      <c r="N39" s="3"/>
    </row>
    <row r="40" spans="1:14" x14ac:dyDescent="0.3">
      <c r="A40" s="3">
        <f t="shared" si="0"/>
        <v>0.42434636230138367</v>
      </c>
      <c r="B40" s="3">
        <v>30</v>
      </c>
      <c r="C40" s="4">
        <f>A40*Alternativa1!C44*Csan</f>
        <v>144646.78160847974</v>
      </c>
      <c r="D40" s="4">
        <f>A40*Alternativa1!D44*Clev</f>
        <v>155010.74142636222</v>
      </c>
      <c r="E40" s="4">
        <f>A40*Alternativa1!E44*Cavan</f>
        <v>140571.46972376748</v>
      </c>
      <c r="F40" s="4">
        <f>A40*Alternativa1!F44*Ccieg</f>
        <v>0</v>
      </c>
      <c r="G40" s="4"/>
      <c r="H40" s="4">
        <f>A40*Alternativa2!C44*Csan2</f>
        <v>182701.7053475951</v>
      </c>
      <c r="I40" s="4">
        <f>A40*Alternativa2!D44*Clev2</f>
        <v>122440.98619353466</v>
      </c>
      <c r="J40" s="4">
        <f>A40*Alternativa2!E44*Cavan2</f>
        <v>112028.76362429855</v>
      </c>
      <c r="K40" s="4">
        <f>A40*Alternativa2!F44*Ccieg</f>
        <v>0</v>
      </c>
      <c r="L40" s="3"/>
      <c r="N40" s="3"/>
    </row>
    <row r="41" spans="1:14" x14ac:dyDescent="0.3">
      <c r="A41" s="3">
        <f t="shared" si="0"/>
        <v>0.41198675951590646</v>
      </c>
      <c r="B41" s="3">
        <v>31</v>
      </c>
      <c r="C41" s="4">
        <f>A41*Alternativa1!C45*Csan</f>
        <v>131305.57359604715</v>
      </c>
      <c r="D41" s="4">
        <f>A41*Alternativa1!D45*Clev</f>
        <v>143470.62946127332</v>
      </c>
      <c r="E41" s="4">
        <f>A41*Alternativa1!E45*Cavan</f>
        <v>130063.6900663963</v>
      </c>
      <c r="F41" s="4">
        <f>A41*Alternativa1!F45*Ccieg</f>
        <v>0</v>
      </c>
      <c r="G41" s="4"/>
      <c r="H41" s="4">
        <f>A41*Alternativa2!C45*Csan2</f>
        <v>167624.38014900713</v>
      </c>
      <c r="I41" s="4">
        <f>A41*Alternativa2!D45*Clev2</f>
        <v>114132.29422059971</v>
      </c>
      <c r="J41" s="4">
        <f>A41*Alternativa2!E45*Cavan2</f>
        <v>104466.99998800344</v>
      </c>
      <c r="K41" s="4">
        <f>A41*Alternativa2!F45*Ccieg</f>
        <v>0</v>
      </c>
      <c r="L41" s="3"/>
      <c r="N41" s="3"/>
    </row>
    <row r="42" spans="1:14" x14ac:dyDescent="0.3">
      <c r="A42" s="3">
        <f t="shared" si="0"/>
        <v>0.39998714516107425</v>
      </c>
      <c r="B42" s="3">
        <v>32</v>
      </c>
      <c r="C42" s="4">
        <f>A42*Alternativa1!C46*Csan</f>
        <v>119194.86535175153</v>
      </c>
      <c r="D42" s="4">
        <f>A42*Alternativa1!D46*Clev</f>
        <v>132661.61781597094</v>
      </c>
      <c r="E42" s="4">
        <f>A42*Alternativa1!E46*Cavan</f>
        <v>120227.99399652497</v>
      </c>
      <c r="F42" s="4">
        <f>A42*Alternativa1!F46*Ccieg</f>
        <v>0</v>
      </c>
      <c r="G42" s="4"/>
      <c r="H42" s="4">
        <f>A42*Alternativa2!C46*Csan2</f>
        <v>153791.30023379778</v>
      </c>
      <c r="I42" s="4">
        <f>A42*Alternativa2!D46*Clev2</f>
        <v>106292.20277311819</v>
      </c>
      <c r="J42" s="4">
        <f>A42*Alternativa2!E46*Cavan2</f>
        <v>97325.776486928604</v>
      </c>
      <c r="K42" s="4">
        <f>A42*Alternativa2!F46*Ccieg</f>
        <v>0</v>
      </c>
      <c r="L42" s="3"/>
      <c r="N42" s="3"/>
    </row>
    <row r="43" spans="1:14" x14ac:dyDescent="0.3">
      <c r="A43" s="3">
        <f t="shared" si="0"/>
        <v>0.3883370341369653</v>
      </c>
      <c r="B43" s="3">
        <v>33</v>
      </c>
      <c r="C43" s="4">
        <f>A43*Alternativa1!C47*Csan</f>
        <v>108201.16417853176</v>
      </c>
      <c r="D43" s="4">
        <f>A43*Alternativa1!D47*Clev</f>
        <v>122556.56327986858</v>
      </c>
      <c r="E43" s="4">
        <f>A43*Alternativa1!E47*Cavan</f>
        <v>111038.30575855734</v>
      </c>
      <c r="F43" s="4">
        <f>A43*Alternativa1!F47*Ccieg</f>
        <v>0</v>
      </c>
      <c r="G43" s="4"/>
      <c r="H43" s="4">
        <f>A43*Alternativa2!C47*Csan2</f>
        <v>141099.78516596014</v>
      </c>
      <c r="I43" s="4">
        <f>A43*Alternativa2!D47*Clev2</f>
        <v>98908.281192866736</v>
      </c>
      <c r="J43" s="4">
        <f>A43*Alternativa2!E47*Cavan2</f>
        <v>90594.987076707577</v>
      </c>
      <c r="K43" s="4">
        <f>A43*Alternativa2!F47*Ccieg</f>
        <v>0</v>
      </c>
      <c r="L43" s="3"/>
      <c r="N43" s="3"/>
    </row>
    <row r="44" spans="1:14" x14ac:dyDescent="0.3">
      <c r="A44" s="3">
        <f t="shared" si="0"/>
        <v>0.37702624673491775</v>
      </c>
      <c r="B44" s="3">
        <v>34</v>
      </c>
      <c r="C44" s="4">
        <f>A44*Alternativa1!C48*Csan</f>
        <v>98221.445152356493</v>
      </c>
      <c r="D44" s="4">
        <f>A44*Alternativa1!D48*Clev</f>
        <v>113125.95588882214</v>
      </c>
      <c r="E44" s="4">
        <f>A44*Alternativa1!E48*Cavan</f>
        <v>102466.61336094941</v>
      </c>
      <c r="F44" s="4">
        <f>A44*Alternativa1!F48*Ccieg</f>
        <v>0</v>
      </c>
      <c r="G44" s="4"/>
      <c r="H44" s="4">
        <f>A44*Alternativa2!C48*Csan2</f>
        <v>129455.62813770126</v>
      </c>
      <c r="I44" s="4">
        <f>A44*Alternativa2!D48*Clev2</f>
        <v>91965.952603045866</v>
      </c>
      <c r="J44" s="4">
        <f>A44*Alternativa2!E48*Cavan2</f>
        <v>84262.386094044385</v>
      </c>
      <c r="K44" s="4">
        <f>A44*Alternativa2!F48*Ccieg</f>
        <v>0</v>
      </c>
      <c r="L44" s="3"/>
      <c r="N44" s="3"/>
    </row>
    <row r="45" spans="1:14" x14ac:dyDescent="0.3">
      <c r="A45" s="3">
        <f t="shared" si="0"/>
        <v>0.3660448997426386</v>
      </c>
      <c r="B45" s="3">
        <v>35</v>
      </c>
      <c r="C45" s="4">
        <f>A45*Alternativa1!C49*Csan</f>
        <v>89162.185648012935</v>
      </c>
      <c r="D45" s="4">
        <f>A45*Alternativa1!D49*Clev</f>
        <v>104338.72595776746</v>
      </c>
      <c r="E45" s="4">
        <f>A45*Alternativa1!E49*Cavan</f>
        <v>94483.671956210979</v>
      </c>
      <c r="F45" s="4">
        <f>A45*Alternativa1!F49*Ccieg</f>
        <v>0</v>
      </c>
      <c r="G45" s="4"/>
      <c r="H45" s="4">
        <f>A45*Alternativa2!C49*Csan2</f>
        <v>118772.39668944436</v>
      </c>
      <c r="I45" s="4">
        <f>A45*Alternativa2!D49*Clev2</f>
        <v>85449.054476127101</v>
      </c>
      <c r="J45" s="4">
        <f>A45*Alternativa2!E49*Cavan2</f>
        <v>78314.124291922315</v>
      </c>
      <c r="K45" s="4">
        <f>A45*Alternativa2!F49*Ccieg</f>
        <v>0</v>
      </c>
      <c r="L45" s="3"/>
      <c r="N45" s="3"/>
    </row>
    <row r="46" spans="1:14" x14ac:dyDescent="0.3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3"/>
      <c r="N46" s="3"/>
    </row>
  </sheetData>
  <mergeCells count="2">
    <mergeCell ref="C1:F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EDA-1CF9-4A20-8A37-D231835C4790}">
  <dimension ref="A1:G3"/>
  <sheetViews>
    <sheetView zoomScale="110" workbookViewId="0">
      <selection activeCell="F10" sqref="F10"/>
    </sheetView>
  </sheetViews>
  <sheetFormatPr baseColWidth="10" defaultColWidth="8.77734375" defaultRowHeight="14.4" x14ac:dyDescent="0.3"/>
  <cols>
    <col min="1" max="4" width="15.77734375" customWidth="1"/>
    <col min="5" max="5" width="19" customWidth="1"/>
    <col min="6" max="6" width="23.88671875" customWidth="1"/>
    <col min="7" max="7" width="15.77734375" customWidth="1"/>
  </cols>
  <sheetData>
    <row r="1" spans="1:7" x14ac:dyDescent="0.3">
      <c r="A1" s="24" t="s">
        <v>53</v>
      </c>
      <c r="B1" s="24"/>
      <c r="C1" s="25" t="s">
        <v>54</v>
      </c>
      <c r="D1" s="25"/>
      <c r="E1" s="9"/>
      <c r="F1" s="10"/>
      <c r="G1" s="6"/>
    </row>
    <row r="2" spans="1:7" x14ac:dyDescent="0.3">
      <c r="A2" s="6" t="s">
        <v>49</v>
      </c>
      <c r="B2" s="6" t="s">
        <v>55</v>
      </c>
      <c r="C2" s="6" t="s">
        <v>49</v>
      </c>
      <c r="D2" s="6" t="s">
        <v>55</v>
      </c>
      <c r="E2" s="9" t="s">
        <v>61</v>
      </c>
      <c r="F2" s="10" t="s">
        <v>62</v>
      </c>
      <c r="G2" s="6" t="s">
        <v>60</v>
      </c>
    </row>
    <row r="3" spans="1:7" x14ac:dyDescent="0.3">
      <c r="A3" s="18">
        <f>Coste!G6</f>
        <v>4539.0273768809166</v>
      </c>
      <c r="B3" s="19">
        <f>Efectividad!G6</f>
        <v>10.558951649061948</v>
      </c>
      <c r="C3" s="18">
        <f>Coste!L6</f>
        <v>4052.5900765514893</v>
      </c>
      <c r="D3" s="19">
        <f>Efectividad!L6</f>
        <v>11.096936757809214</v>
      </c>
      <c r="E3" s="4">
        <f>C3-A3</f>
        <v>-486.43730032942722</v>
      </c>
      <c r="F3" s="19">
        <f>D3-B3</f>
        <v>0.53798510874726624</v>
      </c>
      <c r="G3" s="9">
        <f>E3/F3</f>
        <v>-904.18357761263781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D171F51FA73478CA9FE425E910C9D" ma:contentTypeVersion="11" ma:contentTypeDescription="Crear nuevo documento." ma:contentTypeScope="" ma:versionID="4d760dc334dea5e60beab36b58aa7248">
  <xsd:schema xmlns:xsd="http://www.w3.org/2001/XMLSchema" xmlns:xs="http://www.w3.org/2001/XMLSchema" xmlns:p="http://schemas.microsoft.com/office/2006/metadata/properties" xmlns:ns3="a60bd0ed-6c94-4ccf-b866-c76c7887cd60" xmlns:ns4="97b8de9a-07de-4d8c-840a-97ec8fb03718" targetNamespace="http://schemas.microsoft.com/office/2006/metadata/properties" ma:root="true" ma:fieldsID="fc78b56ece2aa73abb5d9926537bc31a" ns3:_="" ns4:_="">
    <xsd:import namespace="a60bd0ed-6c94-4ccf-b866-c76c7887cd60"/>
    <xsd:import namespace="97b8de9a-07de-4d8c-840a-97ec8fb03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bd0ed-6c94-4ccf-b866-c76c7887c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8de9a-07de-4d8c-840a-97ec8fb03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0bd0ed-6c94-4ccf-b866-c76c7887cd60" xsi:nil="true"/>
  </documentManagement>
</p:properties>
</file>

<file path=customXml/itemProps1.xml><?xml version="1.0" encoding="utf-8"?>
<ds:datastoreItem xmlns:ds="http://schemas.openxmlformats.org/officeDocument/2006/customXml" ds:itemID="{723D5729-8D93-49BB-9ADB-8A9DC97E3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B2C1A-8B78-4344-973E-644B98D93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bd0ed-6c94-4ccf-b866-c76c7887cd60"/>
    <ds:schemaRef ds:uri="97b8de9a-07de-4d8c-840a-97ec8fb03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996DB0-0BE3-4764-B334-EAB99D457B8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a60bd0ed-6c94-4ccf-b866-c76c7887cd60"/>
    <ds:schemaRef ds:uri="http://schemas.microsoft.com/office/infopath/2007/PartnerControls"/>
    <ds:schemaRef ds:uri="97b8de9a-07de-4d8c-840a-97ec8fb037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34</vt:i4>
      </vt:variant>
    </vt:vector>
  </HeadingPairs>
  <TitlesOfParts>
    <vt:vector size="41" baseType="lpstr">
      <vt:lpstr>Ruta asistencial</vt:lpstr>
      <vt:lpstr>Parametros</vt:lpstr>
      <vt:lpstr>Alternativa1</vt:lpstr>
      <vt:lpstr>Alternativa2</vt:lpstr>
      <vt:lpstr>Efectividad</vt:lpstr>
      <vt:lpstr>Coste</vt:lpstr>
      <vt:lpstr>Sumario</vt:lpstr>
      <vt:lpstr>Cavan</vt:lpstr>
      <vt:lpstr>Cavan2</vt:lpstr>
      <vt:lpstr>Ccieg</vt:lpstr>
      <vt:lpstr>Clev</vt:lpstr>
      <vt:lpstr>Clev2</vt:lpstr>
      <vt:lpstr>Csan</vt:lpstr>
      <vt:lpstr>Csan2</vt:lpstr>
      <vt:lpstr>Ctto1</vt:lpstr>
      <vt:lpstr>Ctto2</vt:lpstr>
      <vt:lpstr>Pavanavan</vt:lpstr>
      <vt:lpstr>Pavancieg</vt:lpstr>
      <vt:lpstr>Pavanlev</vt:lpstr>
      <vt:lpstr>Pavansan</vt:lpstr>
      <vt:lpstr>Pciegavan</vt:lpstr>
      <vt:lpstr>Pciegcieg</vt:lpstr>
      <vt:lpstr>Pcieglev</vt:lpstr>
      <vt:lpstr>Pciegsan</vt:lpstr>
      <vt:lpstr>Plevavan</vt:lpstr>
      <vt:lpstr>Plevcieg</vt:lpstr>
      <vt:lpstr>Plevlev</vt:lpstr>
      <vt:lpstr>Plevsan</vt:lpstr>
      <vt:lpstr>Psanavan</vt:lpstr>
      <vt:lpstr>Psanavan2</vt:lpstr>
      <vt:lpstr>Psancieg</vt:lpstr>
      <vt:lpstr>Psanlev</vt:lpstr>
      <vt:lpstr>Psanlev2</vt:lpstr>
      <vt:lpstr>Psansan</vt:lpstr>
      <vt:lpstr>Psansan1</vt:lpstr>
      <vt:lpstr>Psansan1ç</vt:lpstr>
      <vt:lpstr>Psansan2</vt:lpstr>
      <vt:lpstr>Uavan</vt:lpstr>
      <vt:lpstr>Ucieg</vt:lpstr>
      <vt:lpstr>Ulev</vt:lpstr>
      <vt:lpstr>Usan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kimetz kortazar</dc:creator>
  <cp:keywords/>
  <dc:description/>
  <cp:lastModifiedBy>Oier Zazpe Elizondo</cp:lastModifiedBy>
  <cp:revision/>
  <dcterms:created xsi:type="dcterms:W3CDTF">2024-05-02T06:15:25Z</dcterms:created>
  <dcterms:modified xsi:type="dcterms:W3CDTF">2024-06-10T21:56:32Z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0x0101004CFD171F51FA73478CA9FE425E910C9D</vt:lpwstr>
  </property>
</Properties>
</file>