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gadeesh\Downloads\final submission\Submission Folder\"/>
    </mc:Choice>
  </mc:AlternateContent>
  <xr:revisionPtr revIDLastSave="0" documentId="13_ncr:1_{6C494DFE-99BF-4ADC-8122-53A2AC7D96B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umptions" sheetId="1" r:id="rId1"/>
    <sheet name="Simulator" sheetId="2" r:id="rId2"/>
    <sheet name="Calculator" sheetId="4" r:id="rId3"/>
    <sheet name="Staff Detailin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10" i="2"/>
  <c r="D11" i="2"/>
  <c r="D12" i="2"/>
  <c r="D13" i="2"/>
  <c r="D14" i="2"/>
  <c r="D15" i="2"/>
  <c r="D16" i="2"/>
  <c r="D8" i="2"/>
  <c r="C8" i="2"/>
  <c r="C9" i="2"/>
  <c r="C10" i="2"/>
  <c r="C11" i="2"/>
  <c r="C12" i="2"/>
  <c r="C13" i="2"/>
  <c r="C14" i="2"/>
  <c r="C15" i="2"/>
  <c r="C16" i="2"/>
  <c r="D35" i="2"/>
  <c r="B16" i="2"/>
  <c r="G10" i="3"/>
  <c r="E10" i="3"/>
  <c r="B4" i="2"/>
  <c r="B3" i="2"/>
  <c r="B11" i="2" s="1"/>
  <c r="D8" i="4" s="1"/>
  <c r="C6" i="4"/>
  <c r="C7" i="4"/>
  <c r="C8" i="4"/>
  <c r="C9" i="4"/>
  <c r="C10" i="4"/>
  <c r="C11" i="4"/>
  <c r="C12" i="4"/>
  <c r="C5" i="4"/>
  <c r="B9" i="2"/>
  <c r="D6" i="4" s="1"/>
  <c r="B15" i="2"/>
  <c r="D12" i="4" s="1"/>
  <c r="B8" i="2"/>
  <c r="E3" i="3"/>
  <c r="E4" i="3"/>
  <c r="E5" i="3"/>
  <c r="E6" i="3"/>
  <c r="E7" i="3"/>
  <c r="E8" i="3"/>
  <c r="E9" i="3"/>
  <c r="E2" i="3"/>
  <c r="G3" i="3"/>
  <c r="G4" i="3"/>
  <c r="G5" i="3"/>
  <c r="G6" i="3"/>
  <c r="G7" i="3"/>
  <c r="G8" i="3"/>
  <c r="G9" i="3"/>
  <c r="G2" i="3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B22" i="2" l="1"/>
  <c r="D22" i="2" s="1"/>
  <c r="B23" i="2"/>
  <c r="B25" i="2"/>
  <c r="B12" i="2"/>
  <c r="D9" i="4" s="1"/>
  <c r="B10" i="2"/>
  <c r="D7" i="4" s="1"/>
  <c r="D25" i="2"/>
  <c r="D23" i="2"/>
  <c r="B24" i="2"/>
  <c r="D24" i="2" s="1"/>
  <c r="B14" i="2"/>
  <c r="D11" i="4" s="1"/>
  <c r="B13" i="2"/>
  <c r="D10" i="4" s="1"/>
  <c r="D5" i="4"/>
  <c r="B17" i="2" l="1"/>
  <c r="B31" i="2" s="1"/>
  <c r="D31" i="2" s="1"/>
  <c r="B34" i="2"/>
  <c r="D34" i="2" s="1"/>
  <c r="D4" i="4"/>
  <c r="B33" i="2"/>
  <c r="D33" i="2" s="1"/>
  <c r="B32" i="2"/>
  <c r="D32" i="2" s="1"/>
  <c r="D18" i="2" l="1"/>
  <c r="B27" i="2"/>
  <c r="D27" i="2" s="1"/>
  <c r="B26" i="2"/>
  <c r="D26" i="2" s="1"/>
  <c r="B28" i="2"/>
  <c r="D28" i="2" s="1"/>
  <c r="B29" i="2"/>
  <c r="D29" i="2" s="1"/>
  <c r="B30" i="2"/>
  <c r="D30" i="2" s="1"/>
  <c r="D36" i="2" l="1"/>
  <c r="D37" i="2" s="1"/>
  <c r="D38" i="2" s="1"/>
  <c r="D39" i="2" s="1"/>
  <c r="H3" i="4"/>
  <c r="H4" i="4" l="1"/>
  <c r="H5" i="4" s="1"/>
  <c r="H6" i="4" s="1"/>
</calcChain>
</file>

<file path=xl/sharedStrings.xml><?xml version="1.0" encoding="utf-8"?>
<sst xmlns="http://schemas.openxmlformats.org/spreadsheetml/2006/main" count="153" uniqueCount="92">
  <si>
    <t>Category</t>
  </si>
  <si>
    <t>Rate</t>
  </si>
  <si>
    <t>Unit</t>
  </si>
  <si>
    <t>Notes</t>
  </si>
  <si>
    <t>Director</t>
  </si>
  <si>
    <t>per FTE</t>
  </si>
  <si>
    <t>Base salary 108,620 + 26 % fringe</t>
  </si>
  <si>
    <t>Administrator</t>
  </si>
  <si>
    <t>Base salary 78,797 + 26 % fringe</t>
  </si>
  <si>
    <t>Supervisor</t>
  </si>
  <si>
    <t>Base salary 55,000 + 26 % fringe</t>
  </si>
  <si>
    <t>Case Manager</t>
  </si>
  <si>
    <t>Base salary 44,000 + 26 % fringe</t>
  </si>
  <si>
    <t>Network Housing Developer</t>
  </si>
  <si>
    <t>Base salary 46,000 + 26 % fringe</t>
  </si>
  <si>
    <t>Peer Recovery Support</t>
  </si>
  <si>
    <t>Mobile Unit Driver</t>
  </si>
  <si>
    <t>Base salary 40,500 + 26 % fringe</t>
  </si>
  <si>
    <t>PQI / Data Specialist</t>
  </si>
  <si>
    <t>Base salary 45,000 + 26 % fringe</t>
  </si>
  <si>
    <t>Evaluator</t>
  </si>
  <si>
    <t>Rental Subsidy</t>
  </si>
  <si>
    <t>per client</t>
  </si>
  <si>
    <t>$1,154 × 12 months</t>
  </si>
  <si>
    <t>Client Transport (Rideshare)</t>
  </si>
  <si>
    <t>$20 × 8 round‑trips</t>
  </si>
  <si>
    <t>Utility Reconnection</t>
  </si>
  <si>
    <t>$250 cap</t>
  </si>
  <si>
    <t>Housing Start‑Up Kit</t>
  </si>
  <si>
    <t>$750 cap</t>
  </si>
  <si>
    <t>Travel Mileage</t>
  </si>
  <si>
    <t>Based on $0.70 × 505 mi × 12</t>
  </si>
  <si>
    <t>Office Supplies</t>
  </si>
  <si>
    <t>$50 × 12</t>
  </si>
  <si>
    <t>Cell Phone</t>
  </si>
  <si>
    <t>$40 × 12</t>
  </si>
  <si>
    <t>Training</t>
  </si>
  <si>
    <t>Annual allowance</t>
  </si>
  <si>
    <t>Occupancy</t>
  </si>
  <si>
    <t>30 % of two offices</t>
  </si>
  <si>
    <t>Equipment (IT)</t>
  </si>
  <si>
    <t>Laptop, signature pad share, printer</t>
  </si>
  <si>
    <t>Mobile Unit Purchase</t>
  </si>
  <si>
    <t>per van</t>
  </si>
  <si>
    <t>Budget shows 2 vans for 60 clients</t>
  </si>
  <si>
    <t>Fuel</t>
  </si>
  <si>
    <t>48 000 mi ÷ 16 mpg × $1.63/gal</t>
  </si>
  <si>
    <t>Van Insurance</t>
  </si>
  <si>
    <t>Budget shows $4k each</t>
  </si>
  <si>
    <t>Consultant (Centric Strategies)</t>
  </si>
  <si>
    <t>fixed</t>
  </si>
  <si>
    <t>Planning support July–Aug</t>
  </si>
  <si>
    <t>Indirect Rate</t>
  </si>
  <si>
    <t>rate</t>
  </si>
  <si>
    <t>Applied to direct costs</t>
  </si>
  <si>
    <t>inspections</t>
  </si>
  <si>
    <t>INPUTS</t>
  </si>
  <si>
    <t>Number_of_Clients</t>
  </si>
  <si>
    <t>STAFFING</t>
  </si>
  <si>
    <t>Position</t>
  </si>
  <si>
    <t>FTE</t>
  </si>
  <si>
    <t>Cost per FTE</t>
  </si>
  <si>
    <t>Total Cost</t>
  </si>
  <si>
    <t>Fixed</t>
  </si>
  <si>
    <t>Yes</t>
  </si>
  <si>
    <t>No</t>
  </si>
  <si>
    <t>Peer Support Specialist</t>
  </si>
  <si>
    <t>Mobile Unit Driver</t>
  </si>
  <si>
    <t>Data Coordinator</t>
  </si>
  <si>
    <t>Total FTE</t>
  </si>
  <si>
    <t>Personnel Subtotal</t>
  </si>
  <si>
    <t>OTHER DIRECT COSTS</t>
  </si>
  <si>
    <t>Units</t>
  </si>
  <si>
    <t>Other Direct Subtotal</t>
  </si>
  <si>
    <t>Total Direct Costs</t>
  </si>
  <si>
    <t>Indirect (Overhead)</t>
  </si>
  <si>
    <t>GRAND TOTAL</t>
  </si>
  <si>
    <t>% Indirect Rate</t>
  </si>
  <si>
    <t>No Of Participants</t>
  </si>
  <si>
    <t>Staff Cost</t>
  </si>
  <si>
    <t>Total Staff</t>
  </si>
  <si>
    <t>Administrative cost</t>
  </si>
  <si>
    <t>Total Cost</t>
  </si>
  <si>
    <t>Percentage Secure baseline</t>
  </si>
  <si>
    <t>Personnel</t>
  </si>
  <si>
    <t>Effort</t>
  </si>
  <si>
    <t>Annual Salary</t>
  </si>
  <si>
    <t>Fringe</t>
  </si>
  <si>
    <t>Budget</t>
  </si>
  <si>
    <t>Baseline Participants</t>
  </si>
  <si>
    <t>No of Participants</t>
  </si>
  <si>
    <t>Base salary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</si>
</sst>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0" fillId="2" borderId="0" xfId="0" applyFill="1"/>
    <xf numFmtId="4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44" fontId="2" fillId="0" borderId="1" xfId="0" applyNumberFormat="1" applyFont="1" applyBorder="1"/>
    <xf numFmtId="0" fontId="0" fillId="0" borderId="1" xfId="0" applyBorder="1"/>
    <xf numFmtId="43" fontId="3" fillId="0" borderId="1" xfId="0" applyNumberFormat="1" applyFont="1" applyBorder="1" applyAlignment="1">
      <alignment horizontal="left" wrapText="1"/>
    </xf>
    <xf numFmtId="44" fontId="3" fillId="0" borderId="1" xfId="0" applyNumberFormat="1" applyFont="1" applyBorder="1" applyAlignment="1">
      <alignment horizontal="left" wrapText="1"/>
    </xf>
    <xf numFmtId="9" fontId="3" fillId="0" borderId="1" xfId="2" applyFont="1" applyBorder="1" applyAlignment="1">
      <alignment horizontal="left" wrapText="1"/>
    </xf>
    <xf numFmtId="44" fontId="3" fillId="0" borderId="1" xfId="0" applyNumberFormat="1" applyFont="1" applyBorder="1"/>
    <xf numFmtId="0" fontId="0" fillId="0" borderId="1" xfId="0" applyBorder="1" applyAlignment="1">
      <alignment horizontal="center"/>
    </xf>
    <xf numFmtId="9" fontId="0" fillId="2" borderId="1" xfId="2" applyFont="1" applyFill="1" applyBorder="1"/>
    <xf numFmtId="0" fontId="0" fillId="2" borderId="1" xfId="0" applyFill="1" applyBorder="1"/>
    <xf numFmtId="44" fontId="0" fillId="0" borderId="1" xfId="0" applyNumberFormat="1" applyBorder="1"/>
    <xf numFmtId="9" fontId="0" fillId="0" borderId="0" xfId="0" applyNumberFormat="1"/>
    <xf numFmtId="44" fontId="3" fillId="0" borderId="1" xfId="0" applyNumberFormat="1" applyFont="1" applyFill="1" applyBorder="1"/>
    <xf numFmtId="9" fontId="3" fillId="3" borderId="1" xfId="2" applyFont="1" applyFill="1" applyBorder="1" applyAlignment="1">
      <alignment horizontal="left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opLeftCell="A4" workbookViewId="0">
      <selection activeCell="D24" sqref="D24"/>
    </sheetView>
  </sheetViews>
  <sheetFormatPr defaultRowHeight="14.4" x14ac:dyDescent="0.3"/>
  <cols>
    <col min="1" max="4" width="24" customWidth="1"/>
    <col min="8" max="8" width="2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>
        <v>136861.20000000001</v>
      </c>
      <c r="C2" t="s">
        <v>5</v>
      </c>
      <c r="D2" t="s">
        <v>6</v>
      </c>
      <c r="H2" s="5">
        <v>108620</v>
      </c>
    </row>
    <row r="3" spans="1:8" x14ac:dyDescent="0.3">
      <c r="A3" t="s">
        <v>7</v>
      </c>
      <c r="B3">
        <v>99284.22</v>
      </c>
      <c r="C3" t="s">
        <v>5</v>
      </c>
      <c r="D3" t="s">
        <v>8</v>
      </c>
      <c r="H3" s="5">
        <v>78797</v>
      </c>
    </row>
    <row r="4" spans="1:8" x14ac:dyDescent="0.3">
      <c r="A4" t="s">
        <v>9</v>
      </c>
      <c r="B4">
        <v>69300</v>
      </c>
      <c r="C4" t="s">
        <v>5</v>
      </c>
      <c r="D4" t="s">
        <v>10</v>
      </c>
      <c r="H4" s="5">
        <v>55000</v>
      </c>
    </row>
    <row r="5" spans="1:8" x14ac:dyDescent="0.3">
      <c r="A5" t="s">
        <v>11</v>
      </c>
      <c r="B5">
        <v>55440</v>
      </c>
      <c r="C5" t="s">
        <v>5</v>
      </c>
      <c r="D5" t="s">
        <v>12</v>
      </c>
      <c r="H5" s="5">
        <v>44000</v>
      </c>
    </row>
    <row r="6" spans="1:8" x14ac:dyDescent="0.3">
      <c r="A6" t="s">
        <v>13</v>
      </c>
      <c r="B6">
        <v>57960</v>
      </c>
      <c r="C6" t="s">
        <v>5</v>
      </c>
      <c r="D6" t="s">
        <v>14</v>
      </c>
      <c r="H6" s="5">
        <v>46000</v>
      </c>
    </row>
    <row r="7" spans="1:8" x14ac:dyDescent="0.3">
      <c r="A7" t="s">
        <v>15</v>
      </c>
      <c r="B7">
        <v>55440</v>
      </c>
      <c r="C7" t="s">
        <v>5</v>
      </c>
      <c r="D7" t="s">
        <v>12</v>
      </c>
      <c r="H7" s="5">
        <v>44000</v>
      </c>
    </row>
    <row r="8" spans="1:8" x14ac:dyDescent="0.3">
      <c r="A8" t="s">
        <v>16</v>
      </c>
      <c r="B8">
        <v>51030</v>
      </c>
      <c r="C8" t="s">
        <v>5</v>
      </c>
      <c r="D8" t="s">
        <v>17</v>
      </c>
      <c r="H8" s="5">
        <v>40500</v>
      </c>
    </row>
    <row r="9" spans="1:8" x14ac:dyDescent="0.3">
      <c r="A9" t="s">
        <v>18</v>
      </c>
      <c r="B9">
        <v>56700</v>
      </c>
      <c r="C9" t="s">
        <v>5</v>
      </c>
      <c r="D9" t="s">
        <v>19</v>
      </c>
      <c r="H9" s="5">
        <v>45000</v>
      </c>
    </row>
    <row r="10" spans="1:8" x14ac:dyDescent="0.3">
      <c r="A10" t="s">
        <v>20</v>
      </c>
      <c r="B10">
        <v>50000</v>
      </c>
      <c r="C10" t="s">
        <v>5</v>
      </c>
      <c r="D10" t="s">
        <v>91</v>
      </c>
      <c r="H10" s="5">
        <v>45000</v>
      </c>
    </row>
    <row r="12" spans="1:8" x14ac:dyDescent="0.3">
      <c r="A12" t="s">
        <v>21</v>
      </c>
      <c r="B12">
        <v>13848</v>
      </c>
      <c r="C12" t="s">
        <v>22</v>
      </c>
      <c r="D12" t="s">
        <v>23</v>
      </c>
    </row>
    <row r="13" spans="1:8" x14ac:dyDescent="0.3">
      <c r="A13" t="s">
        <v>24</v>
      </c>
      <c r="B13">
        <v>160</v>
      </c>
      <c r="C13" t="s">
        <v>22</v>
      </c>
      <c r="D13" t="s">
        <v>25</v>
      </c>
    </row>
    <row r="14" spans="1:8" x14ac:dyDescent="0.3">
      <c r="A14" t="s">
        <v>26</v>
      </c>
      <c r="B14">
        <v>250</v>
      </c>
      <c r="C14" t="s">
        <v>22</v>
      </c>
      <c r="D14" t="s">
        <v>27</v>
      </c>
    </row>
    <row r="15" spans="1:8" x14ac:dyDescent="0.3">
      <c r="A15" t="s">
        <v>28</v>
      </c>
      <c r="B15">
        <v>750</v>
      </c>
      <c r="C15" t="s">
        <v>22</v>
      </c>
      <c r="D15" t="s">
        <v>29</v>
      </c>
    </row>
    <row r="17" spans="1:4" x14ac:dyDescent="0.3">
      <c r="A17" t="s">
        <v>30</v>
      </c>
      <c r="B17">
        <v>2556.1799999999998</v>
      </c>
      <c r="C17" t="s">
        <v>5</v>
      </c>
      <c r="D17" t="s">
        <v>31</v>
      </c>
    </row>
    <row r="18" spans="1:4" x14ac:dyDescent="0.3">
      <c r="A18" t="s">
        <v>32</v>
      </c>
      <c r="B18">
        <v>600</v>
      </c>
      <c r="C18" t="s">
        <v>5</v>
      </c>
      <c r="D18" t="s">
        <v>33</v>
      </c>
    </row>
    <row r="19" spans="1:4" x14ac:dyDescent="0.3">
      <c r="A19" t="s">
        <v>34</v>
      </c>
      <c r="B19">
        <v>600</v>
      </c>
      <c r="C19" t="s">
        <v>5</v>
      </c>
      <c r="D19" t="s">
        <v>35</v>
      </c>
    </row>
    <row r="20" spans="1:4" x14ac:dyDescent="0.3">
      <c r="A20" t="s">
        <v>36</v>
      </c>
      <c r="B20">
        <v>1000</v>
      </c>
      <c r="C20" t="s">
        <v>5</v>
      </c>
      <c r="D20" t="s">
        <v>37</v>
      </c>
    </row>
    <row r="21" spans="1:4" x14ac:dyDescent="0.3">
      <c r="A21" t="s">
        <v>38</v>
      </c>
      <c r="B21">
        <v>2400</v>
      </c>
      <c r="C21" t="s">
        <v>5</v>
      </c>
      <c r="D21" t="s">
        <v>39</v>
      </c>
    </row>
    <row r="22" spans="1:4" x14ac:dyDescent="0.3">
      <c r="A22" t="s">
        <v>40</v>
      </c>
      <c r="B22">
        <v>2198.46</v>
      </c>
      <c r="C22" t="s">
        <v>5</v>
      </c>
      <c r="D22" t="s">
        <v>41</v>
      </c>
    </row>
    <row r="24" spans="1:4" x14ac:dyDescent="0.3">
      <c r="A24" t="s">
        <v>42</v>
      </c>
      <c r="B24">
        <v>75000</v>
      </c>
      <c r="C24" t="s">
        <v>43</v>
      </c>
      <c r="D24" t="s">
        <v>44</v>
      </c>
    </row>
    <row r="25" spans="1:4" x14ac:dyDescent="0.3">
      <c r="A25" t="s">
        <v>45</v>
      </c>
      <c r="B25">
        <v>4875</v>
      </c>
      <c r="C25" t="s">
        <v>43</v>
      </c>
      <c r="D25" t="s">
        <v>46</v>
      </c>
    </row>
    <row r="26" spans="1:4" x14ac:dyDescent="0.3">
      <c r="A26" t="s">
        <v>47</v>
      </c>
      <c r="B26">
        <v>4000</v>
      </c>
      <c r="C26" t="s">
        <v>43</v>
      </c>
      <c r="D26" t="s">
        <v>48</v>
      </c>
    </row>
    <row r="28" spans="1:4" x14ac:dyDescent="0.3">
      <c r="A28" t="s">
        <v>49</v>
      </c>
      <c r="B28">
        <v>147500</v>
      </c>
      <c r="C28" t="s">
        <v>50</v>
      </c>
      <c r="D28" t="s">
        <v>51</v>
      </c>
    </row>
    <row r="29" spans="1:4" x14ac:dyDescent="0.3">
      <c r="A29" t="s">
        <v>52</v>
      </c>
      <c r="B29">
        <v>0.28999999999999998</v>
      </c>
      <c r="C29" t="s">
        <v>53</v>
      </c>
      <c r="D29" t="s">
        <v>54</v>
      </c>
    </row>
    <row r="33" spans="1:1" x14ac:dyDescent="0.3">
      <c r="A33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9"/>
  <sheetViews>
    <sheetView workbookViewId="0">
      <selection activeCell="D18" sqref="D18"/>
    </sheetView>
  </sheetViews>
  <sheetFormatPr defaultRowHeight="14.4" x14ac:dyDescent="0.3"/>
  <cols>
    <col min="1" max="4" width="28" customWidth="1"/>
    <col min="8" max="8" width="14" customWidth="1"/>
  </cols>
  <sheetData>
    <row r="1" spans="1:5" x14ac:dyDescent="0.3">
      <c r="A1" t="s">
        <v>56</v>
      </c>
    </row>
    <row r="3" spans="1:5" x14ac:dyDescent="0.3">
      <c r="A3" t="s">
        <v>57</v>
      </c>
      <c r="B3">
        <f>Calculator!D3</f>
        <v>60</v>
      </c>
    </row>
    <row r="4" spans="1:5" x14ac:dyDescent="0.3">
      <c r="A4" t="s">
        <v>52</v>
      </c>
      <c r="B4" s="18">
        <f>Calculator!D2</f>
        <v>0.28999999999999998</v>
      </c>
    </row>
    <row r="6" spans="1:5" x14ac:dyDescent="0.3">
      <c r="A6" t="s">
        <v>58</v>
      </c>
    </row>
    <row r="7" spans="1:5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3">
      <c r="A8" t="s">
        <v>4</v>
      </c>
      <c r="B8">
        <f>IF(E8="yes",VLOOKUP($A8,'Staff Detailing'!$A$1:$F$9,2,0),ROUNDUP($B$3/VLOOKUP($A8,'Staff Detailing'!$A$1:$F$9,6,0),1))</f>
        <v>0.65</v>
      </c>
      <c r="C8" s="1">
        <f>VLOOKUP(A8,'Staff Detailing'!A:E,3,0)</f>
        <v>70603</v>
      </c>
      <c r="D8" s="1">
        <f>VLOOKUP(A8,'Staff Detailing'!A:E,5,0)</f>
        <v>57823.857000000004</v>
      </c>
      <c r="E8" t="s">
        <v>64</v>
      </c>
    </row>
    <row r="9" spans="1:5" x14ac:dyDescent="0.3">
      <c r="A9" t="s">
        <v>7</v>
      </c>
      <c r="B9">
        <f>IF(E9="yes",VLOOKUP($A9,'Staff Detailing'!$A$1:$F$9,2,0),ROUNDUP($B$3/VLOOKUP($A9,'Staff Detailing'!$A$1:$F$9,6,0),1))</f>
        <v>1</v>
      </c>
      <c r="C9" s="1">
        <f>VLOOKUP(A9,'Staff Detailing'!A:E,3,0)</f>
        <v>78796</v>
      </c>
      <c r="D9" s="1">
        <f>VLOOKUP(A9,'Staff Detailing'!A:E,5,0)</f>
        <v>99282.959999999992</v>
      </c>
      <c r="E9" t="s">
        <v>64</v>
      </c>
    </row>
    <row r="10" spans="1:5" x14ac:dyDescent="0.3">
      <c r="A10" t="s">
        <v>9</v>
      </c>
      <c r="B10">
        <f>IF(E10="yes",VLOOKUP($A10,'Staff Detailing'!$A$1:$F$9,2,0),ROUNDUP($B$3/VLOOKUP($A10,'Staff Detailing'!$A$1:$F$9,6,0),1))</f>
        <v>2</v>
      </c>
      <c r="C10" s="1">
        <f>VLOOKUP(A10,'Staff Detailing'!A:E,3,0)</f>
        <v>55000</v>
      </c>
      <c r="D10" s="1">
        <f>VLOOKUP(A10,'Staff Detailing'!A:E,5,0)</f>
        <v>138600</v>
      </c>
      <c r="E10" t="s">
        <v>65</v>
      </c>
    </row>
    <row r="11" spans="1:5" x14ac:dyDescent="0.3">
      <c r="A11" t="s">
        <v>11</v>
      </c>
      <c r="B11">
        <f>IF(E11="yes",VLOOKUP($A11,'Staff Detailing'!$A$1:$F$9,2,0),ROUNDUP($B$3/VLOOKUP($A11,'Staff Detailing'!$A$1:$F$9,6,0),1))</f>
        <v>5</v>
      </c>
      <c r="C11" s="1">
        <f>VLOOKUP(A11,'Staff Detailing'!A:E,3,0)</f>
        <v>44000</v>
      </c>
      <c r="D11" s="1">
        <f>VLOOKUP(A11,'Staff Detailing'!A:E,5,0)</f>
        <v>277200</v>
      </c>
      <c r="E11" t="s">
        <v>65</v>
      </c>
    </row>
    <row r="12" spans="1:5" x14ac:dyDescent="0.3">
      <c r="A12" t="s">
        <v>13</v>
      </c>
      <c r="B12">
        <f>IF(E12="yes",VLOOKUP($A12,'Staff Detailing'!$A$1:$F$9,2,0),ROUNDUP($B$3/VLOOKUP($A12,'Staff Detailing'!$A$1:$F$9,6,0),1))</f>
        <v>2</v>
      </c>
      <c r="C12" s="1">
        <f>VLOOKUP(A12,'Staff Detailing'!A:E,3,0)</f>
        <v>46000</v>
      </c>
      <c r="D12" s="1">
        <f>VLOOKUP(A12,'Staff Detailing'!A:E,5,0)</f>
        <v>115920</v>
      </c>
      <c r="E12" t="s">
        <v>65</v>
      </c>
    </row>
    <row r="13" spans="1:5" x14ac:dyDescent="0.3">
      <c r="A13" t="s">
        <v>66</v>
      </c>
      <c r="B13">
        <f>IF(E13="yes",VLOOKUP($A13,'Staff Detailing'!$A$1:$F$9,2,0),ROUNDUP($B$3/VLOOKUP($A13,'Staff Detailing'!$A$1:$F$9,6,0),1))</f>
        <v>2</v>
      </c>
      <c r="C13" s="1">
        <f>VLOOKUP(A13,'Staff Detailing'!A:E,3,0)</f>
        <v>44000</v>
      </c>
      <c r="D13" s="1">
        <f>VLOOKUP(A13,'Staff Detailing'!A:E,5,0)</f>
        <v>110880</v>
      </c>
      <c r="E13" t="s">
        <v>65</v>
      </c>
    </row>
    <row r="14" spans="1:5" x14ac:dyDescent="0.3">
      <c r="A14" t="s">
        <v>67</v>
      </c>
      <c r="B14">
        <f>IF(E14="yes",VLOOKUP($A14,'Staff Detailing'!$A$1:$F$9,2,0),ROUNDUP($B$3/VLOOKUP($A14,'Staff Detailing'!$A$1:$F$9,6,0),1))</f>
        <v>2</v>
      </c>
      <c r="C14" s="1">
        <f>VLOOKUP(A14,'Staff Detailing'!A:E,3,0)</f>
        <v>40500</v>
      </c>
      <c r="D14" s="1">
        <f>VLOOKUP(A14,'Staff Detailing'!A:E,5,0)</f>
        <v>102060</v>
      </c>
      <c r="E14" t="s">
        <v>65</v>
      </c>
    </row>
    <row r="15" spans="1:5" x14ac:dyDescent="0.3">
      <c r="A15" t="s">
        <v>68</v>
      </c>
      <c r="B15">
        <f>IF(E15="yes",VLOOKUP($A15,'Staff Detailing'!$A$1:$F$9,2,0),ROUNDUP($B$3/VLOOKUP($A15,'Staff Detailing'!$A$1:$F$9,6,0),1))</f>
        <v>0.25</v>
      </c>
      <c r="C15" s="1">
        <f>VLOOKUP(A15,'Staff Detailing'!A:E,3,0)</f>
        <v>45000</v>
      </c>
      <c r="D15" s="1">
        <f>VLOOKUP(A15,'Staff Detailing'!A:E,5,0)</f>
        <v>14175</v>
      </c>
      <c r="E15" t="s">
        <v>64</v>
      </c>
    </row>
    <row r="16" spans="1:5" x14ac:dyDescent="0.3">
      <c r="A16" t="s">
        <v>20</v>
      </c>
      <c r="B16">
        <f>IF(E16="yes",VLOOKUP($A16,'Staff Detailing'!$A$1:$F$19,2,0),ROUNDUP($B$3/VLOOKUP($A16,'Staff Detailing'!$A$1:$F$19,6,0),1))</f>
        <v>1</v>
      </c>
      <c r="C16" s="1">
        <f>VLOOKUP(A16,'Staff Detailing'!A:E,3,0)</f>
        <v>50000</v>
      </c>
      <c r="D16" s="1">
        <f>VLOOKUP(A16,'Staff Detailing'!A:E,5,0)</f>
        <v>50000</v>
      </c>
      <c r="E16" t="s">
        <v>64</v>
      </c>
    </row>
    <row r="17" spans="1:8" x14ac:dyDescent="0.3">
      <c r="A17" t="s">
        <v>69</v>
      </c>
      <c r="B17">
        <f>SUM(B8:B16)</f>
        <v>15.9</v>
      </c>
      <c r="C17" s="1"/>
      <c r="D17" s="1"/>
    </row>
    <row r="18" spans="1:8" x14ac:dyDescent="0.3">
      <c r="A18" t="s">
        <v>70</v>
      </c>
      <c r="C18" s="1"/>
      <c r="D18" s="1">
        <f>SUM(D8:D16)</f>
        <v>965941.81700000004</v>
      </c>
      <c r="H18" s="4"/>
    </row>
    <row r="19" spans="1:8" x14ac:dyDescent="0.3">
      <c r="G19" s="2"/>
    </row>
    <row r="20" spans="1:8" x14ac:dyDescent="0.3">
      <c r="A20" t="s">
        <v>71</v>
      </c>
    </row>
    <row r="21" spans="1:8" x14ac:dyDescent="0.3">
      <c r="A21" t="s">
        <v>0</v>
      </c>
      <c r="B21" t="s">
        <v>72</v>
      </c>
      <c r="C21" t="s">
        <v>1</v>
      </c>
      <c r="D21" t="s">
        <v>62</v>
      </c>
    </row>
    <row r="22" spans="1:8" x14ac:dyDescent="0.3">
      <c r="A22" t="s">
        <v>21</v>
      </c>
      <c r="B22">
        <f>$B$3</f>
        <v>60</v>
      </c>
      <c r="C22" s="1">
        <f>Assumptions!B12</f>
        <v>13848</v>
      </c>
      <c r="D22" s="1">
        <f t="shared" ref="D22:D34" si="0">B22*C22</f>
        <v>830880</v>
      </c>
    </row>
    <row r="23" spans="1:8" x14ac:dyDescent="0.3">
      <c r="A23" t="s">
        <v>24</v>
      </c>
      <c r="B23">
        <f>$B$3</f>
        <v>60</v>
      </c>
      <c r="C23" s="1">
        <f>Assumptions!B13</f>
        <v>160</v>
      </c>
      <c r="D23" s="1">
        <f t="shared" si="0"/>
        <v>9600</v>
      </c>
    </row>
    <row r="24" spans="1:8" x14ac:dyDescent="0.3">
      <c r="A24" t="s">
        <v>26</v>
      </c>
      <c r="B24">
        <f>$B$3</f>
        <v>60</v>
      </c>
      <c r="C24" s="1">
        <f>Assumptions!B14</f>
        <v>250</v>
      </c>
      <c r="D24" s="1">
        <f t="shared" si="0"/>
        <v>15000</v>
      </c>
    </row>
    <row r="25" spans="1:8" x14ac:dyDescent="0.3">
      <c r="A25" t="s">
        <v>28</v>
      </c>
      <c r="B25">
        <f>$B$3</f>
        <v>60</v>
      </c>
      <c r="C25" s="1">
        <f>Assumptions!B15</f>
        <v>750</v>
      </c>
      <c r="D25" s="1">
        <f t="shared" si="0"/>
        <v>45000</v>
      </c>
    </row>
    <row r="26" spans="1:8" x14ac:dyDescent="0.3">
      <c r="A26" t="s">
        <v>30</v>
      </c>
      <c r="B26">
        <f>B17</f>
        <v>15.9</v>
      </c>
      <c r="C26" s="1">
        <f>Assumptions!B17</f>
        <v>2556.1799999999998</v>
      </c>
      <c r="D26" s="1">
        <f t="shared" si="0"/>
        <v>40643.261999999995</v>
      </c>
    </row>
    <row r="27" spans="1:8" x14ac:dyDescent="0.3">
      <c r="A27" t="s">
        <v>32</v>
      </c>
      <c r="B27">
        <f>B17</f>
        <v>15.9</v>
      </c>
      <c r="C27" s="1">
        <f>Assumptions!B18</f>
        <v>600</v>
      </c>
      <c r="D27" s="1">
        <f t="shared" si="0"/>
        <v>9540</v>
      </c>
    </row>
    <row r="28" spans="1:8" x14ac:dyDescent="0.3">
      <c r="A28" t="s">
        <v>34</v>
      </c>
      <c r="B28">
        <f>B17</f>
        <v>15.9</v>
      </c>
      <c r="C28" s="1">
        <f>Assumptions!B19</f>
        <v>600</v>
      </c>
      <c r="D28" s="1">
        <f t="shared" si="0"/>
        <v>9540</v>
      </c>
    </row>
    <row r="29" spans="1:8" x14ac:dyDescent="0.3">
      <c r="A29" t="s">
        <v>36</v>
      </c>
      <c r="B29">
        <f>B17</f>
        <v>15.9</v>
      </c>
      <c r="C29" s="1">
        <f>Assumptions!B20</f>
        <v>1000</v>
      </c>
      <c r="D29" s="1">
        <f t="shared" si="0"/>
        <v>15900</v>
      </c>
    </row>
    <row r="30" spans="1:8" x14ac:dyDescent="0.3">
      <c r="A30" t="s">
        <v>38</v>
      </c>
      <c r="B30">
        <f>B17</f>
        <v>15.9</v>
      </c>
      <c r="C30" s="1">
        <f>Assumptions!B21</f>
        <v>2400</v>
      </c>
      <c r="D30" s="1">
        <f t="shared" si="0"/>
        <v>38160</v>
      </c>
    </row>
    <row r="31" spans="1:8" x14ac:dyDescent="0.3">
      <c r="A31" t="s">
        <v>40</v>
      </c>
      <c r="B31">
        <f>B17</f>
        <v>15.9</v>
      </c>
      <c r="C31" s="1">
        <f>Assumptions!B22</f>
        <v>2198.46</v>
      </c>
      <c r="D31" s="1">
        <f t="shared" si="0"/>
        <v>34955.514000000003</v>
      </c>
    </row>
    <row r="32" spans="1:8" x14ac:dyDescent="0.3">
      <c r="A32" t="s">
        <v>42</v>
      </c>
      <c r="B32">
        <f>B14</f>
        <v>2</v>
      </c>
      <c r="C32" s="1">
        <f>Assumptions!B24</f>
        <v>75000</v>
      </c>
      <c r="D32" s="1">
        <f t="shared" si="0"/>
        <v>150000</v>
      </c>
    </row>
    <row r="33" spans="1:4" x14ac:dyDescent="0.3">
      <c r="A33" t="s">
        <v>45</v>
      </c>
      <c r="B33">
        <f>B14</f>
        <v>2</v>
      </c>
      <c r="C33" s="1">
        <f>Assumptions!B25</f>
        <v>4875</v>
      </c>
      <c r="D33" s="1">
        <f t="shared" si="0"/>
        <v>9750</v>
      </c>
    </row>
    <row r="34" spans="1:4" x14ac:dyDescent="0.3">
      <c r="A34" t="s">
        <v>47</v>
      </c>
      <c r="B34">
        <f>B14</f>
        <v>2</v>
      </c>
      <c r="C34" s="1">
        <f>Assumptions!B26</f>
        <v>4000</v>
      </c>
      <c r="D34" s="1">
        <f t="shared" si="0"/>
        <v>8000</v>
      </c>
    </row>
    <row r="35" spans="1:4" x14ac:dyDescent="0.3">
      <c r="A35" t="s">
        <v>49</v>
      </c>
      <c r="B35" s="3">
        <v>1</v>
      </c>
      <c r="C35" s="1">
        <f>Assumptions!B28</f>
        <v>147500</v>
      </c>
      <c r="D35" s="1">
        <f>B35*C35</f>
        <v>147500</v>
      </c>
    </row>
    <row r="36" spans="1:4" x14ac:dyDescent="0.3">
      <c r="A36" t="s">
        <v>73</v>
      </c>
      <c r="C36" s="1"/>
      <c r="D36" s="1">
        <f>SUM(D21:D35)</f>
        <v>1364468.7760000001</v>
      </c>
    </row>
    <row r="37" spans="1:4" x14ac:dyDescent="0.3">
      <c r="A37" t="s">
        <v>74</v>
      </c>
      <c r="C37" s="1"/>
      <c r="D37" s="1">
        <f>D18+D36</f>
        <v>2330410.5930000003</v>
      </c>
    </row>
    <row r="38" spans="1:4" x14ac:dyDescent="0.3">
      <c r="A38" t="s">
        <v>75</v>
      </c>
      <c r="C38" s="1"/>
      <c r="D38" s="1">
        <f>(D37)*$B$4</f>
        <v>675819.07197000005</v>
      </c>
    </row>
    <row r="39" spans="1:4" x14ac:dyDescent="0.3">
      <c r="A39" t="s">
        <v>76</v>
      </c>
      <c r="C39" s="1"/>
      <c r="D39" s="1">
        <f>D37+D38</f>
        <v>3006229.6649700003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3940-AD04-4ADF-BE3D-497D7EC9D222}">
  <sheetPr codeName="Sheet4"/>
  <dimension ref="C2:H13"/>
  <sheetViews>
    <sheetView showGridLines="0" tabSelected="1" zoomScale="170" zoomScaleNormal="170" workbookViewId="0">
      <selection activeCell="E5" sqref="E5"/>
    </sheetView>
  </sheetViews>
  <sheetFormatPr defaultRowHeight="14.4" x14ac:dyDescent="0.3"/>
  <cols>
    <col min="3" max="3" width="27.88671875" bestFit="1" customWidth="1"/>
    <col min="7" max="7" width="23.44140625" bestFit="1" customWidth="1"/>
    <col min="8" max="8" width="14" bestFit="1" customWidth="1"/>
  </cols>
  <sheetData>
    <row r="2" spans="3:8" x14ac:dyDescent="0.3">
      <c r="C2" s="9" t="s">
        <v>77</v>
      </c>
      <c r="D2" s="15">
        <v>0.28999999999999998</v>
      </c>
    </row>
    <row r="3" spans="3:8" x14ac:dyDescent="0.3">
      <c r="C3" s="9" t="s">
        <v>78</v>
      </c>
      <c r="D3" s="16">
        <v>60</v>
      </c>
      <c r="G3" s="9" t="s">
        <v>79</v>
      </c>
      <c r="H3" s="17">
        <f>Simulator!D18</f>
        <v>965941.81700000004</v>
      </c>
    </row>
    <row r="4" spans="3:8" x14ac:dyDescent="0.3">
      <c r="C4" s="9" t="s">
        <v>80</v>
      </c>
      <c r="D4" s="9">
        <f>Simulator!B17</f>
        <v>15.9</v>
      </c>
      <c r="G4" s="9" t="s">
        <v>81</v>
      </c>
      <c r="H4" s="17">
        <f>Simulator!D36</f>
        <v>1364468.7760000001</v>
      </c>
    </row>
    <row r="5" spans="3:8" x14ac:dyDescent="0.3">
      <c r="C5" s="9" t="str">
        <f>Simulator!A8</f>
        <v>Director</v>
      </c>
      <c r="D5" s="9">
        <f>Simulator!B8</f>
        <v>0.65</v>
      </c>
      <c r="G5" s="9" t="s">
        <v>82</v>
      </c>
      <c r="H5" s="17">
        <f>H3+H4</f>
        <v>2330410.5930000003</v>
      </c>
    </row>
    <row r="6" spans="3:8" x14ac:dyDescent="0.3">
      <c r="C6" s="9" t="str">
        <f>Simulator!A9</f>
        <v>Administrator</v>
      </c>
      <c r="D6" s="9">
        <f>Simulator!B9</f>
        <v>1</v>
      </c>
      <c r="G6" s="9" t="s">
        <v>83</v>
      </c>
      <c r="H6" s="17">
        <f>H5+(H5*D2)</f>
        <v>3006229.6649700003</v>
      </c>
    </row>
    <row r="7" spans="3:8" x14ac:dyDescent="0.3">
      <c r="C7" s="9" t="str">
        <f>Simulator!A10</f>
        <v>Supervisor</v>
      </c>
      <c r="D7" s="9">
        <f>Simulator!B10</f>
        <v>2</v>
      </c>
    </row>
    <row r="8" spans="3:8" x14ac:dyDescent="0.3">
      <c r="C8" s="9" t="str">
        <f>Simulator!A11</f>
        <v>Case Manager</v>
      </c>
      <c r="D8" s="9">
        <f>Simulator!B11</f>
        <v>5</v>
      </c>
    </row>
    <row r="9" spans="3:8" x14ac:dyDescent="0.3">
      <c r="C9" s="9" t="str">
        <f>Simulator!A12</f>
        <v>Network Housing Developer</v>
      </c>
      <c r="D9" s="9">
        <f>Simulator!B12</f>
        <v>2</v>
      </c>
    </row>
    <row r="10" spans="3:8" x14ac:dyDescent="0.3">
      <c r="C10" s="9" t="str">
        <f>Simulator!A13</f>
        <v>Peer Support Specialist</v>
      </c>
      <c r="D10" s="9">
        <f>Simulator!B13</f>
        <v>2</v>
      </c>
    </row>
    <row r="11" spans="3:8" x14ac:dyDescent="0.3">
      <c r="C11" s="9" t="str">
        <f>Simulator!A14</f>
        <v>Mobile Unit Driver</v>
      </c>
      <c r="D11" s="9">
        <f>Simulator!B14</f>
        <v>2</v>
      </c>
    </row>
    <row r="12" spans="3:8" x14ac:dyDescent="0.3">
      <c r="C12" s="9" t="str">
        <f>Simulator!A15</f>
        <v>Data Coordinator</v>
      </c>
      <c r="D12" s="9">
        <f>Simulator!B15</f>
        <v>0.25</v>
      </c>
    </row>
    <row r="13" spans="3:8" x14ac:dyDescent="0.3">
      <c r="C13" s="9" t="s">
        <v>20</v>
      </c>
      <c r="D13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776-CC9E-4CBA-AC2C-68F44F1C620A}">
  <sheetPr codeName="Sheet3"/>
  <dimension ref="A1:G10"/>
  <sheetViews>
    <sheetView zoomScale="140" zoomScaleNormal="140" workbookViewId="0">
      <selection activeCell="C5" sqref="C5"/>
    </sheetView>
  </sheetViews>
  <sheetFormatPr defaultRowHeight="14.4" x14ac:dyDescent="0.3"/>
  <cols>
    <col min="1" max="1" width="30.5546875" customWidth="1"/>
    <col min="2" max="2" width="5.6640625" bestFit="1" customWidth="1"/>
    <col min="3" max="3" width="12.5546875" bestFit="1" customWidth="1"/>
    <col min="4" max="4" width="12.5546875" customWidth="1"/>
    <col min="5" max="5" width="12.44140625" bestFit="1" customWidth="1"/>
    <col min="6" max="6" width="19.6640625" bestFit="1" customWidth="1"/>
    <col min="7" max="7" width="17.5546875" bestFit="1" customWidth="1"/>
  </cols>
  <sheetData>
    <row r="1" spans="1:7" ht="28.8" x14ac:dyDescent="0.3">
      <c r="A1" s="6" t="s">
        <v>84</v>
      </c>
      <c r="B1" s="6" t="s">
        <v>85</v>
      </c>
      <c r="C1" s="7" t="s">
        <v>86</v>
      </c>
      <c r="D1" s="7" t="s">
        <v>87</v>
      </c>
      <c r="E1" s="8" t="s">
        <v>88</v>
      </c>
      <c r="F1" s="8" t="s">
        <v>89</v>
      </c>
      <c r="G1" s="8" t="s">
        <v>90</v>
      </c>
    </row>
    <row r="2" spans="1:7" x14ac:dyDescent="0.3">
      <c r="A2" s="9" t="s">
        <v>4</v>
      </c>
      <c r="B2" s="10">
        <v>0.65</v>
      </c>
      <c r="C2" s="11">
        <v>70603</v>
      </c>
      <c r="D2" s="12">
        <v>0.26</v>
      </c>
      <c r="E2" s="19">
        <f>B2*(C2+(C2*D2))</f>
        <v>57823.857000000004</v>
      </c>
      <c r="F2" s="14">
        <v>60</v>
      </c>
      <c r="G2" s="14">
        <f>F2/B2</f>
        <v>92.307692307692307</v>
      </c>
    </row>
    <row r="3" spans="1:7" x14ac:dyDescent="0.3">
      <c r="A3" s="9" t="s">
        <v>7</v>
      </c>
      <c r="B3" s="10">
        <v>1</v>
      </c>
      <c r="C3" s="11">
        <v>78796</v>
      </c>
      <c r="D3" s="12">
        <v>0.26</v>
      </c>
      <c r="E3" s="13">
        <f t="shared" ref="E3:E10" si="0">B3*(C3+(C3*D3))</f>
        <v>99282.959999999992</v>
      </c>
      <c r="F3" s="14">
        <v>60</v>
      </c>
      <c r="G3" s="14">
        <f t="shared" ref="G3:G10" si="1">F3/B3</f>
        <v>60</v>
      </c>
    </row>
    <row r="4" spans="1:7" x14ac:dyDescent="0.3">
      <c r="A4" s="9" t="s">
        <v>9</v>
      </c>
      <c r="B4" s="10">
        <v>2</v>
      </c>
      <c r="C4" s="11">
        <v>55000</v>
      </c>
      <c r="D4" s="12">
        <v>0.26</v>
      </c>
      <c r="E4" s="13">
        <f t="shared" si="0"/>
        <v>138600</v>
      </c>
      <c r="F4" s="14">
        <v>30</v>
      </c>
      <c r="G4" s="14">
        <f t="shared" si="1"/>
        <v>15</v>
      </c>
    </row>
    <row r="5" spans="1:7" x14ac:dyDescent="0.3">
      <c r="A5" s="9" t="s">
        <v>11</v>
      </c>
      <c r="B5" s="10">
        <v>5</v>
      </c>
      <c r="C5" s="11">
        <v>44000</v>
      </c>
      <c r="D5" s="12">
        <v>0.26</v>
      </c>
      <c r="E5" s="13">
        <f t="shared" si="0"/>
        <v>277200</v>
      </c>
      <c r="F5" s="14">
        <v>12</v>
      </c>
      <c r="G5" s="14">
        <f t="shared" si="1"/>
        <v>2.4</v>
      </c>
    </row>
    <row r="6" spans="1:7" x14ac:dyDescent="0.3">
      <c r="A6" s="9" t="s">
        <v>13</v>
      </c>
      <c r="B6" s="10">
        <v>2</v>
      </c>
      <c r="C6" s="11">
        <v>46000</v>
      </c>
      <c r="D6" s="12">
        <v>0.26</v>
      </c>
      <c r="E6" s="13">
        <f t="shared" si="0"/>
        <v>115920</v>
      </c>
      <c r="F6" s="14">
        <v>30</v>
      </c>
      <c r="G6" s="14">
        <f t="shared" si="1"/>
        <v>15</v>
      </c>
    </row>
    <row r="7" spans="1:7" x14ac:dyDescent="0.3">
      <c r="A7" s="9" t="s">
        <v>66</v>
      </c>
      <c r="B7" s="10">
        <v>2</v>
      </c>
      <c r="C7" s="11">
        <v>44000</v>
      </c>
      <c r="D7" s="12">
        <v>0.26</v>
      </c>
      <c r="E7" s="13">
        <f t="shared" si="0"/>
        <v>110880</v>
      </c>
      <c r="F7" s="14">
        <v>30</v>
      </c>
      <c r="G7" s="14">
        <f t="shared" si="1"/>
        <v>15</v>
      </c>
    </row>
    <row r="8" spans="1:7" x14ac:dyDescent="0.3">
      <c r="A8" s="9" t="s">
        <v>67</v>
      </c>
      <c r="B8" s="10">
        <v>2</v>
      </c>
      <c r="C8" s="11">
        <v>40500</v>
      </c>
      <c r="D8" s="12">
        <v>0.26</v>
      </c>
      <c r="E8" s="13">
        <f t="shared" si="0"/>
        <v>102060</v>
      </c>
      <c r="F8" s="14">
        <v>30</v>
      </c>
      <c r="G8" s="14">
        <f t="shared" si="1"/>
        <v>15</v>
      </c>
    </row>
    <row r="9" spans="1:7" x14ac:dyDescent="0.3">
      <c r="A9" s="9" t="s">
        <v>68</v>
      </c>
      <c r="B9" s="10">
        <v>0.25</v>
      </c>
      <c r="C9" s="11">
        <v>45000</v>
      </c>
      <c r="D9" s="12">
        <v>0.26</v>
      </c>
      <c r="E9" s="19">
        <f t="shared" si="0"/>
        <v>14175</v>
      </c>
      <c r="F9" s="14">
        <v>30</v>
      </c>
      <c r="G9" s="14">
        <f t="shared" si="1"/>
        <v>120</v>
      </c>
    </row>
    <row r="10" spans="1:7" x14ac:dyDescent="0.3">
      <c r="A10" s="9" t="s">
        <v>20</v>
      </c>
      <c r="B10" s="10">
        <v>1</v>
      </c>
      <c r="C10" s="11">
        <v>50000</v>
      </c>
      <c r="D10" s="20">
        <v>0</v>
      </c>
      <c r="E10" s="13">
        <f t="shared" si="0"/>
        <v>50000</v>
      </c>
      <c r="F10" s="14">
        <v>60</v>
      </c>
      <c r="G10" s="14">
        <f t="shared" si="1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Simulator</vt:lpstr>
      <vt:lpstr>Calculator</vt:lpstr>
      <vt:lpstr>Staff Detailing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Jagadeesh G K</cp:lastModifiedBy>
  <cp:revision/>
  <dcterms:created xsi:type="dcterms:W3CDTF">2025-06-20T15:32:13Z</dcterms:created>
  <dcterms:modified xsi:type="dcterms:W3CDTF">2025-10-03T13:06:27Z</dcterms:modified>
  <cp:category/>
  <cp:contentStatus/>
</cp:coreProperties>
</file>