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idiancapital-my.sharepoint.com/personal/ataieb_meridiancapital_com/Documents/"/>
    </mc:Choice>
  </mc:AlternateContent>
  <xr:revisionPtr revIDLastSave="0" documentId="8_{7587CC5E-79E3-49C4-9BAF-2D1A50452D6B}" xr6:coauthVersionLast="47" xr6:coauthVersionMax="47" xr10:uidLastSave="{00000000-0000-0000-0000-000000000000}"/>
  <bookViews>
    <workbookView xWindow="28680" yWindow="-120" windowWidth="29040" windowHeight="15840" activeTab="4" xr2:uid="{2C77BC3D-3FA8-4B6E-A851-91A243E8D97C}"/>
  </bookViews>
  <sheets>
    <sheet name="Cover" sheetId="6" r:id="rId1"/>
    <sheet name="Summary" sheetId="2" r:id="rId2"/>
    <sheet name="Proforma I&amp;E" sheetId="3" r:id="rId3"/>
    <sheet name="Unit Mix &amp; RR" sheetId="1" r:id="rId4"/>
    <sheet name="Development Budget" sheetId="4" r:id="rId5"/>
    <sheet name="421(a) Abatement" sheetId="7" r:id="rId6"/>
  </sheets>
  <externalReferences>
    <externalReference r:id="rId7"/>
    <externalReference r:id="rId8"/>
  </externalReferences>
  <definedNames>
    <definedName name="___new1" localSheetId="5" hidden="1">{"Data Input",#N/A,TRUE,"Data Input";"15-Yr Cash Flow",#N/A,TRUE,"Cash Flow";"15-Yr Value",#N/A,TRUE,"Value "}</definedName>
    <definedName name="___new1" hidden="1">{"Data Input",#N/A,TRUE,"Data Input";"15-Yr Cash Flow",#N/A,TRUE,"Cash Flow";"15-Yr Value",#N/A,TRUE,"Value "}</definedName>
    <definedName name="___new3" localSheetId="5" hidden="1">{"ODB",#N/A,FALSE,"Hold Scenario"}</definedName>
    <definedName name="___new3" hidden="1">{"ODB",#N/A,FALSE,"Hold Scenario"}</definedName>
    <definedName name="___new4" localSheetId="5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___new4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__1__123Graph_ACHART_1" hidden="1">#REF!</definedName>
    <definedName name="__10__123Graph_XCHART_2" localSheetId="5" hidden="1">#REF!</definedName>
    <definedName name="__10__123Graph_XCHART_2" hidden="1">#REF!</definedName>
    <definedName name="__11__123Graph_XCHART_3" localSheetId="5" hidden="1">#REF!</definedName>
    <definedName name="__11__123Graph_XCHART_3" hidden="1">#REF!</definedName>
    <definedName name="__123Graph_A" localSheetId="5" hidden="1">#REF!</definedName>
    <definedName name="__123Graph_A" hidden="1">#REF!</definedName>
    <definedName name="__123Graph_ACOLLECTIONS" localSheetId="5" hidden="1">#REF!</definedName>
    <definedName name="__123Graph_ACOLLECTIONS" hidden="1">#REF!</definedName>
    <definedName name="__123Graph_ACurrent" localSheetId="5" hidden="1">#REF!</definedName>
    <definedName name="__123Graph_ACurrent" hidden="1">#REF!</definedName>
    <definedName name="__123Graph_BCOLLECTIONS" localSheetId="5" hidden="1">#REF!</definedName>
    <definedName name="__123Graph_BCOLLECTIONS" hidden="1">#REF!</definedName>
    <definedName name="__123Graph_BCurrent" localSheetId="5" hidden="1">#REF!</definedName>
    <definedName name="__123Graph_BCurrent" hidden="1">#REF!</definedName>
    <definedName name="__123Graph_CCurrent" localSheetId="5" hidden="1">#REF!</definedName>
    <definedName name="__123Graph_CCurrent" hidden="1">#REF!</definedName>
    <definedName name="__123Graph_D" localSheetId="5" hidden="1">#REF!</definedName>
    <definedName name="__123Graph_D" hidden="1">#REF!</definedName>
    <definedName name="__123Graph_DCurrent" localSheetId="5" hidden="1">#REF!</definedName>
    <definedName name="__123Graph_DCurrent" hidden="1">#REF!</definedName>
    <definedName name="__123Graph_E" localSheetId="5" hidden="1">#REF!</definedName>
    <definedName name="__123Graph_E" hidden="1">#REF!</definedName>
    <definedName name="__123Graph_X" localSheetId="5" hidden="1">#REF!</definedName>
    <definedName name="__123Graph_X" hidden="1">#REF!</definedName>
    <definedName name="__123Graph_XCOLLECTIONS" localSheetId="5" hidden="1">#REF!</definedName>
    <definedName name="__123Graph_XCOLLECTIONS" hidden="1">#REF!</definedName>
    <definedName name="__2__123Graph_ACHART_2" localSheetId="5" hidden="1">#REF!</definedName>
    <definedName name="__2__123Graph_ACHART_2" hidden="1">#REF!</definedName>
    <definedName name="__3__123Graph_ACHART_3" localSheetId="5" hidden="1">#REF!</definedName>
    <definedName name="__3__123Graph_ACHART_3" hidden="1">#REF!</definedName>
    <definedName name="__4__123Graph_BCHART_1" localSheetId="5" hidden="1">#REF!</definedName>
    <definedName name="__4__123Graph_BCHART_1" hidden="1">#REF!</definedName>
    <definedName name="__5__123Graph_CCHART_1" localSheetId="5" hidden="1">#REF!</definedName>
    <definedName name="__5__123Graph_CCHART_1" hidden="1">#REF!</definedName>
    <definedName name="__6__123Graph_DCHART_1" localSheetId="5" hidden="1">#REF!</definedName>
    <definedName name="__6__123Graph_DCHART_1" hidden="1">#REF!</definedName>
    <definedName name="__7__123Graph_ECHART_1" localSheetId="5" hidden="1">#REF!</definedName>
    <definedName name="__7__123Graph_ECHART_1" hidden="1">#REF!</definedName>
    <definedName name="__8__123Graph_FCHART_1" localSheetId="5" hidden="1">#REF!</definedName>
    <definedName name="__8__123Graph_FCHART_1" hidden="1">#REF!</definedName>
    <definedName name="__9__123Graph_XCHART_1" localSheetId="5" hidden="1">#REF!</definedName>
    <definedName name="__9__123Graph_XCHART_1" hidden="1">#REF!</definedName>
    <definedName name="__FDS_HYPERLINK_TOGGLE_STATE__" hidden="1">"ON"</definedName>
    <definedName name="__IntlFixup" hidden="1">TRUE</definedName>
    <definedName name="__new1" localSheetId="5" hidden="1">{"Data Input",#N/A,TRUE,"Data Input";"15-Yr Cash Flow",#N/A,TRUE,"Cash Flow";"15-Yr Value",#N/A,TRUE,"Value "}</definedName>
    <definedName name="__new1" hidden="1">{"Data Input",#N/A,TRUE,"Data Input";"15-Yr Cash Flow",#N/A,TRUE,"Cash Flow";"15-Yr Value",#N/A,TRUE,"Value "}</definedName>
    <definedName name="__new3" localSheetId="5" hidden="1">{"ODB",#N/A,FALSE,"Hold Scenario"}</definedName>
    <definedName name="__new3" hidden="1">{"ODB",#N/A,FALSE,"Hold Scenario"}</definedName>
    <definedName name="__new4" localSheetId="5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__new4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_1__123Graph_ACHART_1" hidden="1">#REF!</definedName>
    <definedName name="_10__123Graph_CCHART_1" localSheetId="5" hidden="1">#REF!</definedName>
    <definedName name="_10__123Graph_CCHART_1" hidden="1">#REF!</definedName>
    <definedName name="_10__123Graph_XCHART_2" localSheetId="5" hidden="1">#REF!</definedName>
    <definedName name="_10__123Graph_XCHART_2" hidden="1">#REF!</definedName>
    <definedName name="_11__123Graph_XCHART_3" localSheetId="5" hidden="1">#REF!</definedName>
    <definedName name="_11__123Graph_XCHART_3" hidden="1">#REF!</definedName>
    <definedName name="_12__123Graph_DCHART_1" localSheetId="5" hidden="1">#REF!</definedName>
    <definedName name="_12__123Graph_DCHART_1" hidden="1">#REF!</definedName>
    <definedName name="_14__123Graph_ECHART_1" localSheetId="5" hidden="1">#REF!</definedName>
    <definedName name="_14__123Graph_ECHART_1" hidden="1">#REF!</definedName>
    <definedName name="_16__123Graph_FCHART_1" localSheetId="5" hidden="1">#REF!</definedName>
    <definedName name="_16__123Graph_FCHART_1" hidden="1">#REF!</definedName>
    <definedName name="_18__123Graph_XCHART_1" localSheetId="5" hidden="1">#REF!</definedName>
    <definedName name="_18__123Graph_XCHART_1" hidden="1">#REF!</definedName>
    <definedName name="_2__123Graph_ACHART_1" localSheetId="5" hidden="1">#REF!</definedName>
    <definedName name="_2__123Graph_ACHART_1" hidden="1">#REF!</definedName>
    <definedName name="_2__123Graph_ACHART_2" localSheetId="5" hidden="1">#REF!</definedName>
    <definedName name="_2__123Graph_ACHART_2" hidden="1">#REF!</definedName>
    <definedName name="_20__123Graph_XCHART_2" localSheetId="5" hidden="1">#REF!</definedName>
    <definedName name="_20__123Graph_XCHART_2" hidden="1">#REF!</definedName>
    <definedName name="_22__123Graph_XCHART_3" localSheetId="5" hidden="1">#REF!</definedName>
    <definedName name="_22__123Graph_XCHART_3" hidden="1">#REF!</definedName>
    <definedName name="_3__123Graph_ACHART_3" localSheetId="5" hidden="1">#REF!</definedName>
    <definedName name="_3__123Graph_ACHART_3" hidden="1">#REF!</definedName>
    <definedName name="_4__123Graph_ACHART_2" localSheetId="5" hidden="1">#REF!</definedName>
    <definedName name="_4__123Graph_ACHART_2" hidden="1">#REF!</definedName>
    <definedName name="_4__123Graph_BCHART_1" localSheetId="5" hidden="1">#REF!</definedName>
    <definedName name="_4__123Graph_BCHART_1" hidden="1">#REF!</definedName>
    <definedName name="_5__123Graph_CCHART_1" localSheetId="5" hidden="1">#REF!</definedName>
    <definedName name="_5__123Graph_CCHART_1" hidden="1">#REF!</definedName>
    <definedName name="_6__123Graph_ACHART_3" localSheetId="5" hidden="1">#REF!</definedName>
    <definedName name="_6__123Graph_ACHART_3" hidden="1">#REF!</definedName>
    <definedName name="_6__123Graph_DCHART_1" localSheetId="5" hidden="1">#REF!</definedName>
    <definedName name="_6__123Graph_DCHART_1" hidden="1">#REF!</definedName>
    <definedName name="_7__123Graph_ECHART_1" localSheetId="5" hidden="1">#REF!</definedName>
    <definedName name="_7__123Graph_ECHART_1" hidden="1">#REF!</definedName>
    <definedName name="_8__123Graph_BCHART_1" localSheetId="5" hidden="1">#REF!</definedName>
    <definedName name="_8__123Graph_BCHART_1" hidden="1">#REF!</definedName>
    <definedName name="_8__123Graph_FCHART_1" localSheetId="5" hidden="1">#REF!</definedName>
    <definedName name="_8__123Graph_FCHART_1" hidden="1">#REF!</definedName>
    <definedName name="_9__123Graph_XCHART_1" localSheetId="5" hidden="1">#REF!</definedName>
    <definedName name="_9__123Graph_XCHART_1" hidden="1">#REF!</definedName>
    <definedName name="_Fill" localSheetId="5" hidden="1">#REF!</definedName>
    <definedName name="_Fill" hidden="1">#REF!</definedName>
    <definedName name="_xlnm._FilterDatabase" localSheetId="3" hidden="1">'Unit Mix &amp; RR'!$B$5:$E$185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22" localSheetId="5" hidden="1">#REF!</definedName>
    <definedName name="_Key22" hidden="1">#REF!</definedName>
    <definedName name="_new1" localSheetId="5" hidden="1">{"Data Input",#N/A,TRUE,"Data Input";"15-Yr Cash Flow",#N/A,TRUE,"Cash Flow";"15-Yr Value",#N/A,TRUE,"Value "}</definedName>
    <definedName name="_new1" hidden="1">{"Data Input",#N/A,TRUE,"Data Input";"15-Yr Cash Flow",#N/A,TRUE,"Cash Flow";"15-Yr Value",#N/A,TRUE,"Value "}</definedName>
    <definedName name="_new3" localSheetId="5" hidden="1">{"ODB",#N/A,FALSE,"Hold Scenario"}</definedName>
    <definedName name="_new3" hidden="1">{"ODB",#N/A,FALSE,"Hold Scenario"}</definedName>
    <definedName name="_new4" localSheetId="5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_new4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_Order1" hidden="1">0</definedName>
    <definedName name="_Order2" hidden="1">0</definedName>
    <definedName name="_Regression_Int" hidden="1">1</definedName>
    <definedName name="_Sort" localSheetId="5" hidden="1">#REF!</definedName>
    <definedName name="_Sort" hidden="1">#REF!</definedName>
    <definedName name="_Table1_In1" localSheetId="5" hidden="1">#REF!</definedName>
    <definedName name="_Table1_In1" hidden="1">#REF!</definedName>
    <definedName name="_Table1_Out" localSheetId="5" hidden="1">#REF!</definedName>
    <definedName name="_Table1_Out" hidden="1">#REF!</definedName>
    <definedName name="_Table2_In1" localSheetId="5" hidden="1">#REF!</definedName>
    <definedName name="_Table2_In1" hidden="1">#REF!</definedName>
    <definedName name="_Table2_In2" localSheetId="5" hidden="1">#REF!</definedName>
    <definedName name="_Table2_In2" hidden="1">#REF!</definedName>
    <definedName name="_Table2_In3" localSheetId="5" hidden="1">#REF!</definedName>
    <definedName name="_Table2_In3" hidden="1">#REF!</definedName>
    <definedName name="_Table2_Out" localSheetId="5" hidden="1">#REF!</definedName>
    <definedName name="_Table2_Out" hidden="1">#REF!</definedName>
    <definedName name="a1a1" localSheetId="5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aaa" localSheetId="5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a" localSheetId="5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sdfa" localSheetId="5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b" localSheetId="5" hidden="1">{#N/A,#N/A,TRUE,"Ericsson Stadium PCD ";#N/A,#N/A,TRUE,"Ericsson Stadium IOR"}</definedName>
    <definedName name="ab" hidden="1">{#N/A,#N/A,TRUE,"Ericsson Stadium PCD ";#N/A,#N/A,TRUE,"Ericsson Stadium IOR"}</definedName>
    <definedName name="ab_condo" localSheetId="5" hidden="1">{#N/A,#N/A,TRUE,"Ericsson Stadium PCD ";#N/A,#N/A,TRUE,"Ericsson Stadium IOR"}</definedName>
    <definedName name="ab_condo" hidden="1">{#N/A,#N/A,TRUE,"Ericsson Stadium PCD ";#N/A,#N/A,TRUE,"Ericsson Stadium IOR"}</definedName>
    <definedName name="Access_Button" hidden="1">"Loan_Front_End_Input_List"</definedName>
    <definedName name="AccessCode" hidden="1">""""</definedName>
    <definedName name="AccessDatabase" hidden="1">"C:\My Documents\DAVE\MODELS\Cash at Risk\Loan Front End.mdb"</definedName>
    <definedName name="AKAADDR1">[1]RENTROLL!#REF!</definedName>
    <definedName name="anscount" hidden="1">1</definedName>
    <definedName name="appraised">[1]SETUP!#REF!</definedName>
    <definedName name="APT">[1]RENTROLL!$A$83</definedName>
    <definedName name="as" localSheetId="5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NamedRange" hidden="1">3</definedName>
    <definedName name="asdfas" localSheetId="5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5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5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g" localSheetId="5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ss" localSheetId="5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blah" localSheetId="5" hidden="1">{"Input Assumptions",#N/A,FALSE,"Summary";"Project CF",#N/A,FALSE,"Summary";"Debt &amp; Sq. Ft.",#N/A,FALSE,"Summary";"Revenues",#N/A,FALSE,"Revenue"}</definedName>
    <definedName name="blah" hidden="1">{"Input Assumptions",#N/A,FALSE,"Summary";"Project CF",#N/A,FALSE,"Summary";"Debt &amp; Sq. Ft.",#N/A,FALSE,"Summary";"Revenues",#N/A,FALSE,"Revenue"}</definedName>
    <definedName name="ccc" localSheetId="5" hidden="1">{#N/A,#N/A,FALSE,"LoanAssumptions"}</definedName>
    <definedName name="ccc" hidden="1">{#N/A,#N/A,FALSE,"LoanAssumptions"}</definedName>
    <definedName name="COMMRENT">[1]RENTROLL!$G$93</definedName>
    <definedName name="CVS" localSheetId="5" hidden="1">#REF!</definedName>
    <definedName name="CVS" hidden="1">#REF!</definedName>
    <definedName name="dasf" localSheetId="5" hidden="1">#REF!</definedName>
    <definedName name="dasf" hidden="1">#REF!</definedName>
    <definedName name="DATA_01" localSheetId="5" hidden="1">#REF!</definedName>
    <definedName name="DATA_01" hidden="1">#REF!</definedName>
    <definedName name="dd" localSheetId="5" hidden="1">{"MonthlyRentRoll",#N/A,FALSE,"RentRoll"}</definedName>
    <definedName name="dd" hidden="1">{"MonthlyRentRoll",#N/A,FALSE,"RentRoll"}</definedName>
    <definedName name="dddddd" localSheetId="5" hidden="1">{#N/A,#N/A,FALSE,"CAPREIT"}</definedName>
    <definedName name="dddddd" hidden="1">{#N/A,#N/A,FALSE,"CAPREIT"}</definedName>
    <definedName name="ddddddd" localSheetId="5" hidden="1">{#N/A,#N/A,FALSE,"CAPREIT"}</definedName>
    <definedName name="ddddddd" hidden="1">{#N/A,#N/A,FALSE,"CAPREIT"}</definedName>
    <definedName name="DELME" localSheetId="5" hidden="1">{#N/A,#N/A,FALSE,"A";#N/A,#N/A,FALSE,"C"}</definedName>
    <definedName name="DELME" hidden="1">{#N/A,#N/A,FALSE,"A";#N/A,#N/A,FALSE,"C"}</definedName>
    <definedName name="DELME_condo" localSheetId="5" hidden="1">{#N/A,#N/A,FALSE,"A";#N/A,#N/A,FALSE,"C"}</definedName>
    <definedName name="DELME_condo" hidden="1">{#N/A,#N/A,FALSE,"A";#N/A,#N/A,FALSE,"C"}</definedName>
    <definedName name="DELME2" localSheetId="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5" hidden="1">{#N/A,#N/A,FALSE,"Common Area Accrual";#N/A,#N/A,FALSE,"Unit One LaSalle";#N/A,#N/A,FALSE,"Unit One CW";#N/A,#N/A,FALSE,"Unit One LaSallle + C &amp; W";#N/A,#N/A,FALSE,"Consolidated Accrual"}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localSheetId="5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localSheetId="5" hidden="1">{#N/A,#N/A,FALSE,"399 Park Var";#N/A,#N/A,FALSE,"PK NOTES"}</definedName>
    <definedName name="DELME4" hidden="1">{#N/A,#N/A,FALSE,"399 Park Var";#N/A,#N/A,FALSE,"PK NOTES"}</definedName>
    <definedName name="DELME4_Condo" localSheetId="5" hidden="1">{#N/A,#N/A,FALSE,"399 Park Var";#N/A,#N/A,FALSE,"PK NOTES"}</definedName>
    <definedName name="DELME4_Condo" hidden="1">{#N/A,#N/A,FALSE,"399 Park Var";#N/A,#N/A,FALSE,"PK NOTES"}</definedName>
    <definedName name="DELME5" localSheetId="5" hidden="1">{#N/A,#N/A,FALSE,"Expense Detail ";#N/A,#N/A,FALSE,"Worksheet";#N/A,#N/A,FALSE,"Audit";#N/A,#N/A,FALSE,"Exclusions";#N/A,#N/A,FALSE,"Variance";#N/A,#N/A,FALSE,"Reconciliation"}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localSheetId="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localSheetId="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iscrepancy" localSheetId="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crepancy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sfgdsfg" localSheetId="5" hidden="1">#REF!</definedName>
    <definedName name="dsfgdsfg" hidden="1">#REF!</definedName>
    <definedName name="eee" localSheetId="5" hidden="1">{#N/A,#N/A,FALSE,"OperatingAssumptions"}</definedName>
    <definedName name="eee" hidden="1">{#N/A,#N/A,FALSE,"OperatingAssumptions"}</definedName>
    <definedName name="eeee" localSheetId="5" hidden="1">{"Data Input",#N/A,TRUE,"Data Input";"10-Yr Cash Flow",#N/A,TRUE,"Cash Flow";"10-Yr Value",#N/A,TRUE,"Value "}</definedName>
    <definedName name="eeee" hidden="1">{"Data Input",#N/A,TRUE,"Data Input";"10-Yr Cash Flow",#N/A,TRUE,"Cash Flow";"10-Yr Value",#N/A,TRUE,"Value "}</definedName>
    <definedName name="egj" localSheetId="5" hidden="1">{"west1",#N/A,FALSE,"ParkplaceL";"WEST2",#N/A,FALSE,"ParkplaceL";"east1",#N/A,FALSE,"ParkplaceL";"east2",#N/A,FALSE,"ParkplaceL"}</definedName>
    <definedName name="egj" hidden="1">{"west1",#N/A,FALSE,"ParkplaceL";"WEST2",#N/A,FALSE,"ParkplaceL";"east1",#N/A,FALSE,"ParkplaceL";"east2",#N/A,FALSE,"ParkplaceL"}</definedName>
    <definedName name="excel" localSheetId="5" hidden="1">{#N/A,#N/A,FALSE}</definedName>
    <definedName name="excel" hidden="1">{#N/A,#N/A,FALSE}</definedName>
    <definedName name="fdfdfd" localSheetId="5" hidden="1">{#N/A,#N/A,FALSE,"CAPREIT"}</definedName>
    <definedName name="fdfdfd" hidden="1">{#N/A,#N/A,FALSE,"CAPREIT"}</definedName>
    <definedName name="fdfdfdf" localSheetId="5" hidden="1">{#N/A,#N/A,FALSE,"CAPREIT"}</definedName>
    <definedName name="fdfdfdf" hidden="1">{#N/A,#N/A,FALSE,"CAPREIT"}</definedName>
    <definedName name="ff" localSheetId="5" hidden="1">#REF!</definedName>
    <definedName name="ff" hidden="1">#REF!</definedName>
    <definedName name="fff" localSheetId="5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l" localSheetId="5" hidden="1">#REF!</definedName>
    <definedName name="ffl" hidden="1">#REF!</definedName>
    <definedName name="fi" localSheetId="5" hidden="1">#REF!</definedName>
    <definedName name="fi" hidden="1">#REF!</definedName>
    <definedName name="File">[1]RENTROLL!$M$1</definedName>
    <definedName name="fl" localSheetId="5" hidden="1">#REF!</definedName>
    <definedName name="fl" hidden="1">#REF!</definedName>
    <definedName name="fll" localSheetId="5" hidden="1">#REF!</definedName>
    <definedName name="fll" hidden="1">#REF!</definedName>
    <definedName name="fslfhsdl" localSheetId="5" hidden="1">{#N/A,#N/A,FALSE,"WATCHDSC";#N/A,#N/A,FALSE,"2LOSSMOD";#N/A,#N/A,FALSE,"2LOSS";#N/A,#N/A,FALSE,"DSC";#N/A,#N/A,FALSE,"OPERAT";#N/A,#N/A,FALSE,"ADJUST";#N/A,#N/A,FALSE,"LEASE EXPIRE"}</definedName>
    <definedName name="fslfhsdl" hidden="1">{#N/A,#N/A,FALSE,"WATCHDSC";#N/A,#N/A,FALSE,"2LOSSMOD";#N/A,#N/A,FALSE,"2LOSS";#N/A,#N/A,FALSE,"DSC";#N/A,#N/A,FALSE,"OPERAT";#N/A,#N/A,FALSE,"ADJUST";#N/A,#N/A,FALSE,"LEASE EXPIRE"}</definedName>
    <definedName name="fw" localSheetId="5" hidden="1">{#N/A,#N/A,FALSE,"WATCHDSC";#N/A,#N/A,FALSE,"2LOSSMOD";#N/A,#N/A,FALSE,"2LOSS";#N/A,#N/A,FALSE,"DSC";#N/A,#N/A,FALSE,"OPERAT";#N/A,#N/A,FALSE,"ADJUST";#N/A,#N/A,FALSE,"LEASE EXPIRE"}</definedName>
    <definedName name="fw" hidden="1">{#N/A,#N/A,FALSE,"WATCHDSC";#N/A,#N/A,FALSE,"2LOSSMOD";#N/A,#N/A,FALSE,"2LOSS";#N/A,#N/A,FALSE,"DSC";#N/A,#N/A,FALSE,"OPERAT";#N/A,#N/A,FALSE,"ADJUST";#N/A,#N/A,FALSE,"LEASE EXPIRE"}</definedName>
    <definedName name="fwefhweofhweoh" localSheetId="5" hidden="1">{#N/A,#N/A,FALSE,"WATCHDSC";#N/A,#N/A,FALSE,"2LOSSMOD";#N/A,#N/A,FALSE,"2LOSS";#N/A,#N/A,FALSE,"DSC";#N/A,#N/A,FALSE,"OPERAT";#N/A,#N/A,FALSE,"ADJUST";#N/A,#N/A,FALSE,"LEASE EXPIRE"}</definedName>
    <definedName name="fwefhweofhweoh" hidden="1">{#N/A,#N/A,FALSE,"WATCHDSC";#N/A,#N/A,FALSE,"2LOSSMOD";#N/A,#N/A,FALSE,"2LOSS";#N/A,#N/A,FALSE,"DSC";#N/A,#N/A,FALSE,"OPERAT";#N/A,#N/A,FALSE,"ADJUST";#N/A,#N/A,FALSE,"LEASE EXPIRE"}</definedName>
    <definedName name="fwel" localSheetId="5" hidden="1">{#N/A,#N/A,FALSE,"WATCHDSC";#N/A,#N/A,FALSE,"2LOSSMOD";#N/A,#N/A,FALSE,"2LOSS";#N/A,#N/A,FALSE,"DSC";#N/A,#N/A,FALSE,"OPERAT";#N/A,#N/A,FALSE,"ADJUST";#N/A,#N/A,FALSE,"LEASE EXPIRE"}</definedName>
    <definedName name="fwel" hidden="1">{#N/A,#N/A,FALSE,"WATCHDSC";#N/A,#N/A,FALSE,"2LOSSMOD";#N/A,#N/A,FALSE,"2LOSS";#N/A,#N/A,FALSE,"DSC";#N/A,#N/A,FALSE,"OPERAT";#N/A,#N/A,FALSE,"ADJUST";#N/A,#N/A,FALSE,"LEASE EXPIRE"}</definedName>
    <definedName name="fwelfweofhweo\" localSheetId="5" hidden="1">{#N/A,#N/A,FALSE,"WATCHDSC";#N/A,#N/A,FALSE,"2LOSSMOD";#N/A,#N/A,FALSE,"2LOSS";#N/A,#N/A,FALSE,"DSC";#N/A,#N/A,FALSE,"OPERAT";#N/A,#N/A,FALSE,"ADJUST";#N/A,#N/A,FALSE,"LEASE EXPIRE"}</definedName>
    <definedName name="fwelfweofhweo\" hidden="1">{#N/A,#N/A,FALSE,"WATCHDSC";#N/A,#N/A,FALSE,"2LOSSMOD";#N/A,#N/A,FALSE,"2LOSS";#N/A,#N/A,FALSE,"DSC";#N/A,#N/A,FALSE,"OPERAT";#N/A,#N/A,FALSE,"ADJUST";#N/A,#N/A,FALSE,"LEASE EXPIRE"}</definedName>
    <definedName name="fweuofhweofhoweh" localSheetId="5" hidden="1">{#N/A,#N/A,FALSE,"WATCHDSC";#N/A,#N/A,FALSE,"2LOSSMOD";#N/A,#N/A,FALSE,"2LOSS";#N/A,#N/A,FALSE,"DSC";#N/A,#N/A,FALSE,"OPERAT";#N/A,#N/A,FALSE,"ADJUST";#N/A,#N/A,FALSE,"LEASE EXPIRE"}</definedName>
    <definedName name="fweuofhweofhoweh" hidden="1">{#N/A,#N/A,FALSE,"WATCHDSC";#N/A,#N/A,FALSE,"2LOSSMOD";#N/A,#N/A,FALSE,"2LOSS";#N/A,#N/A,FALSE,"DSC";#N/A,#N/A,FALSE,"OPERAT";#N/A,#N/A,FALSE,"ADJUST";#N/A,#N/A,FALSE,"LEASE EXPIRE"}</definedName>
    <definedName name="gch" localSheetId="5" hidden="1">{#N/A,#N/A,FALSE,"Feasibility"}</definedName>
    <definedName name="gch" hidden="1">{#N/A,#N/A,FALSE,"Feasibility"}</definedName>
    <definedName name="gf" localSheetId="5" hidden="1">{#N/A,#N/A,FALSE,"Feasibility"}</definedName>
    <definedName name="gf" hidden="1">{#N/A,#N/A,FALSE,"Feasibility"}</definedName>
    <definedName name="gfk" localSheetId="5" hidden="1">{#N/A,#N/A,FALSE,"Feasibility"}</definedName>
    <definedName name="gfk" hidden="1">{#N/A,#N/A,FALSE,"Feasibility"}</definedName>
    <definedName name="gg" localSheetId="5" hidden="1">{#N/A,#N/A,FALSE,"PropertyInfo"}</definedName>
    <definedName name="gg" hidden="1">{#N/A,#N/A,FALSE,"PropertyInfo"}</definedName>
    <definedName name="ggg" localSheetId="5" hidden="1">{#N/A,#N/A,FALSE,"PropertyInfo"}</definedName>
    <definedName name="ggg" hidden="1">{#N/A,#N/A,FALSE,"PropertyInfo"}</definedName>
    <definedName name="gggg" localSheetId="5" hidden="1">{"ODB",#N/A,FALSE,"Hold Scenario"}</definedName>
    <definedName name="gggg" hidden="1">{"ODB",#N/A,FALSE,"Hold Scenario"}</definedName>
    <definedName name="gkjh" localSheetId="5" hidden="1">{#N/A,#N/A,FALSE,"Feasibility"}</definedName>
    <definedName name="gkjh" hidden="1">{#N/A,#N/A,FALSE,"Feasibility"}</definedName>
    <definedName name="graph" localSheetId="5" hidden="1">#REF!</definedName>
    <definedName name="graph" hidden="1">#REF!</definedName>
    <definedName name="gri" localSheetId="5" hidden="1">{#N/A,#N/A,FALSE,"WATCHDSC";#N/A,#N/A,FALSE,"2LOSSMOD";#N/A,#N/A,FALSE,"2LOSS";#N/A,#N/A,FALSE,"DSC";#N/A,#N/A,FALSE,"OPERAT";#N/A,#N/A,FALSE,"ADJUST";#N/A,#N/A,FALSE,"LEASE EXPIRE"}</definedName>
    <definedName name="gri" hidden="1">{#N/A,#N/A,FALSE,"WATCHDSC";#N/A,#N/A,FALSE,"2LOSSMOD";#N/A,#N/A,FALSE,"2LOSS";#N/A,#N/A,FALSE,"DSC";#N/A,#N/A,FALSE,"OPERAT";#N/A,#N/A,FALSE,"ADJUST";#N/A,#N/A,FALSE,"LEASE EXPIRE"}</definedName>
    <definedName name="hh" localSheetId="5" hidden="1">{#N/A,#N/A,FALSE,"Summary"}</definedName>
    <definedName name="hh" hidden="1">{#N/A,#N/A,FALSE,"Summary"}</definedName>
    <definedName name="hhh" localSheetId="5" hidden="1">{#N/A,#N/A,FALSE,"Summary"}</definedName>
    <definedName name="hhh" hidden="1">{#N/A,#N/A,FALSE,"Summary"}</definedName>
    <definedName name="hhhh" localSheetId="5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hhhh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hj" localSheetId="5" hidden="1">{#N/A,#N/A,FALSE,"Feasibility"}</definedName>
    <definedName name="hj" hidden="1">{#N/A,#N/A,FALSE,"Feasibility"}</definedName>
    <definedName name="hope" localSheetId="5" hidden="1">{#N/A,#N/A,FALSE,"LP Exp";#N/A,#N/A,FALSE,"Salary";#N/A,#N/A,FALSE,"Admin Exp";#N/A,#N/A,FALSE,"QTS Bud";#N/A,#N/A,FALSE,"Marketing"}</definedName>
    <definedName name="hope" hidden="1">{#N/A,#N/A,FALSE,"LP Exp";#N/A,#N/A,FALSE,"Salary";#N/A,#N/A,FALSE,"Admin Exp";#N/A,#N/A,FALSE,"QTS Bud";#N/A,#N/A,FALSE,"Marketing"}</definedName>
    <definedName name="hope_condo" localSheetId="5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sfdhs" localSheetId="5" hidden="1">#REF!</definedName>
    <definedName name="hsfdhs" hidden="1">#REF!</definedName>
    <definedName name="igj" localSheetId="5" hidden="1">{#N/A,#N/A,FALSE,"Feasibility"}</definedName>
    <definedName name="igj" hidden="1">{#N/A,#N/A,FALSE,"Feasibility"}</definedName>
    <definedName name="IntroPrintArea" localSheetId="5" hidden="1">#REF!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"c360"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P" hidden="1">"c8880"</definedName>
    <definedName name="IQ_EPS_AP_ABS" hidden="1">"c8899"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"c893"</definedName>
    <definedName name="IQ_FINANCING_CASH_SUPPL" hidden="1">"c899"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40442.8395486111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RETURN_ASSETS_FDIC" hidden="1">"c6731"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39620.4896296296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uhm" localSheetId="5" hidden="1">{"west1",#N/A,FALSE,"ParkplaceL";"WEST2",#N/A,FALSE,"ParkplaceL";"east1",#N/A,FALSE,"ParkplaceL";"east2",#N/A,FALSE,"ParkplaceL"}</definedName>
    <definedName name="iuhm" hidden="1">{"west1",#N/A,FALSE,"ParkplaceL";"WEST2",#N/A,FALSE,"ParkplaceL";"east1",#N/A,FALSE,"ParkplaceL";"east2",#N/A,FALSE,"ParkplaceL"}</definedName>
    <definedName name="iut" localSheetId="5" hidden="1">{#N/A,#N/A,FALSE,"Feasibility"}</definedName>
    <definedName name="iut" hidden="1">{#N/A,#N/A,FALSE,"Feasibility"}</definedName>
    <definedName name="jhbj" localSheetId="5" hidden="1">{#N/A,#N/A,FALSE,"Feasibility"}</definedName>
    <definedName name="jhbj" hidden="1">{#N/A,#N/A,FALSE,"Feasibility"}</definedName>
    <definedName name="JUNK" localSheetId="5" hidden="1">{"SCHEDULE",#N/A,FALSE,"Fin_sched"}</definedName>
    <definedName name="JUNK" hidden="1">{"SCHEDULE",#N/A,FALSE,"Fin_sched"}</definedName>
    <definedName name="Junk_condo" localSheetId="5" hidden="1">{"SCHEDULE",#N/A,FALSE,"Fin_sched"}</definedName>
    <definedName name="Junk_condo" hidden="1">{"SCHEDULE",#N/A,FALSE,"Fin_sched"}</definedName>
    <definedName name="JUNK2" localSheetId="5" hidden="1">{"SUMMARY",#N/A,FALSE,"Fin_sched"}</definedName>
    <definedName name="JUNK2" hidden="1">{"SUMMARY",#N/A,FALSE,"Fin_sched"}</definedName>
    <definedName name="K" localSheetId="5" hidden="1">#REF!</definedName>
    <definedName name="K" hidden="1">#REF!</definedName>
    <definedName name="kill" localSheetId="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h" localSheetId="5" hidden="1">{#N/A,#N/A,FALSE,"Feasibility"}</definedName>
    <definedName name="kjh" hidden="1">{#N/A,#N/A,FALSE,"Feasibility"}</definedName>
    <definedName name="kk" localSheetId="5" hidden="1">#REF!</definedName>
    <definedName name="kk" hidden="1">#REF!</definedName>
    <definedName name="ky" localSheetId="5" hidden="1">#REF!</definedName>
    <definedName name="ky" hidden="1">#REF!</definedName>
    <definedName name="kyd.ChngCell.01." localSheetId="5" hidden="1">#REF!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localSheetId="5" hidden="1">#REF!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ank" localSheetId="5" hidden="1">#REF!</definedName>
    <definedName name="lank" hidden="1">#REF!</definedName>
    <definedName name="limcount" hidden="1">1</definedName>
    <definedName name="lku" localSheetId="5" hidden="1">{"west1",#N/A,FALSE,"ParkplaceL";"WEST2",#N/A,FALSE,"ParkplaceL";"east1",#N/A,FALSE,"ParkplaceL";"east2",#N/A,FALSE,"ParkplaceL"}</definedName>
    <definedName name="lku" hidden="1">{"west1",#N/A,FALSE,"ParkplaceL";"WEST2",#N/A,FALSE,"ParkplaceL";"east1",#N/A,FALSE,"ParkplaceL";"east2",#N/A,FALSE,"ParkplaceL"}</definedName>
    <definedName name="ll" localSheetId="5" hidden="1">{#N/A,#N/A,TRUE,"Maritime Park Arena PCD";#N/A,#N/A,TRUE,"Maritime Park Arena IOR"}</definedName>
    <definedName name="ll" hidden="1">{#N/A,#N/A,TRUE,"Maritime Park Arena PCD";#N/A,#N/A,TRUE,"Maritime Park Arena IOR"}</definedName>
    <definedName name="lll" localSheetId="5" hidden="1">#REF!</definedName>
    <definedName name="lll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uvers" localSheetId="5" hidden="1">{#N/A,#N/A,TRUE,"Ericsson Stadium PCD ";#N/A,#N/A,TRUE,"Ericsson Stadium IOR"}</definedName>
    <definedName name="Louvers" hidden="1">{#N/A,#N/A,TRUE,"Ericsson Stadium PCD ";#N/A,#N/A,TRUE,"Ericsson Stadium IOR"}</definedName>
    <definedName name="Louversa" localSheetId="5" hidden="1">{#N/A,#N/A,TRUE,"Ericsson Stadium PCD ";#N/A,#N/A,TRUE,"Ericsson Stadium IOR"}</definedName>
    <definedName name="Louversa" hidden="1">{#N/A,#N/A,TRUE,"Ericsson Stadium PCD ";#N/A,#N/A,TRUE,"Ericsson Stadium IOR"}</definedName>
    <definedName name="masterblock">[1]RENTROLL!$M$2</definedName>
    <definedName name="masterlot">[1]RENTROLL!$M$3</definedName>
    <definedName name="mhg" localSheetId="5" hidden="1">{#N/A,#N/A,FALSE,"Feasibility"}</definedName>
    <definedName name="mhg" hidden="1">{#N/A,#N/A,FALSE,"Feasibility"}</definedName>
    <definedName name="new" localSheetId="5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oldkill" localSheetId="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pier90" localSheetId="5" hidden="1">{"excavation",#N/A,FALSE,"DETAIL.XLS"}</definedName>
    <definedName name="pier90" hidden="1">{"excavation",#N/A,FALSE,"DETAIL.XLS"}</definedName>
    <definedName name="platform" localSheetId="5" hidden="1">{#N/A,#N/A,TRUE,"Ericsson Stadium PCD ";#N/A,#N/A,TRUE,"Ericsson Stadium IOR"}</definedName>
    <definedName name="platform" hidden="1">{#N/A,#N/A,TRUE,"Ericsson Stadium PCD ";#N/A,#N/A,TRUE,"Ericsson Stadium IOR"}</definedName>
    <definedName name="platforma" localSheetId="5" hidden="1">{#N/A,#N/A,TRUE,"Ericsson Stadium PCD ";#N/A,#N/A,TRUE,"Ericsson Stadium IOR"}</definedName>
    <definedName name="platforma" hidden="1">{#N/A,#N/A,TRUE,"Ericsson Stadium PCD ";#N/A,#N/A,TRUE,"Ericsson Stadium IOR"}</definedName>
    <definedName name="PROPERTY">[1]RENTROLL!$H$1</definedName>
    <definedName name="RENT">#REF!</definedName>
    <definedName name="report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OOMS">[1]RENTROLL!$E$83</definedName>
    <definedName name="rt" hidden="1">#REF!</definedName>
    <definedName name="saa" localSheetId="5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s" localSheetId="5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dfass" localSheetId="5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sdf" localSheetId="5" hidden="1">{#N/A,#N/A,FALSE,"WATCHDSC";#N/A,#N/A,FALSE,"2LOSSMOD";#N/A,#N/A,FALSE,"2LOSS";#N/A,#N/A,FALSE,"DSC";#N/A,#N/A,FALSE,"OPERAT";#N/A,#N/A,FALSE,"ADJUST";#N/A,#N/A,FALSE,"LEASE EXPIRE"}</definedName>
    <definedName name="sdfsdf" hidden="1">{#N/A,#N/A,FALSE,"WATCHDSC";#N/A,#N/A,FALSE,"2LOSSMOD";#N/A,#N/A,FALSE,"2LOSS";#N/A,#N/A,FALSE,"DSC";#N/A,#N/A,FALSE,"OPERAT";#N/A,#N/A,FALSE,"ADJUST";#N/A,#N/A,FALSE,"LEASE EXPIRE"}</definedName>
    <definedName name="sdkvgwjkfhfwk" localSheetId="5" hidden="1">{#N/A,#N/A,FALSE,"WATCHDSC";#N/A,#N/A,FALSE,"2LOSSMOD";#N/A,#N/A,FALSE,"2LOSS";#N/A,#N/A,FALSE,"DSC";#N/A,#N/A,FALSE,"OPERAT";#N/A,#N/A,FALSE,"ADJUST";#N/A,#N/A,FALSE,"LEASE EXPIRE"}</definedName>
    <definedName name="sdkvgwjkfhfwk" hidden="1">{#N/A,#N/A,FALSE,"WATCHDSC";#N/A,#N/A,FALSE,"2LOSSMOD";#N/A,#N/A,FALSE,"2LOSS";#N/A,#N/A,FALSE,"DSC";#N/A,#N/A,FALSE,"OPERAT";#N/A,#N/A,FALSE,"ADJUST";#N/A,#N/A,FALSE,"LEASE EXPIRE"}</definedName>
    <definedName name="sencount" hidden="1">1</definedName>
    <definedName name="SGFWEGFWGFW" localSheetId="5" hidden="1">{#N/A,#N/A,FALSE,"WATCHDSC";#N/A,#N/A,FALSE,"2LOSSMOD";#N/A,#N/A,FALSE,"2LOSS";#N/A,#N/A,FALSE,"DSC";#N/A,#N/A,FALSE,"OPERAT";#N/A,#N/A,FALSE,"ADJUST";#N/A,#N/A,FALSE,"LEASE EXPIRE"}</definedName>
    <definedName name="SGFWEGFWGFW" hidden="1">{#N/A,#N/A,FALSE,"WATCHDSC";#N/A,#N/A,FALSE,"2LOSSMOD";#N/A,#N/A,FALSE,"2LOSS";#N/A,#N/A,FALSE,"DSC";#N/A,#N/A,FALSE,"OPERAT";#N/A,#N/A,FALSE,"ADJUST";#N/A,#N/A,FALSE,"LEASE EXPIRE"}</definedName>
    <definedName name="st" hidden="1">#REF!</definedName>
    <definedName name="Stadium" localSheetId="5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5" hidden="1">{#N/A,#N/A,TRUE,"Ericsson Stadium PCD ";#N/A,#N/A,TRUE,"Ericsson Stadium IOR"}</definedName>
    <definedName name="stadiuma" hidden="1">{#N/A,#N/A,TRUE,"Ericsson Stadium PCD ";#N/A,#N/A,TRUE,"Ericsson Stadium IOR"}</definedName>
    <definedName name="tch" localSheetId="5" hidden="1">{#N/A,#N/A,FALSE,"Feasibility"}</definedName>
    <definedName name="tch" hidden="1">{#N/A,#N/A,FALSE,"Feasibility"}</definedName>
    <definedName name="tes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2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4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rial" localSheetId="5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ttt" localSheetId="5" hidden="1">#REF!</definedName>
    <definedName name="ttt" hidden="1">#REF!</definedName>
    <definedName name="unknown" localSheetId="5" hidden="1">{"west1",#N/A,FALSE,"ParkplaceL";"WEST2",#N/A,FALSE,"ParkplaceL";"east1",#N/A,FALSE,"ParkplaceL";"east2",#N/A,FALSE,"ParkplaceL"}</definedName>
    <definedName name="unknown" hidden="1">{"west1",#N/A,FALSE,"ParkplaceL";"WEST2",#N/A,FALSE,"ParkplaceL";"east1",#N/A,FALSE,"ParkplaceL";"east2",#N/A,FALSE,"ParkplaceL"}</definedName>
    <definedName name="uyh" localSheetId="5" hidden="1">{#N/A,#N/A,FALSE,"Feasibility"}</definedName>
    <definedName name="uyh" hidden="1">{#N/A,#N/A,FALSE,"Feasibility"}</definedName>
    <definedName name="vsdnklgwdl" localSheetId="5" hidden="1">{#N/A,#N/A,FALSE,"WATCHDSC";#N/A,#N/A,FALSE,"2LOSSMOD";#N/A,#N/A,FALSE,"2LOSS";#N/A,#N/A,FALSE,"DSC";#N/A,#N/A,FALSE,"OPERAT";#N/A,#N/A,FALSE,"ADJUST";#N/A,#N/A,FALSE,"LEASE EXPIRE"}</definedName>
    <definedName name="vsdnklgwdl" hidden="1">{#N/A,#N/A,FALSE,"WATCHDSC";#N/A,#N/A,FALSE,"2LOSSMOD";#N/A,#N/A,FALSE,"2LOSS";#N/A,#N/A,FALSE,"DSC";#N/A,#N/A,FALSE,"OPERAT";#N/A,#N/A,FALSE,"ADJUST";#N/A,#N/A,FALSE,"LEASE EXPIRE"}</definedName>
    <definedName name="vv" localSheetId="5" hidden="1">#REF!</definedName>
    <definedName name="vv" hidden="1">#REF!</definedName>
    <definedName name="w" localSheetId="5" hidden="1">#REF!</definedName>
    <definedName name="w" hidden="1">#REF!</definedName>
    <definedName name="weiofhweofhweo" localSheetId="5" hidden="1">{#N/A,#N/A,FALSE,"WATCHDSC";#N/A,#N/A,FALSE,"2LOSSMOD";#N/A,#N/A,FALSE,"2LOSS";#N/A,#N/A,FALSE,"DSC";#N/A,#N/A,FALSE,"OPERAT";#N/A,#N/A,FALSE,"ADJUST";#N/A,#N/A,FALSE,"LEASE EXPIRE"}</definedName>
    <definedName name="weiofhweofhweo" hidden="1">{#N/A,#N/A,FALSE,"WATCHDSC";#N/A,#N/A,FALSE,"2LOSSMOD";#N/A,#N/A,FALSE,"2LOSS";#N/A,#N/A,FALSE,"DSC";#N/A,#N/A,FALSE,"OPERAT";#N/A,#N/A,FALSE,"ADJUST";#N/A,#N/A,FALSE,"LEASE EXPIRE"}</definedName>
    <definedName name="weofhweofhowe" localSheetId="5" hidden="1">{#N/A,#N/A,FALSE,"WATCHDSC";#N/A,#N/A,FALSE,"2LOSSMOD";#N/A,#N/A,FALSE,"2LOSS";#N/A,#N/A,FALSE,"DSC";#N/A,#N/A,FALSE,"OPERAT";#N/A,#N/A,FALSE,"ADJUST";#N/A,#N/A,FALSE,"LEASE EXPIRE"}</definedName>
    <definedName name="weofhweofhowe" hidden="1">{#N/A,#N/A,FALSE,"WATCHDSC";#N/A,#N/A,FALSE,"2LOSSMOD";#N/A,#N/A,FALSE,"2LOSS";#N/A,#N/A,FALSE,"DSC";#N/A,#N/A,FALSE,"OPERAT";#N/A,#N/A,FALSE,"ADJUST";#N/A,#N/A,FALSE,"LEASE EXPIRE"}</definedName>
    <definedName name="weofhweofoweh" localSheetId="5" hidden="1">{#N/A,#N/A,FALSE,"WATCHDSC";#N/A,#N/A,FALSE,"2LOSSMOD";#N/A,#N/A,FALSE,"2LOSS";#N/A,#N/A,FALSE,"DSC";#N/A,#N/A,FALSE,"OPERAT";#N/A,#N/A,FALSE,"ADJUST";#N/A,#N/A,FALSE,"LEASE EXPIRE"}</definedName>
    <definedName name="weofhweofoweh" hidden="1">{#N/A,#N/A,FALSE,"WATCHDSC";#N/A,#N/A,FALSE,"2LOSSMOD";#N/A,#N/A,FALSE,"2LOSS";#N/A,#N/A,FALSE,"DSC";#N/A,#N/A,FALSE,"OPERAT";#N/A,#N/A,FALSE,"ADJUST";#N/A,#N/A,FALSE,"LEASE EXPIRE"}</definedName>
    <definedName name="WGFWEGGWE" localSheetId="5" hidden="1">{#N/A,#N/A,FALSE,"WATCHDSC";#N/A,#N/A,FALSE,"2LOSSMOD";#N/A,#N/A,FALSE,"2LOSS";#N/A,#N/A,FALSE,"DSC";#N/A,#N/A,FALSE,"OPERAT";#N/A,#N/A,FALSE,"ADJUST";#N/A,#N/A,FALSE,"LEASE EXPIRE"}</definedName>
    <definedName name="WGFWEGGWE" hidden="1">{#N/A,#N/A,FALSE,"WATCHDSC";#N/A,#N/A,FALSE,"2LOSSMOD";#N/A,#N/A,FALSE,"2LOSS";#N/A,#N/A,FALSE,"DSC";#N/A,#N/A,FALSE,"OPERAT";#N/A,#N/A,FALSE,"ADJUST";#N/A,#N/A,FALSE,"LEASE EXPIRE"}</definedName>
    <definedName name="Whatever" localSheetId="5" hidden="1">#REF!</definedName>
    <definedName name="Whatever" hidden="1">#REF!</definedName>
    <definedName name="wrn.10._.Year._.Analysis." localSheetId="5" hidden="1">{"Data Input",#N/A,TRUE,"Data Input";"10-Yr Cash Flow",#N/A,TRUE,"Cash Flow";"10-Yr Value",#N/A,TRUE,"Value "}</definedName>
    <definedName name="wrn.10._.Year._.Analysis." hidden="1">{"Data Input",#N/A,TRUE,"Data Input";"10-Yr Cash Flow",#N/A,TRUE,"Cash Flow";"10-Yr Value",#N/A,TRUE,"Value "}</definedName>
    <definedName name="wrn.12._.MONTH._.SPREAD." localSheetId="5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5._.Year._.Analysis." localSheetId="5" hidden="1">{"Data Input",#N/A,TRUE,"Data Input";"15-Yr Cash Flow",#N/A,TRUE,"Cash Flow";"15-Yr Value",#N/A,TRUE,"Value "}</definedName>
    <definedName name="wrn.15._.Year._.Analysis." hidden="1">{"Data Input",#N/A,TRUE,"Data Input";"15-Yr Cash Flow",#N/A,TRUE,"Cash Flow";"15-Yr Value",#N/A,TRUE,"Value "}</definedName>
    <definedName name="wrn.399." localSheetId="5" hidden="1">{#N/A,#N/A,FALSE,"A";#N/A,#N/A,FALSE,"C"}</definedName>
    <definedName name="wrn.399." hidden="1">{#N/A,#N/A,FALSE,"A";#N/A,#N/A,FALSE,"C"}</definedName>
    <definedName name="wrn.98ESC." localSheetId="5" hidden="1">{#N/A,#N/A,FALSE,"ope";#N/A,#N/A,FALSE,"ret";#N/A,#N/A,FALSE,"expenses";#N/A,#N/A,FALSE,"BankExpenses";#N/A,#N/A,FALSE,"TennExpenses";#N/A,#N/A,FALSE,"Occupancy"}</definedName>
    <definedName name="wrn.98ESC." hidden="1">{#N/A,#N/A,FALSE,"ope";#N/A,#N/A,FALSE,"ret";#N/A,#N/A,FALSE,"expenses";#N/A,#N/A,FALSE,"BankExpenses";#N/A,#N/A,FALSE,"TennExpenses";#N/A,#N/A,FALSE,"Occupancy"}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5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_.Inputs." localSheetId="5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PAGES." localSheetId="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Schedules." localSheetId="5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nnualRentRoll." localSheetId="5" hidden="1">{"AnnualRentRoll",#N/A,FALSE,"RentRoll"}</definedName>
    <definedName name="wrn.AnnualRentRoll." hidden="1">{"AnnualRentRoll",#N/A,FALSE,"RentRoll"}</definedName>
    <definedName name="wrn.Appraisal." localSheetId="5" hidden="1">{#N/A,#N/A,FALSE,"APPRAISAL";#N/A,#N/A,FALSE,"APPRAISAL 2";#N/A,#N/A,FALSE,"APPRAISAL 3"}</definedName>
    <definedName name="wrn.Appraisal." hidden="1">{#N/A,#N/A,FALSE,"APPRAISAL";#N/A,#N/A,FALSE,"APPRAISAL 2";#N/A,#N/A,FALSE,"APPRAISAL 3"}</definedName>
    <definedName name="wrn.Appraisal._.2." localSheetId="5" hidden="1">{#N/A,#N/A,FALSE,"Appraisal 2"}</definedName>
    <definedName name="wrn.Appraisal._.2." hidden="1">{#N/A,#N/A,FALSE,"Appraisal 2"}</definedName>
    <definedName name="wrn.Appraisal._.3." localSheetId="5" hidden="1">{#N/A,#N/A,FALSE,"Appraisal 3"}</definedName>
    <definedName name="wrn.Appraisal._.3." hidden="1">{#N/A,#N/A,FALSE,"Appraisal 3"}</definedName>
    <definedName name="wrn.Arena._.PCD." localSheetId="5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bankrep." localSheetId="5" hidden="1">{#N/A,#N/A,FALSE,"ExecSum";#N/A,#N/A,FALSE,"Summary";#N/A,#N/A,FALSE,"Budget";#N/A,#N/A,FALSE,"CashFlow"}</definedName>
    <definedName name="wrn.bankrep." hidden="1">{#N/A,#N/A,FALSE,"ExecSum";#N/A,#N/A,FALSE,"Summary";#N/A,#N/A,FALSE,"Budget";#N/A,#N/A,FALSE,"CashFlow"}</definedName>
    <definedName name="wrn.BaseYearDemand." localSheetId="5" hidden="1">{"Base Year Demand",#N/A,FALSE,"Demand-Base Year"}</definedName>
    <definedName name="wrn.BaseYearDemand." hidden="1">{"Base Year Demand",#N/A,FALSE,"Demand-Base Year"}</definedName>
    <definedName name="wrn.BlackWhite." localSheetId="5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5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5" hidden="1">{#N/A,#N/A,FALSE}</definedName>
    <definedName name="wrn.bleu4." hidden="1">{#N/A,#N/A,FALSE}</definedName>
    <definedName name="wrn.Blue._.Book._.Sections." localSheetId="5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th._.Outputs." localSheetId="5" hidden="1">{"LTV Output",#N/A,FALSE,"Output";"DCR Output",#N/A,FALSE,"Output"}</definedName>
    <definedName name="wrn.Both._.Outputs." hidden="1">{"LTV Output",#N/A,FALSE,"Output";"DCR Output",#N/A,FALSE,"Output"}</definedName>
    <definedName name="wrn.CAPREIT." localSheetId="5" hidden="1">{#N/A,#N/A,FALSE,"CAPREIT"}</definedName>
    <definedName name="wrn.CAPREIT." hidden="1">{#N/A,#N/A,FALSE,"CAPREIT"}</definedName>
    <definedName name="wrn.CAPREIT2" localSheetId="5" hidden="1">{#N/A,#N/A,FALSE,"CAPREIT"}</definedName>
    <definedName name="wrn.CAPREIT2" hidden="1">{#N/A,#N/A,FALSE,"CAPREIT"}</definedName>
    <definedName name="wrn.Cash._.Flow._.Analysis." localSheetId="5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localSheetId="5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S._.ONLY." localSheetId="5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CC." localSheetId="5" hidden="1">{#N/A,#N/A,FALSE,"A";#N/A,#N/A,FALSE,"B"}</definedName>
    <definedName name="wrn.CCC." hidden="1">{#N/A,#N/A,FALSE,"A";#N/A,#N/A,FALSE,"B"}</definedName>
    <definedName name="wrn.CCC._.OPEX." localSheetId="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heck." localSheetId="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OMPLETE." localSheetId="5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wrn.COMPLETE.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wrn.Complete._.Review." localSheetId="5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trol._.Sheet." localSheetId="5" hidden="1">{#N/A,#N/A,FALSE,"CONTROL"}</definedName>
    <definedName name="wrn.Control._.Sheet." hidden="1">{#N/A,#N/A,FALSE,"CONTROL"}</definedName>
    <definedName name="wrn.Control_A." localSheetId="5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st." localSheetId="5" hidden="1">{#N/A,#N/A,FALSE,"Feasibility"}</definedName>
    <definedName name="wrn.Cost." hidden="1">{#N/A,#N/A,FALSE,"Feasibility"}</definedName>
    <definedName name="wrn.Credit._.Summary." localSheetId="5" hidden="1">{#N/A,#N/A,FALSE,"CREDIT"}</definedName>
    <definedName name="wrn.Credit._.Summary." hidden="1">{#N/A,#N/A,FALSE,"CREDIT"}</definedName>
    <definedName name="wrn.cssa." localSheetId="5" hidden="1">{#N/A,#N/A,FALSE,"WATCHDSC";#N/A,#N/A,FALSE,"2LOSSMOD";#N/A,#N/A,FALSE,"2LOSS";#N/A,#N/A,FALSE,"DSC";#N/A,#N/A,FALSE,"OPERAT";#N/A,#N/A,FALSE,"ADJUST";#N/A,#N/A,FALSE,"LEASE EXPIRE"}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trl._.A._.Annually." localSheetId="5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Quarterly." localSheetId="5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localSheetId="5" hidden="1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name="wrn.Ctrl._.M." hidden="1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localSheetId="5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localSheetId="5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data." localSheetId="5" hidden="1">{"data",#N/A,FALSE,"INPUT"}</definedName>
    <definedName name="wrn.data." hidden="1">{"data",#N/A,FALSE,"INPUT"}</definedName>
    <definedName name="wrn.data5" localSheetId="5" hidden="1">{"data",#N/A,FALSE,"INPUT"}</definedName>
    <definedName name="wrn.data5" hidden="1">{"data",#N/A,FALSE,"INPUT"}</definedName>
    <definedName name="wrn.DCR._.Output." localSheetId="5" hidden="1">{"DCR Output",#N/A,FALSE,"Output"}</definedName>
    <definedName name="wrn.DCR._.Output." hidden="1">{"DCR Output",#N/A,FALSE,"Output"}</definedName>
    <definedName name="wrn.Demand._.Calcs." localSheetId="5" hidden="1">{#N/A,#N/A,FALSE,"Demand Calcs"}</definedName>
    <definedName name="wrn.Demand._.Calcs." hidden="1">{#N/A,#N/A,FALSE,"Demand Calcs"}</definedName>
    <definedName name="wrn.Demand._.Inputs." localSheetId="5" hidden="1">{#N/A,#N/A,FALSE,"Demand Inputs"}</definedName>
    <definedName name="wrn.Demand._.Inputs." hidden="1">{#N/A,#N/A,FALSE,"Demand Inputs"}</definedName>
    <definedName name="wrn.Engineering." localSheetId="5" hidden="1">{#N/A,#N/A,FALSE,"ENGINEERING"}</definedName>
    <definedName name="wrn.Engineering." hidden="1">{#N/A,#N/A,FALSE,"ENGINEERING"}</definedName>
    <definedName name="wrn.Environmental." localSheetId="5" hidden="1">{#N/A,#N/A,FALSE,"ENVIRONMENTAL"}</definedName>
    <definedName name="wrn.Environmental." hidden="1">{#N/A,#N/A,FALSE,"ENVIRONMENTAL"}</definedName>
    <definedName name="wrn.Excavation." localSheetId="5" hidden="1">{"excavation",#N/A,FALSE,"DETAIL.XLS"}</definedName>
    <definedName name="wrn.Excavation." hidden="1">{"excavation",#N/A,FALSE,"DETAIL.XLS"}</definedName>
    <definedName name="wrn.Exec._.Summary." localSheetId="5" hidden="1">{#N/A,#N/A,FALSE,"Index"}</definedName>
    <definedName name="wrn.Exec._.Summary." hidden="1">{#N/A,#N/A,FALSE,"Index"}</definedName>
    <definedName name="wrn.ExitAndSalesAssumptions." localSheetId="5" hidden="1">{#N/A,#N/A,FALSE,"ExitStratigy"}</definedName>
    <definedName name="wrn.ExitAndSalesAssumptions." hidden="1">{#N/A,#N/A,FALSE,"ExitStratigy"}</definedName>
    <definedName name="wrn.EXPENSE." localSheetId="5" hidden="1">{#N/A,#N/A,FALSE,"Common Area Accrual";#N/A,#N/A,FALSE,"Unit One LaSalle";#N/A,#N/A,FALSE,"Unit One CW";#N/A,#N/A,FALSE,"Unit One LaSallle + C &amp; W";#N/A,#N/A,FALSE,"Consolidated Accrual"}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localSheetId="5" hidden="1">{#N/A,#N/A,FALSE,"Common Area Accrual";#N/A,#N/A,FALSE,"Unit One LaSalle";#N/A,#N/A,FALSE,"Unit One CW";#N/A,#N/A,FALSE,"Unit One LaSalle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terior._.Wall." localSheetId="5" hidden="1">{#N/A,#N/A,FALSE,"Paramters";"print range",#N/A,FALSE,"GSF.XLS";"exterior wall",#N/A,FALSE,"DETAIL.XLS"}</definedName>
    <definedName name="wrn.Exterior._.Wall." hidden="1">{#N/A,#N/A,FALSE,"Paramters";"print range",#N/A,FALSE,"GSF.XLS";"exterior wall",#N/A,FALSE,"DETAIL.XLS"}</definedName>
    <definedName name="wrn.Fair._.Share._.Calcs." localSheetId="5" hidden="1">{#N/A,#N/A,FALSE,"Fair Share"}</definedName>
    <definedName name="wrn.Fair._.Share._.Calcs." hidden="1">{#N/A,#N/A,FALSE,"Fair Share"}</definedName>
    <definedName name="wrn.Final._.Output." localSheetId="5" hidden="1">{#N/A,#N/A,FALSE,"Final Output"}</definedName>
    <definedName name="wrn.Final._.Output." hidden="1">{#N/A,#N/A,FALSE,"Final Output"}</definedName>
    <definedName name="wrn.Full._.Print." localSheetId="5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Print.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Report." localSheetId="5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arage." localSheetId="5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SA._.PRINT." localSheetId="5" hidden="1">{#N/A,#N/A,FALSE,"DEV COSTS";#N/A,#N/A,FALSE,"10-YR C. F."}</definedName>
    <definedName name="wrn.GSA._.PRINT." hidden="1">{#N/A,#N/A,FALSE,"DEV COSTS";#N/A,#N/A,FALSE,"10-YR C. F."}</definedName>
    <definedName name="wrn.gsa._PRINT5" localSheetId="5" hidden="1">{#N/A,#N/A,FALSE,"DEV COSTS";#N/A,#N/A,FALSE,"10-YR C. F."}</definedName>
    <definedName name="wrn.gsa._PRINT5" hidden="1">{#N/A,#N/A,FALSE,"DEV COSTS";#N/A,#N/A,FALSE,"10-YR C. F."}</definedName>
    <definedName name="wrn.Gund._.Arena._.PCD." localSheetId="5" hidden="1">{#N/A,#N/A,TRUE,"Gund Arena PCD";#N/A,#N/A,TRUE,"Gund Arena IOR"}</definedName>
    <definedName name="wrn.Gund._.Arena._.PCD." hidden="1">{#N/A,#N/A,TRUE,"Gund Arena PCD";#N/A,#N/A,TRUE,"Gund Arena IOR"}</definedName>
    <definedName name="wrn.Historical._.Rev._.Exp." localSheetId="5" hidden="1">{#N/A,#N/A,FALSE,"Historical Rev &amp; Exp"}</definedName>
    <definedName name="wrn.Historical._.Rev._.Exp." hidden="1">{#N/A,#N/A,FALSE,"Historical Rev &amp; Exp"}</definedName>
    <definedName name="wrn.INCEXP." localSheetId="5" hidden="1">{"Actual &amp; Proforma",#N/A,FALSE,"INCEXP";"Assumptions",#N/A,FALSE,"INCEXP"}</definedName>
    <definedName name="wrn.INCEXP." hidden="1">{"Actual &amp; Proforma",#N/A,FALSE,"INCEXP";"Assumptions",#N/A,FALSE,"INCEXP"}</definedName>
    <definedName name="wrn.Income._.Statements." localSheetId="5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localSheetId="5" hidden="1">{#N/A,#N/A,FALSE,"INDEX"}</definedName>
    <definedName name="wrn.Index." hidden="1">{#N/A,#N/A,FALSE,"INDEX"}</definedName>
    <definedName name="wrn.Inputs." localSheetId="5" hidden="1">{"Inflation-BaseYear",#N/A,FALSE,"Inputs"}</definedName>
    <definedName name="wrn.Inputs." hidden="1">{"Inflation-BaseYear",#N/A,FALSE,"Inputs"}</definedName>
    <definedName name="wrn.Interest." localSheetId="5" hidden="1">{#N/A,#N/A,FALSE,"Feasibility"}</definedName>
    <definedName name="wrn.Interest." hidden="1">{#N/A,#N/A,FALSE,"Feasibility"}</definedName>
    <definedName name="wrn.Interior._.finishes." localSheetId="5" hidden="1">{"interior finishes",#N/A,FALSE,"DETAIL.XLS"}</definedName>
    <definedName name="wrn.Interior._.finishes." hidden="1">{"interior finishes",#N/A,FALSE,"DETAIL.XLS"}</definedName>
    <definedName name="wrn.Investment._.Review." localSheetId="5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Latent._.Demand._.Inputs." localSheetId="5" hidden="1">{#N/A,#N/A,FALSE,"Latent"}</definedName>
    <definedName name="wrn.Latent._.Demand._.Inputs." hidden="1">{#N/A,#N/A,FALSE,"Latent"}</definedName>
    <definedName name="wrn.Lease._.Rollover." localSheetId="5" hidden="1">{#N/A,#N/A,FALSE,"Lease Rollover"}</definedName>
    <definedName name="wrn.Lease._.Rollover." hidden="1">{#N/A,#N/A,FALSE,"Lease Rollover"}</definedName>
    <definedName name="wrn.Loan._.Pricing._.Analysis." localSheetId="5" hidden="1">{#N/A,#N/A,FALSE,"LOAN ANALYSIS"}</definedName>
    <definedName name="wrn.Loan._.Pricing._.Analysis." hidden="1">{#N/A,#N/A,FALSE,"LOAN ANALYSIS"}</definedName>
    <definedName name="wrn.LoanInformation." localSheetId="5" hidden="1">{#N/A,#N/A,FALSE,"LoanAssumptions"}</definedName>
    <definedName name="wrn.LoanInformation." hidden="1">{#N/A,#N/A,FALSE,"LoanAssumptions"}</definedName>
    <definedName name="wrn.LTV._.Output." localSheetId="5" hidden="1">{"LTV Output",#N/A,FALSE,"Output"}</definedName>
    <definedName name="wrn.LTV._.Output." hidden="1">{"LTV Output",#N/A,FALSE,"Output"}</definedName>
    <definedName name="wrn.Market._.Values." localSheetId="5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TRICES._.and._.CFs." localSheetId="5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5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ODEL.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localSheetId="5" hidden="1">{"MonthlyRentRoll",#N/A,FALSE,"RentRoll"}</definedName>
    <definedName name="wrn.MonthlyRentRoll." hidden="1">{"MonthlyRentRoll",#N/A,FALSE,"RentRoll"}</definedName>
    <definedName name="wrn.Mortgage._.Loan._.Sch." localSheetId="5" hidden="1">{#N/A,#N/A,FALSE,"Mortgage Loan Sch"}</definedName>
    <definedName name="wrn.Mortgage._.Loan._.Sch." hidden="1">{#N/A,#N/A,FALSE,"Mortgage Loan Sch"}</definedName>
    <definedName name="wrn.new._.report." localSheetId="5" hidden="1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name="wrn.new._.report." hidden="1">{#N/A,#N/A,FALSE,"PROJECT BUDET";#N/A,#N/A,FALSE,"page 8";#N/A,#N/A,FALSE,"page 9";"page 1",#N/A,FALSE,"page 11,12,13,14";"page 2",#N/A,FALSE,"page 11,12,13,14";"page 3",#N/A,FALSE,"page 11,12,13,14";"page 4",#N/A,FALSE,"page 11,12,13,14";#N/A,#N/A,FALSE,"page 10";#N/A,#N/A,FALSE,"PAGE 18 &amp; 19";"PAGE15",#N/A,FALSE,"page 15,16,17";"PAGE16",#N/A,FALSE,"page 15,16,17";"PAGE17",#N/A,FALSE,"page 15,16,17";"PAGE18",#N/A,FALSE,"page 15,16,17";#N/A,#N/A,FALSE,"page 20";#N/A,#N/A,FALSE,"page 21";#N/A,#N/A,FALSE,"page 22";#N/A,#N/A,FALSE,"page 23";#N/A,#N/A,FALSE,"page 24";#N/A,#N/A,FALSE,"page 25";#N/A,#N/A,FALSE,"page 26";#N/A,#N/A,FALSE,"page 27";#N/A,#N/A,FALSE,"page 28";#N/A,#N/A,FALSE,"page 29";#N/A,#N/A,FALSE,"page 30";#N/A,#N/A,FALSE,"page 31"}</definedName>
    <definedName name="wrn.Occupancy._.Calcs." localSheetId="5" hidden="1">{#N/A,#N/A,FALSE,"Occ. Calcs"}</definedName>
    <definedName name="wrn.Occupancy._.Calcs." hidden="1">{#N/A,#N/A,FALSE,"Occ. Calcs"}</definedName>
    <definedName name="wrn.ODB." localSheetId="5" hidden="1">{"ODB",#N/A,FALSE,"Hold Scenario"}</definedName>
    <definedName name="wrn.ODB." hidden="1">{"ODB",#N/A,FALSE,"Hold Scenario"}</definedName>
    <definedName name="wrn.office." localSheetId="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5" hidden="1">{#N/A,#N/A,FALSE,"LP Exp";#N/A,#N/A,FALSE,"Salary";#N/A,#N/A,FALSE,"Admin Exp";#N/A,#N/A,FALSE,"QTS Bud";#N/A,#N/A,FALSE,"Marketing"}</definedName>
    <definedName name="wrn.OFFICE._.BUDGET." hidden="1">{#N/A,#N/A,FALSE,"LP Exp";#N/A,#N/A,FALSE,"Salary";#N/A,#N/A,FALSE,"Admin Exp";#N/A,#N/A,FALSE,"QTS Bud";#N/A,#N/A,FALSE,"Marketing"}</definedName>
    <definedName name="wrn.Operating." localSheetId="5" hidden="1">{#N/A,#N/A,FALSE,"Feasibility"}</definedName>
    <definedName name="wrn.Operating." hidden="1">{#N/A,#N/A,FALSE,"Feasibility"}</definedName>
    <definedName name="wrn.OperatingAssumtions." localSheetId="5" hidden="1">{#N/A,#N/A,FALSE,"OperatingAssumptions"}</definedName>
    <definedName name="wrn.OperatingAssumtions." hidden="1">{#N/A,#N/A,FALSE,"OperatingAssumptions"}</definedName>
    <definedName name="wrn.Operations._.Review." localSheetId="5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." localSheetId="5" hidden="1">{#N/A,#N/A,TRUE,"Cover";#N/A,#N/A,TRUE,"Summary";#N/A,#N/A,TRUE,"Assumptions";#N/A,#N/A,TRUE,"Stack";#N/A,#N/A,TRUE,"Budget";#N/A,#N/A,TRUE,"Condo Summary";#N/A,#N/A,TRUE,"Sellout Summary"}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localSheetId="5" hidden="1">{"Output-3Column",#N/A,FALSE,"Output"}</definedName>
    <definedName name="wrn.Output3Column." hidden="1">{"Output-3Column",#N/A,FALSE,"Output"}</definedName>
    <definedName name="wrn.OutputAll." localSheetId="5" hidden="1">{"Output-All",#N/A,FALSE,"Output"}</definedName>
    <definedName name="wrn.OutputAll." hidden="1">{"Output-All",#N/A,FALSE,"Output"}</definedName>
    <definedName name="wrn.OutputBaseYear." localSheetId="5" hidden="1">{"Output-BaseYear",#N/A,FALSE,"Output"}</definedName>
    <definedName name="wrn.OutputBaseYear." hidden="1">{"Output-BaseYear",#N/A,FALSE,"Output"}</definedName>
    <definedName name="wrn.OutputMin." localSheetId="5" hidden="1">{"Output-Min",#N/A,FALSE,"Output"}</definedName>
    <definedName name="wrn.OutputMin." hidden="1">{"Output-Min",#N/A,FALSE,"Output"}</definedName>
    <definedName name="wrn.OutputPercent." localSheetId="5" hidden="1">{"Output%",#N/A,FALSE,"Output"}</definedName>
    <definedName name="wrn.OutputPercent." hidden="1">{"Output%",#N/A,FALSE,"Output"}</definedName>
    <definedName name="wrn.outputr1a" localSheetId="5" hidden="1">{#N/A,#N/A,TRUE,"Cover";#N/A,#N/A,TRUE,"Summary";#N/A,#N/A,TRUE,"Assumptions";#N/A,#N/A,TRUE,"Stack";#N/A,#N/A,TRUE,"Budget";#N/A,#N/A,TRUE,"Condo Summary";#N/A,#N/A,TRUE,"Sellout Summary"}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localSheetId="5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PACKAGE." localSheetId="5" hidden="1">{#N/A,#N/A,TRUE,"COVER";#N/A,#N/A,TRUE,"PROFORMA";#N/A,#N/A,TRUE,"Construction CF";#N/A,#N/A,TRUE,"CASHFLOW"}</definedName>
    <definedName name="wrn.PACKAGE." hidden="1">{#N/A,#N/A,TRUE,"COVER";#N/A,#N/A,TRUE,"PROFORMA";#N/A,#N/A,TRUE,"Construction CF";#N/A,#N/A,TRUE,"CASHFLOW"}</definedName>
    <definedName name="wrn.Penetration." localSheetId="5" hidden="1">{#N/A,#N/A,FALSE,"Mkt Pen"}</definedName>
    <definedName name="wrn.Penetration." hidden="1">{#N/A,#N/A,FALSE,"Mkt Pen"}</definedName>
    <definedName name="wrn.Phase._.I." localSheetId="5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K._.Variance." localSheetId="5" hidden="1">{#N/A,#N/A,FALSE,"399 Park Var";#N/A,#N/A,FALSE,"PK NOTES"}</definedName>
    <definedName name="wrn.PK._.Variance." hidden="1">{#N/A,#N/A,FALSE,"399 Park Var";#N/A,#N/A,FALSE,"PK NOTES"}</definedName>
    <definedName name="wrn.Plan." localSheetId="5" hidden="1">{#N/A,#N/A,FALSE,"Highridge Return Analysis";#N/A,#N/A,FALSE,"Sale @ end of year 3 (4yr Plan)";#N/A,#N/A,FALSE,"Highridge Assumption Page"}</definedName>
    <definedName name="wrn.Plan." hidden="1">{#N/A,#N/A,FALSE,"Highridge Return Analysis";#N/A,#N/A,FALSE,"Sale @ end of year 3 (4yr Plan)";#N/A,#N/A,FALSE,"Highridge Assumption Page"}</definedName>
    <definedName name="wrn.Presentation." localSheetId="5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mary._.Competition." localSheetId="5" hidden="1">{#N/A,#N/A,FALSE,"Primary"}</definedName>
    <definedName name="wrn.Primary._.Competition." hidden="1">{#N/A,#N/A,FALSE,"Primary"}</definedName>
    <definedName name="wrn.Print." localSheetId="5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_.4." localSheetId="5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5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localSheetId="5" hidden="1">{#N/A,#N/A,FALSE,"Expense Detail ";#N/A,#N/A,FALSE,"Worksheet";#N/A,#N/A,FALSE,"Audit";#N/A,#N/A,FALSE,"Exclusions";#N/A,#N/A,FALSE,"Variance";#N/A,#N/A,FALSE,"Reconciliation"}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2." localSheetId="5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5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5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s._.All." localSheetId="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" localSheetId="5" hidden="1">{#N/A,#N/A,FALSE,"COVER";#N/A,#N/A,FALSE,"Construction CF";#N/A,#N/A,FALSE,"PROFORMA";#N/A,#N/A,FALSE,"CASHFLOW"}</definedName>
    <definedName name="wrn.PRO." hidden="1">{#N/A,#N/A,FALSE,"COVER";#N/A,#N/A,FALSE,"Construction CF";#N/A,#N/A,FALSE,"PROFORMA";#N/A,#N/A,FALSE,"CASHFLOW"}</definedName>
    <definedName name="wrn.Proforma._.Review." localSheetId="5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perty._.Description." localSheetId="5" hidden="1">{#N/A,#N/A,FALSE,"PROP. DESCRIPTION"}</definedName>
    <definedName name="wrn.Property._.Description." hidden="1">{#N/A,#N/A,FALSE,"PROP. DESCRIPTION"}</definedName>
    <definedName name="wrn.PropertyInformation." localSheetId="5" hidden="1">{#N/A,#N/A,FALSE,"PropertyInfo"}</definedName>
    <definedName name="wrn.PropertyInformation." hidden="1">{#N/A,#N/A,FALSE,"PropertyInfo"}</definedName>
    <definedName name="wrn.Recovery._.Calcs." localSheetId="5" hidden="1">{#N/A,#N/A,FALSE,"Recovery Calcs"}</definedName>
    <definedName name="wrn.Recovery._.Calcs." hidden="1">{#N/A,#N/A,FALSE,"Recovery Calcs"}</definedName>
    <definedName name="wrn.Relevant._.Sections." localSheetId="5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t._.Roll." localSheetId="5" hidden="1">{#N/A,#N/A,FALSE,"Rent Roll"}</definedName>
    <definedName name="wrn.Rent._.Roll." hidden="1">{#N/A,#N/A,FALSE,"Rent Roll"}</definedName>
    <definedName name="wrn.Rental._.Scenario." localSheetId="5" hidden="1">{#N/A,#N/A,TRUE,"Summary";#N/A,#N/A,TRUE,"Rental Summary";#N/A,#N/A,TRUE,"Budget";#N/A,#N/A,TRUE,"Assumptions";#N/A,#N/A,TRUE,"Financing"}</definedName>
    <definedName name="wrn.Rental._.Scenario." hidden="1">{#N/A,#N/A,TRUE,"Summary";#N/A,#N/A,TRUE,"Rental Summary";#N/A,#N/A,TRUE,"Budget";#N/A,#N/A,TRUE,"Assumptions";#N/A,#N/A,TRUE,"Financing"}</definedName>
    <definedName name="wrn.report" localSheetId="5" hidden="1">{#N/A,#N/A,FALSE,"Project Summary";#N/A,#N/A,FALSE,"Parameter Summary";#N/A,#N/A,FALSE,"Budget Control Report";#N/A,#N/A,FALSE,"DETAIL.XLS"}</definedName>
    <definedName name="wrn.report" hidden="1">{#N/A,#N/A,FALSE,"Project Summary";#N/A,#N/A,FALSE,"Parameter Summary";#N/A,#N/A,FALSE,"Budget Control Report";#N/A,#N/A,FALSE,"DETAIL.XLS"}</definedName>
    <definedName name="wrn.REPORT." localSheetId="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.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1.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5" hidden="1">{#N/A,#N/A,FALSE,"Project Summary";#N/A,#N/A,FALSE,"Parameter Summary";#N/A,#N/A,FALSE,"Budget Control Report";#N/A,#N/A,FALSE,"DETAIL.XLS"}</definedName>
    <definedName name="wrn.reports." hidden="1">{#N/A,#N/A,FALSE,"Project Summary";#N/A,#N/A,FALSE,"Parameter Summary";#N/A,#N/A,FALSE,"Budget Control Report";#N/A,#N/A,FALSE,"DETAIL.XLS"}</definedName>
    <definedName name="wrn.SCHEDULE" localSheetId="5" hidden="1">{"SCHEDULE",#N/A,FALSE,"Fin_sched"}</definedName>
    <definedName name="wrn.SCHEDULE" hidden="1">{"SCHEDULE",#N/A,FALSE,"Fin_sched"}</definedName>
    <definedName name="wrn.SCHEDULE." localSheetId="5" hidden="1">{"SCHEDULE",#N/A,FALSE,"Fin_sched"}</definedName>
    <definedName name="wrn.SCHEDULE." hidden="1">{"SCHEDULE",#N/A,FALSE,"Fin_sched"}</definedName>
    <definedName name="wrn.seafirst." localSheetId="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localSheetId="5" hidden="1">{#N/A,#N/A,FALSE,"Secondary"}</definedName>
    <definedName name="wrn.Secondary._.Competition." hidden="1">{#N/A,#N/A,FALSE,"Secondary"}</definedName>
    <definedName name="wrn.Short._.Print." localSheetId="5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ony11.09." localSheetId="5" hidden="1">{#N/A,#N/A,FALSE,"cover sheet";#N/A,#N/A,FALSE,"page 1";#N/A,#N/A,FALSE,"page 2";#N/A,#N/A,FALSE,"page 3";"page4a",#N/A,FALSE,"page 4";"page 5",#N/A,FALSE,"page 5 &amp; 6";"page 6",#N/A,FALSE,"page 5 &amp; 6";#N/A,#N/A,FALSE,"page 7";#N/A,#N/A,FALSE,"page 8";#N/A,#N/A,FALSE,"SCH15 RENT UP LOSS";#N/A,#N/A,FALSE,"page 9";#N/A,#N/A,FALSE,"SCH15 RENT UP LOSS";"prorent",#N/A,FALSE,"SCH 15 RENTAL ASSUMPTIONS";"rentblda",#N/A,FALSE,"SHEET 21 BLD A RENT UP";"rentb1",#N/A,FALSE,"SHEET 22 BLD B-1 RENT UP";"rentb2",#N/A,FALSE,"SHEET 23 BLD B-2 APARTMENT";"rentbldc",#N/A,FALSE,"SHEET 24 OFFICE BLDG C";"rentbldd",#N/A,FALSE,"SHEET 25 BLDG D";"rentblde1",#N/A,FALSE,"SHEET 26 BLDG E-1";"rentblde2",#N/A,FALSE,"SHEET 26 BLDG E-2";"rentbldgf",#N/A,FALSE,"SHEET 27 BLDG F";"rentbg",#N/A,FALSE,"B-GRADE CINEMA &amp; PARKING"}</definedName>
    <definedName name="wrn.sony11.09." hidden="1">{#N/A,#N/A,FALSE,"cover sheet";#N/A,#N/A,FALSE,"page 1";#N/A,#N/A,FALSE,"page 2";#N/A,#N/A,FALSE,"page 3";"page4a",#N/A,FALSE,"page 4";"page 5",#N/A,FALSE,"page 5 &amp; 6";"page 6",#N/A,FALSE,"page 5 &amp; 6";#N/A,#N/A,FALSE,"page 7";#N/A,#N/A,FALSE,"page 8";#N/A,#N/A,FALSE,"SCH15 RENT UP LOSS";#N/A,#N/A,FALSE,"page 9";#N/A,#N/A,FALSE,"SCH15 RENT UP LOSS";"prorent",#N/A,FALSE,"SCH 15 RENTAL ASSUMPTIONS";"rentblda",#N/A,FALSE,"SHEET 21 BLD A RENT UP";"rentb1",#N/A,FALSE,"SHEET 22 BLD B-1 RENT UP";"rentb2",#N/A,FALSE,"SHEET 23 BLD B-2 APARTMENT";"rentbldc",#N/A,FALSE,"SHEET 24 OFFICE BLDG C";"rentbldd",#N/A,FALSE,"SHEET 25 BLDG D";"rentblde1",#N/A,FALSE,"SHEET 26 BLDG E-1";"rentblde2",#N/A,FALSE,"SHEET 26 BLDG E-2";"rentbldgf",#N/A,FALSE,"SHEET 27 BLDG F";"rentbg",#N/A,FALSE,"B-GRADE CINEMA &amp; PARKING"}</definedName>
    <definedName name="wrn.Stadium._.PCD." localSheetId="5" hidden="1">{#N/A,#N/A,TRUE,"Ericsson Stadium PCD ";#N/A,#N/A,TRUE,"Ericsson Stadium IOR"}</definedName>
    <definedName name="wrn.Stadium._.PCD." hidden="1">{#N/A,#N/A,TRUE,"Ericsson Stadium PCD ";#N/A,#N/A,TRUE,"Ericsson Stadium IOR"}</definedName>
    <definedName name="wrn.standard." localSheetId="5" hidden="1">{"old_amort_rpt",#N/A,TRUE,"Ded";"ref_amort_rpt",#N/A,TRUE,"Ded"}</definedName>
    <definedName name="wrn.standard." hidden="1">{"old_amort_rpt",#N/A,TRUE,"Ded";"ref_amort_rpt",#N/A,TRUE,"Ded"}</definedName>
    <definedName name="wrn.STD." localSheetId="5" hidden="1">{"west1",#N/A,FALSE,"ParkplaceL";"WEST2",#N/A,FALSE,"ParkplaceL";"east1",#N/A,FALSE,"ParkplaceL";"east2",#N/A,FALSE,"ParkplaceL"}</definedName>
    <definedName name="wrn.STD." hidden="1">{"west1",#N/A,FALSE,"ParkplaceL";"WEST2",#N/A,FALSE,"ParkplaceL";"east1",#N/A,FALSE,"ParkplaceL";"east2",#N/A,FALSE,"ParkplaceL"}</definedName>
    <definedName name="wrn.Strengths._.Weaknesses." localSheetId="5" hidden="1">{#N/A,#N/A,FALSE,"Strengths &amp; Weaknesses"}</definedName>
    <definedName name="wrn.Strengths._.Weaknesses." hidden="1">{#N/A,#N/A,FALSE,"Strengths &amp; Weaknesses"}</definedName>
    <definedName name="wrn.Structural._.Frame." localSheetId="5" hidden="1">{"structural",#N/A,FALSE,"DETAIL.XLS"}</definedName>
    <definedName name="wrn.Structural._.Frame." hidden="1">{"structural",#N/A,FALSE,"DETAIL.XLS"}</definedName>
    <definedName name="wrn.Submittal._.Reconciliation._.Schedule." localSheetId="5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localSheetId="5" hidden="1">{"SUMMARY",#N/A,FALSE,"BIDSUM"}</definedName>
    <definedName name="wrn.SUM._.ONLY." hidden="1">{"SUMMARY",#N/A,FALSE,"BIDSUM"}</definedName>
    <definedName name="wrn.SUM._.WITH._.GC." localSheetId="5" hidden="1">{"SUMMARY",#N/A,FALSE,"BIDSUM";"SUMALTS",#N/A,FALSE,"BIDSUM";#N/A,#N/A,FALSE,"GCOND"}</definedName>
    <definedName name="wrn.SUM._.WITH._.GC." hidden="1">{"SUMMARY",#N/A,FALSE,"BIDSUM";"SUMALTS",#N/A,FALSE,"BIDSUM";#N/A,#N/A,FALSE,"GCOND"}</definedName>
    <definedName name="wrn.Summary." localSheetId="5" hidden="1">{#N/A,#N/A,FALSE,"Feasibility"}</definedName>
    <definedName name="wrn.Summary." hidden="1">{#N/A,#N/A,FALSE,"Feasibility"}</definedName>
    <definedName name="wrn.Summary._.and._.Budget." localSheetId="5" hidden="1">{#N/A,#N/A,TRUE,"Summary";#N/A,#N/A,TRUE,"Budget"}</definedName>
    <definedName name="wrn.Summary._.and._.Budget." hidden="1">{#N/A,#N/A,TRUE,"Summary";#N/A,#N/A,TRUE,"Budget"}</definedName>
    <definedName name="wrn.Summary._.Budget._.Assumptions." localSheetId="5" hidden="1">{#N/A,#N/A,TRUE,"Summary";#N/A,#N/A,TRUE,"Budget";#N/A,#N/A,TRUE,"Assumptions"}</definedName>
    <definedName name="wrn.Summary._.Budget._.Assumptions." hidden="1">{#N/A,#N/A,TRUE,"Summary";#N/A,#N/A,TRUE,"Budget";#N/A,#N/A,TRUE,"Assumptions"}</definedName>
    <definedName name="wrn.Summary._.Budget._.Stack._.Assumptions." localSheetId="5" hidden="1">{#N/A,#N/A,TRUE,"Summary";#N/A,#N/A,TRUE,"Budget";#N/A,#N/A,TRUE,"Stack";#N/A,#N/A,TRUE,"Assumptions"}</definedName>
    <definedName name="wrn.Summary._.Budget._.Stack._.Assumptions." hidden="1">{#N/A,#N/A,TRUE,"Summary";#N/A,#N/A,TRUE,"Budget";#N/A,#N/A,TRUE,"Stack";#N/A,#N/A,TRUE,"Assumptions"}</definedName>
    <definedName name="wrn.Supply._.Additions." localSheetId="5" hidden="1">{#N/A,#N/A,FALSE,"Supply Addn"}</definedName>
    <definedName name="wrn.Supply._.Additions." hidden="1">{#N/A,#N/A,FALSE,"Supply Addn"}</definedName>
    <definedName name="wrn.Taxes._.Title._.Insurance." localSheetId="5" hidden="1">{#N/A,#N/A,FALSE,"Taxes, Insurance, Title"}</definedName>
    <definedName name="wrn.Taxes._.Title._.Insurance." hidden="1">{#N/A,#N/A,FALSE,"Taxes, Insurance, Title"}</definedName>
    <definedName name="wrn.Template." localSheetId="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OCHTERMAN." localSheetId="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localSheetId="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localSheetId="5" hidden="1">{#N/A,#N/A,FALSE,"DEV COSTS";#N/A,#N/A,FALSE,"10-YR C. F."}</definedName>
    <definedName name="wrn.TOTAL._.SHEETS." hidden="1">{#N/A,#N/A,FALSE,"DEV COSTS";#N/A,#N/A,FALSE,"10-YR C. F."}</definedName>
    <definedName name="wrn.TOTAL._.SHEETS5" localSheetId="5" hidden="1">{#N/A,#N/A,FALSE,"DEV COSTS";#N/A,#N/A,FALSE,"10-YR C. F."}</definedName>
    <definedName name="wrn.TOTAL._.SHEETS5" hidden="1">{#N/A,#N/A,FALSE,"DEV COSTS";#N/A,#N/A,FALSE,"10-YR C. F."}</definedName>
    <definedName name="wrn.Total5" localSheetId="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localSheetId="5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Underwriting._.Analysis." localSheetId="5" hidden="1">{#N/A,#N/A,FALSE,"Underwriting Analysis"}</definedName>
    <definedName name="wrn.Underwriting._.Analysis." hidden="1">{#N/A,#N/A,FALSE,"Underwriting Analysis"}</definedName>
    <definedName name="wrn.Variance." localSheetId="5" hidden="1">{#N/A,#N/A,FALSE,"CCC Variance";#N/A,#N/A,FALSE,"CCC Notes"}</definedName>
    <definedName name="wrn.Variance." hidden="1">{#N/A,#N/A,FALSE,"CCC Variance";#N/A,#N/A,FALSE,"CCC Notes"}</definedName>
    <definedName name="wrn.ventana." localSheetId="5" hidden="1">{#N/A,#N/A,FALSE,"Cash Flow";#N/A,#N/A,FALSE,"scenario 1"}</definedName>
    <definedName name="wrn.ventana." hidden="1">{#N/A,#N/A,FALSE,"Cash Flow";#N/A,#N/A,FALSE,"scenario 1"}</definedName>
    <definedName name="wrn.Working._.Party._.List." localSheetId="5" hidden="1">{#N/A,#N/A,FALSE,"Working List"}</definedName>
    <definedName name="wrn.Working._.Party._.List." hidden="1">{#N/A,#N/A,FALSE,"Working List"}</definedName>
    <definedName name="wrn.Year._.End._.APF._.reports." localSheetId="5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vu.As._.Is._.Value.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Y" localSheetId="5" hidden="1">#REF!</definedName>
    <definedName name="Y" hidden="1">#REF!</definedName>
    <definedName name="yyy" localSheetId="5" hidden="1">#REF!</definedName>
    <definedName name="yyy" hidden="1">#REF!</definedName>
    <definedName name="Z_D460C340_48B5_11D6_B2FC_0002A51098EF_.wvu.Cols" localSheetId="5" hidden="1">#REF!</definedName>
    <definedName name="Z_D460C340_48B5_11D6_B2FC_0002A51098EF_.wvu.Cols" hidden="1">#REF!</definedName>
    <definedName name="Z_D460C340_48B5_11D6_B2FC_0002A51098EF_.wvu.PrintArea" localSheetId="5" hidden="1">#REF!</definedName>
    <definedName name="Z_D460C340_48B5_11D6_B2FC_0002A51098EF_.wvu.PrintArea" hidden="1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4" l="1"/>
  <c r="G68" i="4"/>
  <c r="D85" i="4"/>
  <c r="F68" i="4"/>
  <c r="J14" i="1" l="1"/>
  <c r="K17" i="4" l="1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F17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F28" i="4"/>
  <c r="G28" i="4"/>
  <c r="H28" i="4"/>
  <c r="F29" i="4"/>
  <c r="G29" i="4"/>
  <c r="H29" i="4"/>
  <c r="F30" i="4"/>
  <c r="G30" i="4"/>
  <c r="H30" i="4"/>
  <c r="F31" i="4"/>
  <c r="G31" i="4"/>
  <c r="H31" i="4"/>
  <c r="F32" i="4"/>
  <c r="G32" i="4"/>
  <c r="H32" i="4"/>
  <c r="F33" i="4"/>
  <c r="G33" i="4"/>
  <c r="H33" i="4"/>
  <c r="F34" i="4"/>
  <c r="G34" i="4"/>
  <c r="H34" i="4"/>
  <c r="F35" i="4"/>
  <c r="G35" i="4"/>
  <c r="H35" i="4"/>
  <c r="F36" i="4"/>
  <c r="G36" i="4"/>
  <c r="H36" i="4"/>
  <c r="F37" i="4"/>
  <c r="G37" i="4"/>
  <c r="H37" i="4"/>
  <c r="F38" i="4"/>
  <c r="G38" i="4"/>
  <c r="H38" i="4"/>
  <c r="F39" i="4"/>
  <c r="G39" i="4"/>
  <c r="H39" i="4"/>
  <c r="F40" i="4"/>
  <c r="G40" i="4"/>
  <c r="H40" i="4"/>
  <c r="F41" i="4"/>
  <c r="G41" i="4"/>
  <c r="H41" i="4"/>
  <c r="F42" i="4"/>
  <c r="G42" i="4"/>
  <c r="H42" i="4"/>
  <c r="F43" i="4"/>
  <c r="G43" i="4"/>
  <c r="H43" i="4"/>
  <c r="F44" i="4"/>
  <c r="G44" i="4"/>
  <c r="H44" i="4"/>
  <c r="F45" i="4"/>
  <c r="G45" i="4"/>
  <c r="H45" i="4"/>
  <c r="F46" i="4"/>
  <c r="G46" i="4"/>
  <c r="H46" i="4"/>
  <c r="F47" i="4"/>
  <c r="G47" i="4"/>
  <c r="H47" i="4"/>
  <c r="F48" i="4"/>
  <c r="G48" i="4"/>
  <c r="H48" i="4"/>
  <c r="F49" i="4"/>
  <c r="G49" i="4"/>
  <c r="H49" i="4"/>
  <c r="F50" i="4"/>
  <c r="G50" i="4"/>
  <c r="H50" i="4"/>
  <c r="F51" i="4"/>
  <c r="G51" i="4"/>
  <c r="H51" i="4"/>
  <c r="F52" i="4"/>
  <c r="G52" i="4"/>
  <c r="H52" i="4"/>
  <c r="F53" i="4"/>
  <c r="G53" i="4"/>
  <c r="H53" i="4"/>
  <c r="F54" i="4"/>
  <c r="G54" i="4"/>
  <c r="H54" i="4"/>
  <c r="F55" i="4"/>
  <c r="G55" i="4"/>
  <c r="H55" i="4"/>
  <c r="F56" i="4"/>
  <c r="G56" i="4"/>
  <c r="H56" i="4"/>
  <c r="F57" i="4"/>
  <c r="G57" i="4"/>
  <c r="H57" i="4"/>
  <c r="F58" i="4"/>
  <c r="G58" i="4"/>
  <c r="H58" i="4"/>
  <c r="F59" i="4"/>
  <c r="G59" i="4"/>
  <c r="H59" i="4"/>
  <c r="F60" i="4"/>
  <c r="G60" i="4"/>
  <c r="H60" i="4"/>
  <c r="F61" i="4"/>
  <c r="G61" i="4"/>
  <c r="H61" i="4"/>
  <c r="F62" i="4"/>
  <c r="G62" i="4"/>
  <c r="H62" i="4"/>
  <c r="F63" i="4"/>
  <c r="G63" i="4"/>
  <c r="H63" i="4"/>
  <c r="I14" i="1" l="1"/>
  <c r="L14" i="1" s="1"/>
  <c r="M14" i="1" s="1"/>
  <c r="I25" i="1" l="1"/>
  <c r="J3" i="7" l="1"/>
  <c r="H3" i="7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C13" i="7"/>
  <c r="D13" i="7" s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C15" i="7"/>
  <c r="J15" i="7" s="1"/>
  <c r="F15" i="7"/>
  <c r="G15" i="7"/>
  <c r="H15" i="7"/>
  <c r="K15" i="7"/>
  <c r="P15" i="7"/>
  <c r="R15" i="7"/>
  <c r="Z15" i="7"/>
  <c r="AB15" i="7"/>
  <c r="AD15" i="7"/>
  <c r="AE15" i="7"/>
  <c r="AF15" i="7"/>
  <c r="AG15" i="7"/>
  <c r="AI15" i="7"/>
  <c r="AJ15" i="7"/>
  <c r="AL15" i="7"/>
  <c r="D21" i="7"/>
  <c r="E21" i="7" s="1"/>
  <c r="F21" i="7" s="1"/>
  <c r="E15" i="7" l="1"/>
  <c r="X15" i="7"/>
  <c r="U15" i="7"/>
  <c r="T15" i="7"/>
  <c r="S15" i="7"/>
  <c r="AC15" i="7"/>
  <c r="Q15" i="7"/>
  <c r="D15" i="7"/>
  <c r="AA15" i="7"/>
  <c r="O15" i="7"/>
  <c r="N15" i="7"/>
  <c r="AK15" i="7"/>
  <c r="Y15" i="7"/>
  <c r="M15" i="7"/>
  <c r="L15" i="7"/>
  <c r="W15" i="7"/>
  <c r="AH15" i="7"/>
  <c r="V15" i="7"/>
  <c r="I15" i="7"/>
  <c r="G21" i="7"/>
  <c r="H21" i="7" l="1"/>
  <c r="I21" i="7" l="1"/>
  <c r="J21" i="7" l="1"/>
  <c r="K21" i="7" l="1"/>
  <c r="L21" i="7" l="1"/>
  <c r="M21" i="7" l="1"/>
  <c r="N21" i="7" l="1"/>
  <c r="O21" i="7" l="1"/>
  <c r="P21" i="7" l="1"/>
  <c r="Q21" i="7" l="1"/>
  <c r="R21" i="7" l="1"/>
  <c r="S21" i="7" l="1"/>
  <c r="T21" i="7" l="1"/>
  <c r="U21" i="7" l="1"/>
  <c r="V21" i="7" l="1"/>
  <c r="W21" i="7" l="1"/>
  <c r="X21" i="7" l="1"/>
  <c r="Y21" i="7" l="1"/>
  <c r="Z21" i="7" l="1"/>
  <c r="AA21" i="7" l="1"/>
  <c r="AB21" i="7" l="1"/>
  <c r="AC21" i="7" l="1"/>
  <c r="AD21" i="7" l="1"/>
  <c r="AE21" i="7" l="1"/>
  <c r="AF21" i="7" l="1"/>
  <c r="AG21" i="7" l="1"/>
  <c r="AH21" i="7" l="1"/>
  <c r="H16" i="2"/>
  <c r="J22" i="1"/>
  <c r="J23" i="1"/>
  <c r="J24" i="1"/>
  <c r="I22" i="1"/>
  <c r="I6" i="1"/>
  <c r="I23" i="1"/>
  <c r="I15" i="1"/>
  <c r="I7" i="1" s="1"/>
  <c r="I24" i="1"/>
  <c r="I16" i="1"/>
  <c r="K16" i="4"/>
  <c r="K15" i="4"/>
  <c r="K14" i="4"/>
  <c r="K13" i="4"/>
  <c r="J65" i="4"/>
  <c r="U13" i="4" s="1"/>
  <c r="I65" i="4"/>
  <c r="T13" i="4" s="1"/>
  <c r="T8" i="4"/>
  <c r="H9" i="2"/>
  <c r="J6" i="1"/>
  <c r="M6" i="1" s="1"/>
  <c r="J15" i="1"/>
  <c r="J16" i="1"/>
  <c r="N8" i="2"/>
  <c r="H6" i="2"/>
  <c r="J78" i="4"/>
  <c r="K78" i="4" s="1"/>
  <c r="J79" i="4"/>
  <c r="K79" i="4" s="1"/>
  <c r="J80" i="4"/>
  <c r="K80" i="4" s="1"/>
  <c r="J81" i="4"/>
  <c r="K81" i="4" s="1"/>
  <c r="K68" i="4"/>
  <c r="K69" i="4" s="1"/>
  <c r="I82" i="4"/>
  <c r="T15" i="4" s="1"/>
  <c r="J86" i="4"/>
  <c r="U16" i="4" s="1"/>
  <c r="I86" i="4"/>
  <c r="T16" i="4" s="1"/>
  <c r="J69" i="4"/>
  <c r="U14" i="4" s="1"/>
  <c r="I69" i="4"/>
  <c r="T14" i="4" s="1"/>
  <c r="T17" i="4" s="1"/>
  <c r="T9" i="4" s="1"/>
  <c r="J9" i="4"/>
  <c r="U12" i="4" s="1"/>
  <c r="G5" i="4"/>
  <c r="D69" i="4"/>
  <c r="H14" i="2"/>
  <c r="F5" i="4"/>
  <c r="F13" i="4" s="1"/>
  <c r="T6" i="1"/>
  <c r="S6" i="1"/>
  <c r="T7" i="1"/>
  <c r="S7" i="1"/>
  <c r="R8" i="1"/>
  <c r="E186" i="1"/>
  <c r="S8" i="1"/>
  <c r="T8" i="1"/>
  <c r="H21" i="2"/>
  <c r="K24" i="1"/>
  <c r="U8" i="1"/>
  <c r="F9" i="3"/>
  <c r="K22" i="1"/>
  <c r="J25" i="1"/>
  <c r="K23" i="1"/>
  <c r="H18" i="2"/>
  <c r="F20" i="3" s="1"/>
  <c r="K25" i="1"/>
  <c r="H19" i="2"/>
  <c r="H5" i="4"/>
  <c r="F10" i="3"/>
  <c r="H9" i="3"/>
  <c r="G9" i="3"/>
  <c r="F21" i="3"/>
  <c r="H21" i="3"/>
  <c r="F16" i="3"/>
  <c r="H16" i="3" s="1"/>
  <c r="F18" i="3"/>
  <c r="H18" i="3" s="1"/>
  <c r="F23" i="3"/>
  <c r="H23" i="3"/>
  <c r="H10" i="3"/>
  <c r="K12" i="4"/>
  <c r="I17" i="1" l="1"/>
  <c r="K17" i="1" s="1"/>
  <c r="K16" i="1"/>
  <c r="O16" i="1" s="1"/>
  <c r="J17" i="1"/>
  <c r="I8" i="1"/>
  <c r="I9" i="1" s="1"/>
  <c r="L16" i="1"/>
  <c r="M16" i="1" s="1"/>
  <c r="K14" i="1"/>
  <c r="O14" i="1" s="1"/>
  <c r="H81" i="4"/>
  <c r="H79" i="4"/>
  <c r="F80" i="4"/>
  <c r="F15" i="4"/>
  <c r="F12" i="4"/>
  <c r="H64" i="4"/>
  <c r="H78" i="4"/>
  <c r="H68" i="4"/>
  <c r="H13" i="4"/>
  <c r="H15" i="4"/>
  <c r="H69" i="4"/>
  <c r="H12" i="4"/>
  <c r="F78" i="4"/>
  <c r="G69" i="4"/>
  <c r="D65" i="4"/>
  <c r="G65" i="4" s="1"/>
  <c r="F79" i="4"/>
  <c r="F81" i="4"/>
  <c r="F14" i="4"/>
  <c r="J71" i="4"/>
  <c r="F16" i="4"/>
  <c r="G12" i="4"/>
  <c r="H80" i="4"/>
  <c r="F64" i="4"/>
  <c r="D8" i="4"/>
  <c r="G8" i="4" s="1"/>
  <c r="G78" i="4"/>
  <c r="G64" i="4"/>
  <c r="F69" i="4"/>
  <c r="G79" i="4"/>
  <c r="G81" i="4"/>
  <c r="G14" i="4"/>
  <c r="H14" i="4"/>
  <c r="O14" i="4"/>
  <c r="G13" i="4"/>
  <c r="K64" i="4"/>
  <c r="K65" i="4" s="1"/>
  <c r="G16" i="4"/>
  <c r="H16" i="4"/>
  <c r="G15" i="4"/>
  <c r="G80" i="4"/>
  <c r="J8" i="1"/>
  <c r="J7" i="1"/>
  <c r="L15" i="1"/>
  <c r="K15" i="1"/>
  <c r="O15" i="1" s="1"/>
  <c r="K6" i="1"/>
  <c r="H20" i="3"/>
  <c r="G10" i="3"/>
  <c r="F17" i="3"/>
  <c r="F19" i="3"/>
  <c r="AI21" i="7"/>
  <c r="J9" i="1" l="1"/>
  <c r="K9" i="1"/>
  <c r="F65" i="4"/>
  <c r="H65" i="4"/>
  <c r="O13" i="4"/>
  <c r="Q13" i="4" s="1"/>
  <c r="H8" i="4"/>
  <c r="I8" i="4"/>
  <c r="I9" i="4" s="1"/>
  <c r="D9" i="4"/>
  <c r="V14" i="4"/>
  <c r="S14" i="4"/>
  <c r="Q14" i="4"/>
  <c r="R14" i="4"/>
  <c r="D31" i="2"/>
  <c r="K8" i="1"/>
  <c r="M8" i="1"/>
  <c r="L8" i="1" s="1"/>
  <c r="L17" i="1"/>
  <c r="N17" i="1" s="1"/>
  <c r="M15" i="1"/>
  <c r="M17" i="1" s="1"/>
  <c r="F7" i="3" s="1"/>
  <c r="M7" i="1"/>
  <c r="L7" i="1" s="1"/>
  <c r="K7" i="1"/>
  <c r="L6" i="1"/>
  <c r="H19" i="3"/>
  <c r="H17" i="3"/>
  <c r="AJ21" i="7"/>
  <c r="M9" i="1" l="1"/>
  <c r="F5" i="3" s="1"/>
  <c r="F6" i="3" s="1"/>
  <c r="R13" i="4"/>
  <c r="V13" i="4"/>
  <c r="S13" i="4"/>
  <c r="D30" i="2"/>
  <c r="G30" i="2" s="1"/>
  <c r="O12" i="4"/>
  <c r="F9" i="4"/>
  <c r="H9" i="4"/>
  <c r="G9" i="4"/>
  <c r="D71" i="4"/>
  <c r="K8" i="4"/>
  <c r="K9" i="4" s="1"/>
  <c r="T12" i="4"/>
  <c r="T10" i="4" s="1"/>
  <c r="I71" i="4"/>
  <c r="I88" i="4" s="1"/>
  <c r="E31" i="2"/>
  <c r="F31" i="2"/>
  <c r="G31" i="2"/>
  <c r="O17" i="1"/>
  <c r="N8" i="1"/>
  <c r="L24" i="1"/>
  <c r="G7" i="3"/>
  <c r="F8" i="3"/>
  <c r="H7" i="3"/>
  <c r="N7" i="1"/>
  <c r="L23" i="1"/>
  <c r="H5" i="3"/>
  <c r="G5" i="3"/>
  <c r="L9" i="1"/>
  <c r="N9" i="1" s="1"/>
  <c r="O9" i="1" s="1"/>
  <c r="L22" i="1"/>
  <c r="N6" i="1"/>
  <c r="AK21" i="7"/>
  <c r="F11" i="3" l="1"/>
  <c r="F22" i="3" s="1"/>
  <c r="F30" i="2"/>
  <c r="E30" i="2"/>
  <c r="R12" i="4"/>
  <c r="V12" i="4"/>
  <c r="S12" i="4"/>
  <c r="D29" i="2"/>
  <c r="Q12" i="4"/>
  <c r="H71" i="4"/>
  <c r="K71" i="4"/>
  <c r="G71" i="4"/>
  <c r="F71" i="4"/>
  <c r="M24" i="1"/>
  <c r="N24" i="1"/>
  <c r="O24" i="1" s="1"/>
  <c r="M23" i="1"/>
  <c r="N23" i="1"/>
  <c r="O23" i="1" s="1"/>
  <c r="G8" i="3"/>
  <c r="H8" i="3"/>
  <c r="G6" i="3"/>
  <c r="H6" i="3"/>
  <c r="N22" i="1"/>
  <c r="O22" i="1" s="1"/>
  <c r="M22" i="1"/>
  <c r="L25" i="1"/>
  <c r="N25" i="1" s="1"/>
  <c r="O25" i="1" s="1"/>
  <c r="H2" i="7"/>
  <c r="AL21" i="7"/>
  <c r="M25" i="1" l="1"/>
  <c r="I18" i="3"/>
  <c r="I6" i="3"/>
  <c r="I5" i="3"/>
  <c r="I16" i="3"/>
  <c r="H11" i="3"/>
  <c r="I11" i="3"/>
  <c r="G11" i="3"/>
  <c r="I10" i="3"/>
  <c r="I9" i="3"/>
  <c r="I8" i="3"/>
  <c r="I17" i="3"/>
  <c r="I19" i="3"/>
  <c r="I20" i="3"/>
  <c r="I23" i="3"/>
  <c r="I21" i="3"/>
  <c r="I7" i="3"/>
  <c r="E29" i="2"/>
  <c r="F29" i="2"/>
  <c r="G29" i="2"/>
  <c r="J2" i="7"/>
  <c r="J4" i="7" s="1"/>
  <c r="H4" i="7"/>
  <c r="H22" i="3"/>
  <c r="G22" i="3"/>
  <c r="C14" i="7" l="1"/>
  <c r="I4" i="7"/>
  <c r="D14" i="7" l="1"/>
  <c r="C23" i="7"/>
  <c r="F14" i="3" s="1"/>
  <c r="C16" i="7"/>
  <c r="C18" i="7" s="1"/>
  <c r="C19" i="7" s="1"/>
  <c r="C24" i="7" s="1"/>
  <c r="C25" i="7" l="1"/>
  <c r="F15" i="3" s="1"/>
  <c r="I15" i="3" s="1"/>
  <c r="H14" i="3"/>
  <c r="G14" i="3"/>
  <c r="I14" i="3"/>
  <c r="E14" i="7"/>
  <c r="D23" i="7"/>
  <c r="D16" i="7"/>
  <c r="D18" i="7" s="1"/>
  <c r="D19" i="7" s="1"/>
  <c r="D24" i="7" s="1"/>
  <c r="H15" i="3" l="1"/>
  <c r="G15" i="3"/>
  <c r="F24" i="3"/>
  <c r="I24" i="3" s="1"/>
  <c r="D25" i="7"/>
  <c r="E16" i="7"/>
  <c r="E18" i="7" s="1"/>
  <c r="E19" i="7" s="1"/>
  <c r="E24" i="7" s="1"/>
  <c r="F14" i="7"/>
  <c r="E23" i="7"/>
  <c r="H24" i="3" l="1"/>
  <c r="F26" i="3"/>
  <c r="G26" i="3" s="1"/>
  <c r="G24" i="3"/>
  <c r="E25" i="7"/>
  <c r="F23" i="7"/>
  <c r="F16" i="7"/>
  <c r="F18" i="7" s="1"/>
  <c r="F19" i="7" s="1"/>
  <c r="F24" i="7" s="1"/>
  <c r="G14" i="7"/>
  <c r="O5" i="3" l="1"/>
  <c r="N7" i="2" s="1"/>
  <c r="N9" i="2" s="1"/>
  <c r="I26" i="3"/>
  <c r="O4" i="3"/>
  <c r="N6" i="2" s="1"/>
  <c r="H26" i="3"/>
  <c r="F25" i="7"/>
  <c r="G23" i="7"/>
  <c r="G16" i="7"/>
  <c r="G18" i="7" s="1"/>
  <c r="G19" i="7" s="1"/>
  <c r="G24" i="7" s="1"/>
  <c r="H14" i="7"/>
  <c r="O7" i="3" l="1"/>
  <c r="G25" i="7"/>
  <c r="H23" i="7"/>
  <c r="I14" i="7"/>
  <c r="H16" i="7"/>
  <c r="H18" i="7" s="1"/>
  <c r="H19" i="7" s="1"/>
  <c r="H24" i="7" s="1"/>
  <c r="H25" i="7" l="1"/>
  <c r="J14" i="7"/>
  <c r="I16" i="7"/>
  <c r="I18" i="7" s="1"/>
  <c r="I19" i="7" s="1"/>
  <c r="I24" i="7" s="1"/>
  <c r="I23" i="7"/>
  <c r="I25" i="7" l="1"/>
  <c r="J23" i="7"/>
  <c r="J16" i="7"/>
  <c r="J18" i="7" s="1"/>
  <c r="J19" i="7" s="1"/>
  <c r="J24" i="7" s="1"/>
  <c r="J25" i="7" s="1"/>
  <c r="K14" i="7"/>
  <c r="K23" i="7" l="1"/>
  <c r="K16" i="7"/>
  <c r="K18" i="7" s="1"/>
  <c r="K19" i="7" s="1"/>
  <c r="K24" i="7" s="1"/>
  <c r="L14" i="7"/>
  <c r="K25" i="7" l="1"/>
  <c r="L23" i="7"/>
  <c r="L16" i="7"/>
  <c r="L18" i="7" s="1"/>
  <c r="L19" i="7" s="1"/>
  <c r="L24" i="7" s="1"/>
  <c r="L25" i="7" s="1"/>
  <c r="M14" i="7"/>
  <c r="M16" i="7" l="1"/>
  <c r="M18" i="7" s="1"/>
  <c r="M19" i="7" s="1"/>
  <c r="M24" i="7" s="1"/>
  <c r="M23" i="7"/>
  <c r="N14" i="7"/>
  <c r="M25" i="7" l="1"/>
  <c r="N23" i="7"/>
  <c r="N16" i="7"/>
  <c r="N18" i="7" s="1"/>
  <c r="N19" i="7" s="1"/>
  <c r="N24" i="7" s="1"/>
  <c r="O14" i="7"/>
  <c r="N25" i="7" l="1"/>
  <c r="O16" i="7"/>
  <c r="O18" i="7" s="1"/>
  <c r="O19" i="7" s="1"/>
  <c r="O24" i="7" s="1"/>
  <c r="P14" i="7"/>
  <c r="O23" i="7"/>
  <c r="O25" i="7" l="1"/>
  <c r="P23" i="7"/>
  <c r="P16" i="7"/>
  <c r="P18" i="7" s="1"/>
  <c r="P19" i="7" s="1"/>
  <c r="P24" i="7" s="1"/>
  <c r="Q14" i="7"/>
  <c r="Q23" i="7" l="1"/>
  <c r="R14" i="7"/>
  <c r="Q16" i="7"/>
  <c r="Q18" i="7" s="1"/>
  <c r="Q19" i="7" s="1"/>
  <c r="Q24" i="7" s="1"/>
  <c r="P25" i="7"/>
  <c r="Q25" i="7" l="1"/>
  <c r="R23" i="7"/>
  <c r="S14" i="7"/>
  <c r="R16" i="7"/>
  <c r="R18" i="7" s="1"/>
  <c r="R19" i="7" s="1"/>
  <c r="R24" i="7" s="1"/>
  <c r="S23" i="7" l="1"/>
  <c r="S16" i="7"/>
  <c r="S18" i="7" s="1"/>
  <c r="S19" i="7" s="1"/>
  <c r="S24" i="7" s="1"/>
  <c r="T14" i="7"/>
  <c r="R25" i="7"/>
  <c r="S25" i="7" l="1"/>
  <c r="U14" i="7"/>
  <c r="T23" i="7"/>
  <c r="T16" i="7"/>
  <c r="T18" i="7" s="1"/>
  <c r="T19" i="7" s="1"/>
  <c r="T24" i="7" s="1"/>
  <c r="T25" i="7" l="1"/>
  <c r="U23" i="7"/>
  <c r="V14" i="7"/>
  <c r="U16" i="7"/>
  <c r="U18" i="7" s="1"/>
  <c r="U19" i="7" s="1"/>
  <c r="U24" i="7" s="1"/>
  <c r="V16" i="7" l="1"/>
  <c r="V18" i="7" s="1"/>
  <c r="V19" i="7" s="1"/>
  <c r="V24" i="7" s="1"/>
  <c r="W14" i="7"/>
  <c r="V23" i="7"/>
  <c r="U25" i="7"/>
  <c r="V25" i="7" l="1"/>
  <c r="W23" i="7"/>
  <c r="W16" i="7"/>
  <c r="W18" i="7" s="1"/>
  <c r="W19" i="7" s="1"/>
  <c r="W24" i="7" s="1"/>
  <c r="X14" i="7"/>
  <c r="W25" i="7" l="1"/>
  <c r="X16" i="7"/>
  <c r="X18" i="7" s="1"/>
  <c r="X19" i="7" s="1"/>
  <c r="X24" i="7" s="1"/>
  <c r="Y14" i="7"/>
  <c r="X23" i="7"/>
  <c r="X25" i="7" l="1"/>
  <c r="Y23" i="7"/>
  <c r="Z14" i="7"/>
  <c r="Y16" i="7"/>
  <c r="Y18" i="7" s="1"/>
  <c r="Y19" i="7" s="1"/>
  <c r="Y24" i="7" s="1"/>
  <c r="Y25" i="7" l="1"/>
  <c r="Z16" i="7"/>
  <c r="Z18" i="7" s="1"/>
  <c r="Z19" i="7" s="1"/>
  <c r="Z24" i="7" s="1"/>
  <c r="AA14" i="7"/>
  <c r="Z23" i="7"/>
  <c r="Z25" i="7" l="1"/>
  <c r="AA16" i="7"/>
  <c r="AA18" i="7" s="1"/>
  <c r="AA19" i="7" s="1"/>
  <c r="AA24" i="7" s="1"/>
  <c r="AB14" i="7"/>
  <c r="AA23" i="7"/>
  <c r="AA25" i="7" l="1"/>
  <c r="AB23" i="7"/>
  <c r="AC14" i="7"/>
  <c r="AB16" i="7"/>
  <c r="AB18" i="7" s="1"/>
  <c r="AB19" i="7" s="1"/>
  <c r="AB24" i="7" s="1"/>
  <c r="AB25" i="7" s="1"/>
  <c r="AC16" i="7" l="1"/>
  <c r="AC18" i="7" s="1"/>
  <c r="AC19" i="7" s="1"/>
  <c r="AC24" i="7" s="1"/>
  <c r="AC23" i="7"/>
  <c r="AD14" i="7"/>
  <c r="AC25" i="7" l="1"/>
  <c r="AD23" i="7"/>
  <c r="AD16" i="7"/>
  <c r="AD18" i="7" s="1"/>
  <c r="AD19" i="7" s="1"/>
  <c r="AD24" i="7" s="1"/>
  <c r="AE14" i="7"/>
  <c r="AD25" i="7" l="1"/>
  <c r="AE16" i="7"/>
  <c r="AE18" i="7" s="1"/>
  <c r="AE19" i="7" s="1"/>
  <c r="AE24" i="7" s="1"/>
  <c r="AF14" i="7"/>
  <c r="AE23" i="7"/>
  <c r="AE25" i="7" l="1"/>
  <c r="AF16" i="7"/>
  <c r="AF18" i="7" s="1"/>
  <c r="AF19" i="7" s="1"/>
  <c r="AF24" i="7" s="1"/>
  <c r="AG14" i="7"/>
  <c r="AF23" i="7"/>
  <c r="AF25" i="7" l="1"/>
  <c r="AG23" i="7"/>
  <c r="AG16" i="7"/>
  <c r="AG18" i="7" s="1"/>
  <c r="AG19" i="7" s="1"/>
  <c r="AG24" i="7" s="1"/>
  <c r="AH14" i="7"/>
  <c r="AH23" i="7" l="1"/>
  <c r="AI14" i="7"/>
  <c r="AH16" i="7"/>
  <c r="AH18" i="7" s="1"/>
  <c r="AH19" i="7" s="1"/>
  <c r="AH24" i="7" s="1"/>
  <c r="AG25" i="7"/>
  <c r="AH25" i="7" l="1"/>
  <c r="AI23" i="7"/>
  <c r="AI16" i="7"/>
  <c r="AI18" i="7" s="1"/>
  <c r="AI19" i="7" s="1"/>
  <c r="AI24" i="7" s="1"/>
  <c r="AJ14" i="7"/>
  <c r="AJ23" i="7" l="1"/>
  <c r="AK14" i="7"/>
  <c r="AJ16" i="7"/>
  <c r="AJ18" i="7" s="1"/>
  <c r="AJ19" i="7" s="1"/>
  <c r="AJ24" i="7" s="1"/>
  <c r="AI25" i="7"/>
  <c r="AJ25" i="7" l="1"/>
  <c r="AL14" i="7"/>
  <c r="AK16" i="7"/>
  <c r="AK18" i="7" s="1"/>
  <c r="AK19" i="7" s="1"/>
  <c r="AK24" i="7" s="1"/>
  <c r="AK23" i="7"/>
  <c r="AK25" i="7" l="1"/>
  <c r="AL16" i="7"/>
  <c r="AL18" i="7" s="1"/>
  <c r="AL19" i="7" s="1"/>
  <c r="AL24" i="7" s="1"/>
  <c r="AL23" i="7"/>
  <c r="AL25" i="7" l="1"/>
  <c r="E9" i="7" s="1"/>
  <c r="O8" i="3" s="1"/>
  <c r="N10" i="2" l="1"/>
  <c r="N11" i="2" s="1"/>
  <c r="O9" i="3"/>
  <c r="N13" i="2" l="1"/>
  <c r="N12" i="2"/>
  <c r="O10" i="3"/>
  <c r="O11" i="3"/>
  <c r="O8" i="4"/>
  <c r="D76" i="4" s="1"/>
  <c r="D74" i="4"/>
  <c r="F74" i="4" s="1"/>
  <c r="K85" i="4" l="1"/>
  <c r="K86" i="4" s="1"/>
  <c r="D86" i="4"/>
  <c r="O16" i="4" s="1"/>
  <c r="Q16" i="4" s="1"/>
  <c r="D75" i="4"/>
  <c r="J75" i="4" s="1"/>
  <c r="K75" i="4" s="1"/>
  <c r="R16" i="4"/>
  <c r="V16" i="4"/>
  <c r="D33" i="2"/>
  <c r="F76" i="4"/>
  <c r="H76" i="4"/>
  <c r="J76" i="4"/>
  <c r="K76" i="4" s="1"/>
  <c r="G76" i="4"/>
  <c r="H86" i="4"/>
  <c r="S8" i="4"/>
  <c r="D77" i="4"/>
  <c r="O14" i="3"/>
  <c r="H74" i="4"/>
  <c r="R8" i="4"/>
  <c r="Q8" i="4"/>
  <c r="G86" i="4"/>
  <c r="H85" i="4"/>
  <c r="G75" i="4"/>
  <c r="G85" i="4"/>
  <c r="D25" i="2"/>
  <c r="F85" i="4"/>
  <c r="J74" i="4"/>
  <c r="K74" i="4" s="1"/>
  <c r="G74" i="4"/>
  <c r="S16" i="4" l="1"/>
  <c r="F86" i="4"/>
  <c r="H75" i="4"/>
  <c r="F75" i="4"/>
  <c r="H77" i="4"/>
  <c r="J77" i="4"/>
  <c r="K77" i="4" s="1"/>
  <c r="K82" i="4" s="1"/>
  <c r="K88" i="4" s="1"/>
  <c r="G77" i="4"/>
  <c r="F77" i="4"/>
  <c r="G25" i="2"/>
  <c r="N16" i="2"/>
  <c r="F25" i="2"/>
  <c r="E25" i="2"/>
  <c r="G33" i="2"/>
  <c r="F33" i="2"/>
  <c r="E33" i="2"/>
  <c r="D82" i="4"/>
  <c r="O18" i="3"/>
  <c r="O15" i="3"/>
  <c r="O19" i="3"/>
  <c r="O16" i="3"/>
  <c r="J82" i="4" l="1"/>
  <c r="U15" i="4" s="1"/>
  <c r="U17" i="4" s="1"/>
  <c r="N21" i="2"/>
  <c r="N20" i="2"/>
  <c r="N18" i="2"/>
  <c r="N17" i="2"/>
  <c r="G82" i="4"/>
  <c r="H82" i="4"/>
  <c r="F82" i="4"/>
  <c r="O15" i="4"/>
  <c r="D88" i="4"/>
  <c r="J88" i="4"/>
  <c r="O17" i="4" l="1"/>
  <c r="E82" i="4"/>
  <c r="E27" i="4"/>
  <c r="E56" i="4"/>
  <c r="E24" i="4"/>
  <c r="E21" i="4"/>
  <c r="E63" i="4"/>
  <c r="E50" i="4"/>
  <c r="E59" i="4"/>
  <c r="E18" i="4"/>
  <c r="E30" i="4"/>
  <c r="E33" i="4"/>
  <c r="E36" i="4"/>
  <c r="E39" i="4"/>
  <c r="E42" i="4"/>
  <c r="E45" i="4"/>
  <c r="E48" i="4"/>
  <c r="E51" i="4"/>
  <c r="E54" i="4"/>
  <c r="E57" i="4"/>
  <c r="E60" i="4"/>
  <c r="E32" i="4"/>
  <c r="E47" i="4"/>
  <c r="E28" i="4"/>
  <c r="E35" i="4"/>
  <c r="E53" i="4"/>
  <c r="E19" i="4"/>
  <c r="E34" i="4"/>
  <c r="E40" i="4"/>
  <c r="E46" i="4"/>
  <c r="E52" i="4"/>
  <c r="E58" i="4"/>
  <c r="E26" i="4"/>
  <c r="E38" i="4"/>
  <c r="E22" i="4"/>
  <c r="E31" i="4"/>
  <c r="E37" i="4"/>
  <c r="E43" i="4"/>
  <c r="E49" i="4"/>
  <c r="E55" i="4"/>
  <c r="E61" i="4"/>
  <c r="E29" i="4"/>
  <c r="E44" i="4"/>
  <c r="E25" i="4"/>
  <c r="E23" i="4"/>
  <c r="E41" i="4"/>
  <c r="E62" i="4"/>
  <c r="E17" i="4"/>
  <c r="E20" i="4"/>
  <c r="F88" i="4"/>
  <c r="E16" i="4"/>
  <c r="E81" i="4"/>
  <c r="E9" i="4"/>
  <c r="H88" i="4"/>
  <c r="O2" i="4"/>
  <c r="E71" i="4"/>
  <c r="E12" i="4"/>
  <c r="E64" i="4"/>
  <c r="E78" i="4"/>
  <c r="O13" i="3"/>
  <c r="O20" i="3" s="1"/>
  <c r="E69" i="4"/>
  <c r="E65" i="4"/>
  <c r="E79" i="4"/>
  <c r="E68" i="4"/>
  <c r="E14" i="4"/>
  <c r="G88" i="4"/>
  <c r="E8" i="4"/>
  <c r="E15" i="4"/>
  <c r="E13" i="4"/>
  <c r="E88" i="4"/>
  <c r="E80" i="4"/>
  <c r="E74" i="4"/>
  <c r="E76" i="4"/>
  <c r="E75" i="4"/>
  <c r="E86" i="4"/>
  <c r="E85" i="4"/>
  <c r="E77" i="4"/>
  <c r="R15" i="4"/>
  <c r="Q15" i="4"/>
  <c r="D32" i="2"/>
  <c r="S15" i="4"/>
  <c r="V15" i="4"/>
  <c r="V17" i="4" s="1"/>
  <c r="Q17" i="4" l="1"/>
  <c r="P16" i="4"/>
  <c r="P13" i="4"/>
  <c r="P12" i="4"/>
  <c r="P14" i="4"/>
  <c r="O9" i="4"/>
  <c r="U9" i="4" s="1"/>
  <c r="U8" i="4" s="1"/>
  <c r="S17" i="4"/>
  <c r="R17" i="4"/>
  <c r="P15" i="4"/>
  <c r="D34" i="2"/>
  <c r="H32" i="2" s="1"/>
  <c r="F32" i="2"/>
  <c r="E32" i="2"/>
  <c r="G32" i="2"/>
  <c r="S9" i="4" l="1"/>
  <c r="R9" i="4"/>
  <c r="Q9" i="4"/>
  <c r="O10" i="4"/>
  <c r="P17" i="4" s="1"/>
  <c r="F34" i="2"/>
  <c r="G34" i="2"/>
  <c r="H34" i="2"/>
  <c r="N15" i="2"/>
  <c r="N22" i="2" s="1"/>
  <c r="H29" i="2"/>
  <c r="E34" i="2"/>
  <c r="H31" i="2"/>
  <c r="H30" i="2"/>
  <c r="D26" i="2"/>
  <c r="H33" i="2"/>
  <c r="V9" i="4" l="1"/>
  <c r="F26" i="2"/>
  <c r="G26" i="2"/>
  <c r="E26" i="2"/>
  <c r="D27" i="2"/>
  <c r="H26" i="2" s="1"/>
  <c r="S10" i="4"/>
  <c r="R10" i="4"/>
  <c r="P10" i="4"/>
  <c r="Q10" i="4"/>
  <c r="P8" i="4"/>
  <c r="U10" i="4"/>
  <c r="V8" i="4"/>
  <c r="P9" i="4"/>
  <c r="V10" i="4" l="1"/>
  <c r="H27" i="2"/>
  <c r="F27" i="2"/>
  <c r="G27" i="2"/>
  <c r="E27" i="2"/>
  <c r="H25" i="2"/>
  <c r="N4" i="4" l="1"/>
  <c r="O4" i="4"/>
</calcChain>
</file>

<file path=xl/sharedStrings.xml><?xml version="1.0" encoding="utf-8"?>
<sst xmlns="http://schemas.openxmlformats.org/spreadsheetml/2006/main" count="368" uniqueCount="216">
  <si>
    <t>Unit</t>
  </si>
  <si>
    <t>Bed</t>
  </si>
  <si>
    <t>SqFt</t>
  </si>
  <si>
    <t>Feet</t>
  </si>
  <si>
    <t>Square</t>
  </si>
  <si>
    <t>FM</t>
  </si>
  <si>
    <t>Monthly</t>
  </si>
  <si>
    <t>Rent</t>
  </si>
  <si>
    <t>Annual</t>
  </si>
  <si>
    <t>($ / SF)</t>
  </si>
  <si>
    <t>TOTAL / AVG:</t>
  </si>
  <si>
    <t>RESIDENTIAL RENT ROLL</t>
  </si>
  <si>
    <t>Total</t>
  </si>
  <si>
    <t>Units</t>
  </si>
  <si>
    <t>Avg.</t>
  </si>
  <si>
    <t>Rent/Mo.</t>
  </si>
  <si>
    <t>Rent/Yr.</t>
  </si>
  <si>
    <t>Avg. Rent</t>
  </si>
  <si>
    <t>($ /Unit)</t>
  </si>
  <si>
    <t>($ / SqFt)</t>
  </si>
  <si>
    <t>Unit Mix Summary</t>
  </si>
  <si>
    <t>TOTAL</t>
  </si>
  <si>
    <t>Effective Gross Income</t>
  </si>
  <si>
    <t>Insurance</t>
  </si>
  <si>
    <t>Water/Sewer</t>
  </si>
  <si>
    <t>Repairs &amp; Maintenance</t>
  </si>
  <si>
    <t>Payroll</t>
  </si>
  <si>
    <t>Total Expenses</t>
  </si>
  <si>
    <t>Net Operating Income</t>
  </si>
  <si>
    <t>Income:</t>
  </si>
  <si>
    <t>Residential Income (FM)</t>
  </si>
  <si>
    <t>Vacancy &amp; Credit Loss (FM)</t>
  </si>
  <si>
    <t>Vacancy &amp; Credit Loss (Commercial)</t>
  </si>
  <si>
    <t>Rent Roll</t>
  </si>
  <si>
    <t>COMMERCIAL RENT ROLL</t>
  </si>
  <si>
    <t>Gallery</t>
  </si>
  <si>
    <t>Retail</t>
  </si>
  <si>
    <t>Commercial Income</t>
  </si>
  <si>
    <t>Expenses:</t>
  </si>
  <si>
    <t>Real Estate Taxes</t>
  </si>
  <si>
    <t>Real Estate Taxes Savings</t>
  </si>
  <si>
    <t>$ Total</t>
  </si>
  <si>
    <t>% EGI</t>
  </si>
  <si>
    <t>RENTAL PROFORMA</t>
  </si>
  <si>
    <t>Management Fee</t>
  </si>
  <si>
    <t>Project Summary</t>
  </si>
  <si>
    <t>Project Name</t>
  </si>
  <si>
    <t>Address/Location</t>
  </si>
  <si>
    <t>Submarket</t>
  </si>
  <si>
    <t>Lot SF</t>
  </si>
  <si>
    <t>FAR</t>
  </si>
  <si>
    <t>ZFA</t>
  </si>
  <si>
    <t>GSF</t>
  </si>
  <si>
    <t>NSF</t>
  </si>
  <si>
    <t>Harlem</t>
  </si>
  <si>
    <t>Block / Lot</t>
  </si>
  <si>
    <t>1723 / 17</t>
  </si>
  <si>
    <t>33-35 W 125th St, New York, NY 10027</t>
  </si>
  <si>
    <t>Sources &amp; Uses</t>
  </si>
  <si>
    <t>Sources</t>
  </si>
  <si>
    <t>Total Cost</t>
  </si>
  <si>
    <t>$ / ZFA</t>
  </si>
  <si>
    <t>$ / GSF</t>
  </si>
  <si>
    <t>$ / NSF</t>
  </si>
  <si>
    <t>%</t>
  </si>
  <si>
    <t>Senior Loan</t>
  </si>
  <si>
    <t>Sponsor Equity</t>
  </si>
  <si>
    <t>Total Sources:</t>
  </si>
  <si>
    <t>Uses</t>
  </si>
  <si>
    <t>Acquisition Costs</t>
  </si>
  <si>
    <t>Hard Costs</t>
  </si>
  <si>
    <t>Soft Costs</t>
  </si>
  <si>
    <t>Financing Costs</t>
  </si>
  <si>
    <t>Interest/Carry Costs</t>
  </si>
  <si>
    <t>Total Uses:</t>
  </si>
  <si>
    <t>$ / Unit</t>
  </si>
  <si>
    <t>Total Residential Units</t>
  </si>
  <si>
    <t>Total Residential SF</t>
  </si>
  <si>
    <t>Total Commercial Units</t>
  </si>
  <si>
    <t>Total Commercial SF</t>
  </si>
  <si>
    <t>$ Total Amount</t>
  </si>
  <si>
    <t>% Total</t>
  </si>
  <si>
    <t>Spent to Date</t>
  </si>
  <si>
    <t>Spent at Closing</t>
  </si>
  <si>
    <t>Future Funded</t>
  </si>
  <si>
    <t>Total Acquisition Costs</t>
  </si>
  <si>
    <t>Total Hard Costs</t>
  </si>
  <si>
    <t>Total Soft Costs</t>
  </si>
  <si>
    <t>Total Unlevered Development Costs</t>
  </si>
  <si>
    <t>Mortgage Recording Tax</t>
  </si>
  <si>
    <t>Title</t>
  </si>
  <si>
    <t>Lender Origination Fee</t>
  </si>
  <si>
    <t>Mortgage Broker Fee</t>
  </si>
  <si>
    <t>Lender Legal</t>
  </si>
  <si>
    <t>Borrower Legal</t>
  </si>
  <si>
    <t>Third Parties</t>
  </si>
  <si>
    <t>Misc. Closing Costs</t>
  </si>
  <si>
    <t>Total Levered Development Costs</t>
  </si>
  <si>
    <t>Interest Reserve</t>
  </si>
  <si>
    <t>SOURCES:</t>
  </si>
  <si>
    <t>TOTAL SOURCES:</t>
  </si>
  <si>
    <t>USES:</t>
  </si>
  <si>
    <t>Cap Rate</t>
  </si>
  <si>
    <t>Valuation Summary</t>
  </si>
  <si>
    <t>Proforma NOI (Full Tax)</t>
  </si>
  <si>
    <t>Proforma NOI (Abated)</t>
  </si>
  <si>
    <t>Full Tax Value (A):</t>
  </si>
  <si>
    <t>PV of Tax Savings (B):</t>
  </si>
  <si>
    <t>Total Stabilized Value (A + B):</t>
  </si>
  <si>
    <t>Value / Unit</t>
  </si>
  <si>
    <t>Value / GSF</t>
  </si>
  <si>
    <t>Construction Loan</t>
  </si>
  <si>
    <t>Development Capitalization</t>
  </si>
  <si>
    <t>Debt / Unit</t>
  </si>
  <si>
    <t>Debt / GSF</t>
  </si>
  <si>
    <t>Stabilized LTV</t>
  </si>
  <si>
    <t>Stabilized DY</t>
  </si>
  <si>
    <t>Stabilized YoC</t>
  </si>
  <si>
    <t>33-35 W. 125th Street</t>
  </si>
  <si>
    <t>Proforma Valuation Summary</t>
  </si>
  <si>
    <t>Residential EGI</t>
  </si>
  <si>
    <t>Assessment Growth Rate</t>
  </si>
  <si>
    <t>Tax Rate Growth</t>
  </si>
  <si>
    <t>Discount Rate</t>
  </si>
  <si>
    <t>NPV of Tax Savings</t>
  </si>
  <si>
    <t>Benefit Year</t>
  </si>
  <si>
    <t>Year of Program (Start)</t>
  </si>
  <si>
    <t>Taxable Assessment</t>
  </si>
  <si>
    <t>AV Prior to Construction</t>
  </si>
  <si>
    <t>Increase in AV</t>
  </si>
  <si>
    <t>% Exempt</t>
  </si>
  <si>
    <t>Exemption Amount</t>
  </si>
  <si>
    <t>Tax Rate</t>
  </si>
  <si>
    <t>Unabated RET</t>
  </si>
  <si>
    <t>Abated RET</t>
  </si>
  <si>
    <t>RET Savings</t>
  </si>
  <si>
    <t>Total Interest/Carry Costs</t>
  </si>
  <si>
    <t>Total Financing Costs</t>
  </si>
  <si>
    <t>General &amp; Administrative</t>
  </si>
  <si>
    <t>Reserves</t>
  </si>
  <si>
    <t>Sponsor</t>
  </si>
  <si>
    <t>Irgang Group</t>
  </si>
  <si>
    <t>Minimum Equity Requirement</t>
  </si>
  <si>
    <t>Construction Loan Proceeds</t>
  </si>
  <si>
    <t>Existing Debt Payoff</t>
  </si>
  <si>
    <t>Utilities</t>
  </si>
  <si>
    <t>HPD / IH</t>
  </si>
  <si>
    <t>Residential Income (HPD / IH)</t>
  </si>
  <si>
    <t>Vacancy &amp; Credit Loss (HPD / IH)</t>
  </si>
  <si>
    <t>Marked-Up Land Value</t>
  </si>
  <si>
    <t>Floor</t>
  </si>
  <si>
    <t>33-35 W. 125TH STREET</t>
  </si>
  <si>
    <t>Sponsor Budget</t>
  </si>
  <si>
    <t>Mgmt Fee</t>
  </si>
  <si>
    <t>421A Analysis</t>
  </si>
  <si>
    <t>AV Prior to Construction (land assessment)</t>
  </si>
  <si>
    <t>Monthly CF Model Year</t>
  </si>
  <si>
    <t>33-35 West 125th Street NY, NY</t>
  </si>
  <si>
    <t>Block &amp; Lot</t>
  </si>
  <si>
    <t>Commercial EGI</t>
  </si>
  <si>
    <t>Manhattan</t>
  </si>
  <si>
    <t>Borough</t>
  </si>
  <si>
    <t>Affordable NY - Option C</t>
  </si>
  <si>
    <t>Fencing</t>
  </si>
  <si>
    <t>Demolition</t>
  </si>
  <si>
    <t>Demo Shed</t>
  </si>
  <si>
    <t>Site Safety Consultant Including OT</t>
  </si>
  <si>
    <t>Site Supervision - Assistant</t>
  </si>
  <si>
    <t>Monitoring - (Vib, Opt, Crack)</t>
  </si>
  <si>
    <t>Live Monitoring (security)</t>
  </si>
  <si>
    <t>Shop Drawings</t>
  </si>
  <si>
    <t>During Construction Cleaning</t>
  </si>
  <si>
    <t>Scaffolding</t>
  </si>
  <si>
    <t>Final Cleaning</t>
  </si>
  <si>
    <t>Foundation Waterproofing</t>
  </si>
  <si>
    <t>Generator</t>
  </si>
  <si>
    <t>SOE/Exc/FO Piles</t>
  </si>
  <si>
    <t>Concrete FO &amp; Structure</t>
  </si>
  <si>
    <t>Water and Sewer</t>
  </si>
  <si>
    <t>Soil Removal/Trucking</t>
  </si>
  <si>
    <t>Elevators</t>
  </si>
  <si>
    <t>Plumbing</t>
  </si>
  <si>
    <t>Sprinklers</t>
  </si>
  <si>
    <t>Electrical</t>
  </si>
  <si>
    <t>Low Voltage</t>
  </si>
  <si>
    <t>Fire Alarms/ARCS</t>
  </si>
  <si>
    <t>HVAC</t>
  </si>
  <si>
    <t>Alum. Windows/Storefronts</t>
  </si>
  <si>
    <t>Trash Chute</t>
  </si>
  <si>
    <t>Facade -PanelsBricks</t>
  </si>
  <si>
    <t>CMU</t>
  </si>
  <si>
    <t>Stucco - Eifs System</t>
  </si>
  <si>
    <t>Roofing/Waterproofing</t>
  </si>
  <si>
    <t>Structural Steel/Misc.steel</t>
  </si>
  <si>
    <t>Architectural Milwork</t>
  </si>
  <si>
    <t>Pipe Insulation</t>
  </si>
  <si>
    <t>Glass railings for Balconies</t>
  </si>
  <si>
    <t>Interior Glass</t>
  </si>
  <si>
    <t>Framing/Carpentry</t>
  </si>
  <si>
    <t>Kitchens</t>
  </si>
  <si>
    <t>Tile &amp; Stone</t>
  </si>
  <si>
    <t>Tiles Installation</t>
  </si>
  <si>
    <t>Wood Flooring/Sub Flooring</t>
  </si>
  <si>
    <t>Painting</t>
  </si>
  <si>
    <t>Signage</t>
  </si>
  <si>
    <t>Plumbing Fixtures &amp; Accessories</t>
  </si>
  <si>
    <t>Appliances</t>
  </si>
  <si>
    <t>Mailbox Units</t>
  </si>
  <si>
    <t>Bike Racks</t>
  </si>
  <si>
    <t>Lighting Fixtures</t>
  </si>
  <si>
    <t>Gym Equipment</t>
  </si>
  <si>
    <t>Amenities</t>
  </si>
  <si>
    <t>Sidewalks/Curbs,BPP</t>
  </si>
  <si>
    <t>Site Conditions</t>
  </si>
  <si>
    <t>GC Fee</t>
  </si>
  <si>
    <t>CONTINGENCY(10%)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</si>
</sst>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4" formatCode="General&quot;BR&quot;"/>
    <numFmt numFmtId="165" formatCode="0.0%"/>
    <numFmt numFmtId="166" formatCode="0.000%"/>
    <numFmt numFmtId="167" formatCode="0.0000%"/>
    <numFmt numFmtId="168" formatCode="&quot;Year &quot;General"/>
  </numFmts>
  <fonts count="20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  <font>
      <b/>
      <i/>
      <u/>
      <sz val="11"/>
      <color theme="1"/>
      <name val="Calibri"/>
      <family val="2"/>
    </font>
    <font>
      <i/>
      <sz val="11"/>
      <color rgb="FF0000FF"/>
      <name val="Calibri"/>
      <family val="2"/>
    </font>
    <font>
      <sz val="11"/>
      <name val="Calibri"/>
      <family val="2"/>
    </font>
    <font>
      <b/>
      <i/>
      <sz val="11"/>
      <color rgb="FF0000FF"/>
      <name val="Calibri"/>
      <family val="2"/>
    </font>
    <font>
      <b/>
      <sz val="24"/>
      <color theme="0"/>
      <name val="Calibri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sz val="11"/>
      <color rgb="FF0000FF"/>
      <name val="Franklin Gothic Book"/>
      <family val="2"/>
    </font>
    <font>
      <sz val="11"/>
      <name val="Franklin Gothic Book"/>
      <family val="2"/>
    </font>
    <font>
      <b/>
      <sz val="11"/>
      <color theme="0"/>
      <name val="Franklin Gothic Book"/>
      <family val="2"/>
    </font>
    <font>
      <b/>
      <sz val="12"/>
      <color theme="1"/>
      <name val="Franklin Gothic Book"/>
      <family val="2"/>
    </font>
    <font>
      <sz val="11"/>
      <color theme="0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4D9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3" fontId="0" fillId="2" borderId="0" xfId="0" applyNumberFormat="1" applyFill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6" fontId="0" fillId="2" borderId="0" xfId="0" applyNumberFormat="1" applyFill="1" applyAlignment="1">
      <alignment vertical="center"/>
    </xf>
    <xf numFmtId="164" fontId="0" fillId="2" borderId="7" xfId="0" applyNumberFormat="1" applyFill="1" applyBorder="1" applyAlignment="1">
      <alignment horizontal="center" vertical="center"/>
    </xf>
    <xf numFmtId="8" fontId="0" fillId="2" borderId="8" xfId="0" applyNumberForma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7" fillId="5" borderId="1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6" fontId="3" fillId="3" borderId="2" xfId="0" applyNumberFormat="1" applyFont="1" applyFill="1" applyBorder="1" applyAlignment="1">
      <alignment vertical="center"/>
    </xf>
    <xf numFmtId="8" fontId="3" fillId="3" borderId="3" xfId="0" applyNumberFormat="1" applyFont="1" applyFill="1" applyBorder="1" applyAlignment="1">
      <alignment vertical="center"/>
    </xf>
    <xf numFmtId="0" fontId="0" fillId="2" borderId="0" xfId="0" applyFill="1"/>
    <xf numFmtId="0" fontId="0" fillId="2" borderId="7" xfId="0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3" fontId="10" fillId="2" borderId="0" xfId="0" applyNumberFormat="1" applyFont="1" applyFill="1" applyAlignment="1">
      <alignment vertical="center"/>
    </xf>
    <xf numFmtId="0" fontId="3" fillId="2" borderId="5" xfId="0" applyFont="1" applyFill="1" applyBorder="1"/>
    <xf numFmtId="0" fontId="0" fillId="2" borderId="0" xfId="0" applyFill="1" applyAlignment="1">
      <alignment horizontal="right"/>
    </xf>
    <xf numFmtId="5" fontId="0" fillId="2" borderId="0" xfId="0" applyNumberFormat="1" applyFill="1" applyAlignment="1">
      <alignment horizontal="right"/>
    </xf>
    <xf numFmtId="5" fontId="3" fillId="2" borderId="5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2" borderId="18" xfId="0" applyFill="1" applyBorder="1"/>
    <xf numFmtId="5" fontId="0" fillId="2" borderId="18" xfId="0" applyNumberFormat="1" applyFill="1" applyBorder="1" applyAlignment="1">
      <alignment horizontal="right"/>
    </xf>
    <xf numFmtId="7" fontId="3" fillId="2" borderId="5" xfId="0" applyNumberFormat="1" applyFont="1" applyFill="1" applyBorder="1" applyAlignment="1">
      <alignment horizontal="right"/>
    </xf>
    <xf numFmtId="7" fontId="0" fillId="2" borderId="18" xfId="0" applyNumberFormat="1" applyFill="1" applyBorder="1" applyAlignment="1">
      <alignment horizontal="right"/>
    </xf>
    <xf numFmtId="0" fontId="0" fillId="2" borderId="0" xfId="0" applyFill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3" fontId="0" fillId="2" borderId="8" xfId="0" applyNumberFormat="1" applyFill="1" applyBorder="1" applyAlignment="1">
      <alignment horizontal="right" vertical="center"/>
    </xf>
    <xf numFmtId="2" fontId="0" fillId="2" borderId="8" xfId="0" applyNumberFormat="1" applyFill="1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3" fontId="0" fillId="2" borderId="17" xfId="0" applyNumberForma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8" fontId="0" fillId="2" borderId="0" xfId="0" applyNumberFormat="1" applyFill="1" applyAlignment="1">
      <alignment horizontal="right" vertical="center"/>
    </xf>
    <xf numFmtId="8" fontId="3" fillId="3" borderId="2" xfId="0" applyNumberFormat="1" applyFont="1" applyFill="1" applyBorder="1" applyAlignment="1">
      <alignment horizontal="right" vertical="center"/>
    </xf>
    <xf numFmtId="8" fontId="2" fillId="4" borderId="2" xfId="0" applyNumberFormat="1" applyFont="1" applyFill="1" applyBorder="1" applyAlignment="1">
      <alignment horizontal="right" vertical="center"/>
    </xf>
    <xf numFmtId="6" fontId="0" fillId="2" borderId="0" xfId="0" applyNumberFormat="1" applyFill="1" applyAlignment="1">
      <alignment horizontal="right" vertical="center"/>
    </xf>
    <xf numFmtId="6" fontId="3" fillId="3" borderId="2" xfId="0" applyNumberFormat="1" applyFont="1" applyFill="1" applyBorder="1" applyAlignment="1">
      <alignment horizontal="right" vertical="center"/>
    </xf>
    <xf numFmtId="6" fontId="2" fillId="4" borderId="2" xfId="0" applyNumberFormat="1" applyFont="1" applyFill="1" applyBorder="1" applyAlignment="1">
      <alignment horizontal="right" vertical="center"/>
    </xf>
    <xf numFmtId="0" fontId="0" fillId="2" borderId="4" xfId="0" applyFill="1" applyBorder="1" applyAlignment="1">
      <alignment vertical="center"/>
    </xf>
    <xf numFmtId="0" fontId="0" fillId="2" borderId="6" xfId="0" applyFill="1" applyBorder="1" applyAlignment="1">
      <alignment horizontal="right" vertical="center"/>
    </xf>
    <xf numFmtId="165" fontId="0" fillId="2" borderId="8" xfId="0" applyNumberFormat="1" applyFill="1" applyBorder="1" applyAlignment="1">
      <alignment horizontal="right" vertical="center"/>
    </xf>
    <xf numFmtId="165" fontId="3" fillId="3" borderId="3" xfId="0" applyNumberFormat="1" applyFont="1" applyFill="1" applyBorder="1" applyAlignment="1">
      <alignment horizontal="right" vertical="center"/>
    </xf>
    <xf numFmtId="165" fontId="2" fillId="4" borderId="3" xfId="0" applyNumberFormat="1" applyFont="1" applyFill="1" applyBorder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3" fillId="2" borderId="5" xfId="0" applyNumberFormat="1" applyFont="1" applyFill="1" applyBorder="1" applyAlignment="1">
      <alignment vertical="center"/>
    </xf>
    <xf numFmtId="6" fontId="3" fillId="2" borderId="5" xfId="0" applyNumberFormat="1" applyFont="1" applyFill="1" applyBorder="1" applyAlignment="1">
      <alignment horizontal="right" vertical="center"/>
    </xf>
    <xf numFmtId="0" fontId="0" fillId="2" borderId="18" xfId="0" applyFill="1" applyBorder="1" applyAlignment="1">
      <alignment vertical="center"/>
    </xf>
    <xf numFmtId="165" fontId="0" fillId="2" borderId="18" xfId="0" applyNumberFormat="1" applyFill="1" applyBorder="1" applyAlignment="1">
      <alignment vertical="center"/>
    </xf>
    <xf numFmtId="6" fontId="0" fillId="2" borderId="18" xfId="0" applyNumberFormat="1" applyFill="1" applyBorder="1" applyAlignment="1">
      <alignment horizontal="right" vertical="center"/>
    </xf>
    <xf numFmtId="0" fontId="3" fillId="3" borderId="18" xfId="0" applyFont="1" applyFill="1" applyBorder="1" applyAlignment="1">
      <alignment vertical="center"/>
    </xf>
    <xf numFmtId="165" fontId="3" fillId="3" borderId="18" xfId="0" applyNumberFormat="1" applyFont="1" applyFill="1" applyBorder="1" applyAlignment="1">
      <alignment vertical="center"/>
    </xf>
    <xf numFmtId="6" fontId="3" fillId="3" borderId="18" xfId="0" applyNumberFormat="1" applyFont="1" applyFill="1" applyBorder="1" applyAlignment="1">
      <alignment horizontal="right" vertical="center"/>
    </xf>
    <xf numFmtId="37" fontId="3" fillId="5" borderId="10" xfId="0" applyNumberFormat="1" applyFont="1" applyFill="1" applyBorder="1" applyAlignment="1">
      <alignment horizontal="center" vertical="center"/>
    </xf>
    <xf numFmtId="7" fontId="3" fillId="2" borderId="5" xfId="0" applyNumberFormat="1" applyFont="1" applyFill="1" applyBorder="1" applyAlignment="1">
      <alignment horizontal="right" vertical="center"/>
    </xf>
    <xf numFmtId="7" fontId="0" fillId="2" borderId="18" xfId="0" applyNumberFormat="1" applyFill="1" applyBorder="1" applyAlignment="1">
      <alignment horizontal="right" vertical="center"/>
    </xf>
    <xf numFmtId="7" fontId="3" fillId="3" borderId="18" xfId="0" applyNumberFormat="1" applyFont="1" applyFill="1" applyBorder="1" applyAlignment="1">
      <alignment horizontal="right" vertical="center"/>
    </xf>
    <xf numFmtId="5" fontId="3" fillId="2" borderId="5" xfId="0" applyNumberFormat="1" applyFont="1" applyFill="1" applyBorder="1" applyAlignment="1">
      <alignment vertical="center"/>
    </xf>
    <xf numFmtId="5" fontId="0" fillId="2" borderId="18" xfId="0" applyNumberFormat="1" applyFill="1" applyBorder="1" applyAlignment="1">
      <alignment vertical="center"/>
    </xf>
    <xf numFmtId="5" fontId="3" fillId="3" borderId="18" xfId="0" applyNumberFormat="1" applyFont="1" applyFill="1" applyBorder="1" applyAlignment="1">
      <alignment vertical="center"/>
    </xf>
    <xf numFmtId="6" fontId="2" fillId="4" borderId="9" xfId="0" applyNumberFormat="1" applyFont="1" applyFill="1" applyBorder="1" applyAlignment="1">
      <alignment vertical="center"/>
    </xf>
    <xf numFmtId="165" fontId="2" fillId="4" borderId="9" xfId="0" applyNumberFormat="1" applyFont="1" applyFill="1" applyBorder="1" applyAlignment="1">
      <alignment horizontal="right" vertical="center"/>
    </xf>
    <xf numFmtId="8" fontId="2" fillId="4" borderId="9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5" fontId="3" fillId="3" borderId="2" xfId="0" applyNumberFormat="1" applyFont="1" applyFill="1" applyBorder="1" applyAlignment="1">
      <alignment horizontal="right" vertical="center"/>
    </xf>
    <xf numFmtId="5" fontId="2" fillId="4" borderId="9" xfId="0" applyNumberFormat="1" applyFont="1" applyFill="1" applyBorder="1" applyAlignment="1">
      <alignment horizontal="right" vertical="center"/>
    </xf>
    <xf numFmtId="6" fontId="2" fillId="4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right" vertical="center"/>
    </xf>
    <xf numFmtId="5" fontId="0" fillId="2" borderId="0" xfId="0" applyNumberFormat="1" applyFill="1" applyAlignment="1">
      <alignment horizontal="right" vertical="center"/>
    </xf>
    <xf numFmtId="5" fontId="0" fillId="2" borderId="8" xfId="0" applyNumberFormat="1" applyFill="1" applyBorder="1" applyAlignment="1">
      <alignment horizontal="right" vertical="center"/>
    </xf>
    <xf numFmtId="165" fontId="0" fillId="2" borderId="0" xfId="0" applyNumberFormat="1" applyFill="1" applyAlignment="1">
      <alignment horizontal="right" vertical="center"/>
    </xf>
    <xf numFmtId="5" fontId="3" fillId="3" borderId="3" xfId="0" applyNumberFormat="1" applyFont="1" applyFill="1" applyBorder="1" applyAlignment="1">
      <alignment horizontal="right" vertical="center"/>
    </xf>
    <xf numFmtId="5" fontId="2" fillId="4" borderId="17" xfId="0" applyNumberFormat="1" applyFont="1" applyFill="1" applyBorder="1" applyAlignment="1">
      <alignment horizontal="right" vertical="center"/>
    </xf>
    <xf numFmtId="0" fontId="2" fillId="4" borderId="19" xfId="0" applyFont="1" applyFill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6" fontId="2" fillId="4" borderId="20" xfId="0" applyNumberFormat="1" applyFont="1" applyFill="1" applyBorder="1" applyAlignment="1">
      <alignment vertical="center"/>
    </xf>
    <xf numFmtId="165" fontId="2" fillId="4" borderId="20" xfId="0" applyNumberFormat="1" applyFont="1" applyFill="1" applyBorder="1" applyAlignment="1">
      <alignment vertical="center"/>
    </xf>
    <xf numFmtId="8" fontId="2" fillId="4" borderId="20" xfId="0" applyNumberFormat="1" applyFont="1" applyFill="1" applyBorder="1" applyAlignment="1">
      <alignment horizontal="right" vertical="center"/>
    </xf>
    <xf numFmtId="6" fontId="2" fillId="4" borderId="20" xfId="0" applyNumberFormat="1" applyFont="1" applyFill="1" applyBorder="1" applyAlignment="1">
      <alignment horizontal="right" vertical="center"/>
    </xf>
    <xf numFmtId="6" fontId="2" fillId="4" borderId="21" xfId="0" applyNumberFormat="1" applyFont="1" applyFill="1" applyBorder="1" applyAlignment="1">
      <alignment horizontal="right" vertical="center"/>
    </xf>
    <xf numFmtId="5" fontId="0" fillId="2" borderId="0" xfId="0" applyNumberFormat="1" applyFill="1" applyAlignment="1">
      <alignment vertical="center"/>
    </xf>
    <xf numFmtId="7" fontId="0" fillId="2" borderId="0" xfId="0" applyNumberFormat="1" applyFill="1" applyAlignment="1">
      <alignment horizontal="right" vertical="center"/>
    </xf>
    <xf numFmtId="6" fontId="0" fillId="2" borderId="8" xfId="0" applyNumberFormat="1" applyFill="1" applyBorder="1" applyAlignment="1">
      <alignment horizontal="right" vertical="center"/>
    </xf>
    <xf numFmtId="6" fontId="3" fillId="2" borderId="6" xfId="0" applyNumberFormat="1" applyFont="1" applyFill="1" applyBorder="1" applyAlignment="1">
      <alignment horizontal="right" vertical="center"/>
    </xf>
    <xf numFmtId="5" fontId="5" fillId="2" borderId="0" xfId="0" applyNumberFormat="1" applyFont="1" applyFill="1" applyAlignment="1">
      <alignment vertical="center"/>
    </xf>
    <xf numFmtId="0" fontId="0" fillId="2" borderId="22" xfId="0" applyFill="1" applyBorder="1" applyAlignment="1">
      <alignment vertical="center"/>
    </xf>
    <xf numFmtId="6" fontId="0" fillId="2" borderId="23" xfId="0" applyNumberFormat="1" applyFill="1" applyBorder="1" applyAlignment="1">
      <alignment horizontal="right" vertical="center"/>
    </xf>
    <xf numFmtId="0" fontId="3" fillId="3" borderId="22" xfId="0" applyFont="1" applyFill="1" applyBorder="1" applyAlignment="1">
      <alignment vertical="center"/>
    </xf>
    <xf numFmtId="6" fontId="3" fillId="3" borderId="23" xfId="0" applyNumberFormat="1" applyFont="1" applyFill="1" applyBorder="1" applyAlignment="1">
      <alignment horizontal="right" vertical="center"/>
    </xf>
    <xf numFmtId="10" fontId="5" fillId="2" borderId="0" xfId="0" applyNumberFormat="1" applyFont="1" applyFill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5" fontId="3" fillId="3" borderId="9" xfId="0" applyNumberFormat="1" applyFont="1" applyFill="1" applyBorder="1" applyAlignment="1">
      <alignment vertical="center"/>
    </xf>
    <xf numFmtId="165" fontId="3" fillId="3" borderId="9" xfId="0" applyNumberFormat="1" applyFont="1" applyFill="1" applyBorder="1" applyAlignment="1">
      <alignment vertical="center"/>
    </xf>
    <xf numFmtId="7" fontId="3" fillId="3" borderId="9" xfId="0" applyNumberFormat="1" applyFont="1" applyFill="1" applyBorder="1" applyAlignment="1">
      <alignment horizontal="right" vertical="center"/>
    </xf>
    <xf numFmtId="6" fontId="3" fillId="3" borderId="9" xfId="0" applyNumberFormat="1" applyFont="1" applyFill="1" applyBorder="1" applyAlignment="1">
      <alignment horizontal="right" vertical="center"/>
    </xf>
    <xf numFmtId="6" fontId="3" fillId="3" borderId="17" xfId="0" applyNumberFormat="1" applyFont="1" applyFill="1" applyBorder="1" applyAlignment="1">
      <alignment horizontal="right" vertical="center"/>
    </xf>
    <xf numFmtId="5" fontId="2" fillId="4" borderId="20" xfId="0" applyNumberFormat="1" applyFont="1" applyFill="1" applyBorder="1" applyAlignment="1">
      <alignment vertical="center"/>
    </xf>
    <xf numFmtId="7" fontId="2" fillId="4" borderId="20" xfId="0" applyNumberFormat="1" applyFont="1" applyFill="1" applyBorder="1" applyAlignment="1">
      <alignment horizontal="right" vertical="center"/>
    </xf>
    <xf numFmtId="8" fontId="8" fillId="2" borderId="0" xfId="0" applyNumberFormat="1" applyFont="1" applyFill="1" applyAlignment="1">
      <alignment horizontal="center" vertical="center"/>
    </xf>
    <xf numFmtId="0" fontId="0" fillId="2" borderId="7" xfId="0" applyFill="1" applyBorder="1"/>
    <xf numFmtId="5" fontId="0" fillId="2" borderId="8" xfId="0" applyNumberFormat="1" applyFill="1" applyBorder="1"/>
    <xf numFmtId="10" fontId="5" fillId="2" borderId="8" xfId="0" applyNumberFormat="1" applyFont="1" applyFill="1" applyBorder="1"/>
    <xf numFmtId="0" fontId="3" fillId="2" borderId="4" xfId="0" applyFont="1" applyFill="1" applyBorder="1"/>
    <xf numFmtId="5" fontId="3" fillId="2" borderId="6" xfId="0" applyNumberFormat="1" applyFont="1" applyFill="1" applyBorder="1"/>
    <xf numFmtId="0" fontId="0" fillId="2" borderId="8" xfId="0" applyFill="1" applyBorder="1"/>
    <xf numFmtId="6" fontId="0" fillId="2" borderId="8" xfId="0" applyNumberFormat="1" applyFill="1" applyBorder="1"/>
    <xf numFmtId="0" fontId="0" fillId="2" borderId="22" xfId="0" applyFill="1" applyBorder="1"/>
    <xf numFmtId="0" fontId="0" fillId="2" borderId="23" xfId="0" applyFill="1" applyBorder="1"/>
    <xf numFmtId="0" fontId="3" fillId="3" borderId="7" xfId="0" applyFont="1" applyFill="1" applyBorder="1"/>
    <xf numFmtId="0" fontId="3" fillId="3" borderId="0" xfId="0" applyFont="1" applyFill="1"/>
    <xf numFmtId="165" fontId="3" fillId="3" borderId="8" xfId="0" applyNumberFormat="1" applyFont="1" applyFill="1" applyBorder="1"/>
    <xf numFmtId="0" fontId="3" fillId="3" borderId="16" xfId="0" applyFont="1" applyFill="1" applyBorder="1"/>
    <xf numFmtId="0" fontId="3" fillId="3" borderId="9" xfId="0" applyFont="1" applyFill="1" applyBorder="1"/>
    <xf numFmtId="165" fontId="3" fillId="3" borderId="17" xfId="0" applyNumberFormat="1" applyFont="1" applyFill="1" applyBorder="1"/>
    <xf numFmtId="0" fontId="8" fillId="2" borderId="7" xfId="0" applyFont="1" applyFill="1" applyBorder="1"/>
    <xf numFmtId="5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8" fillId="2" borderId="8" xfId="0" applyFont="1" applyFill="1" applyBorder="1" applyAlignment="1">
      <alignment horizontal="right"/>
    </xf>
    <xf numFmtId="7" fontId="0" fillId="2" borderId="0" xfId="0" applyNumberFormat="1" applyFill="1" applyAlignment="1">
      <alignment horizontal="right"/>
    </xf>
    <xf numFmtId="165" fontId="0" fillId="2" borderId="8" xfId="0" applyNumberFormat="1" applyFill="1" applyBorder="1" applyAlignment="1">
      <alignment horizontal="right"/>
    </xf>
    <xf numFmtId="165" fontId="3" fillId="2" borderId="6" xfId="0" applyNumberFormat="1" applyFont="1" applyFill="1" applyBorder="1" applyAlignment="1">
      <alignment horizontal="right"/>
    </xf>
    <xf numFmtId="5" fontId="5" fillId="2" borderId="0" xfId="0" applyNumberFormat="1" applyFont="1" applyFill="1" applyAlignment="1">
      <alignment horizontal="right"/>
    </xf>
    <xf numFmtId="165" fontId="5" fillId="2" borderId="8" xfId="0" applyNumberFormat="1" applyFont="1" applyFill="1" applyBorder="1" applyAlignment="1">
      <alignment horizontal="right"/>
    </xf>
    <xf numFmtId="165" fontId="0" fillId="2" borderId="23" xfId="0" applyNumberFormat="1" applyFill="1" applyBorder="1" applyAlignment="1">
      <alignment horizontal="right"/>
    </xf>
    <xf numFmtId="5" fontId="3" fillId="3" borderId="9" xfId="0" applyNumberFormat="1" applyFont="1" applyFill="1" applyBorder="1" applyAlignment="1">
      <alignment horizontal="right"/>
    </xf>
    <xf numFmtId="7" fontId="3" fillId="3" borderId="9" xfId="0" applyNumberFormat="1" applyFont="1" applyFill="1" applyBorder="1" applyAlignment="1">
      <alignment horizontal="right"/>
    </xf>
    <xf numFmtId="165" fontId="3" fillId="3" borderId="17" xfId="0" applyNumberFormat="1" applyFont="1" applyFill="1" applyBorder="1" applyAlignment="1">
      <alignment horizontal="right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right" vertical="center"/>
    </xf>
    <xf numFmtId="0" fontId="6" fillId="2" borderId="18" xfId="0" applyFont="1" applyFill="1" applyBorder="1" applyAlignment="1">
      <alignment vertical="center"/>
    </xf>
    <xf numFmtId="10" fontId="10" fillId="2" borderId="8" xfId="0" applyNumberFormat="1" applyFont="1" applyFill="1" applyBorder="1"/>
    <xf numFmtId="7" fontId="0" fillId="2" borderId="0" xfId="0" applyNumberFormat="1" applyFill="1"/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6" fontId="2" fillId="4" borderId="19" xfId="0" applyNumberFormat="1" applyFont="1" applyFill="1" applyBorder="1" applyAlignment="1">
      <alignment horizontal="right" vertical="center"/>
    </xf>
    <xf numFmtId="6" fontId="0" fillId="2" borderId="7" xfId="0" applyNumberFormat="1" applyFill="1" applyBorder="1" applyAlignment="1">
      <alignment horizontal="right" vertical="center"/>
    </xf>
    <xf numFmtId="6" fontId="3" fillId="2" borderId="4" xfId="0" applyNumberFormat="1" applyFont="1" applyFill="1" applyBorder="1" applyAlignment="1">
      <alignment horizontal="right" vertical="center"/>
    </xf>
    <xf numFmtId="6" fontId="0" fillId="2" borderId="22" xfId="0" applyNumberFormat="1" applyFill="1" applyBorder="1" applyAlignment="1">
      <alignment horizontal="right" vertical="center"/>
    </xf>
    <xf numFmtId="6" fontId="3" fillId="3" borderId="22" xfId="0" applyNumberFormat="1" applyFont="1" applyFill="1" applyBorder="1" applyAlignment="1">
      <alignment horizontal="right" vertical="center"/>
    </xf>
    <xf numFmtId="6" fontId="3" fillId="3" borderId="16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5" fontId="0" fillId="2" borderId="7" xfId="0" applyNumberFormat="1" applyFill="1" applyBorder="1" applyAlignment="1">
      <alignment horizontal="right" vertical="center"/>
    </xf>
    <xf numFmtId="5" fontId="3" fillId="3" borderId="1" xfId="0" applyNumberFormat="1" applyFont="1" applyFill="1" applyBorder="1" applyAlignment="1">
      <alignment horizontal="right" vertical="center"/>
    </xf>
    <xf numFmtId="5" fontId="2" fillId="4" borderId="16" xfId="0" applyNumberFormat="1" applyFont="1" applyFill="1" applyBorder="1" applyAlignment="1">
      <alignment horizontal="right" vertical="center"/>
    </xf>
    <xf numFmtId="5" fontId="10" fillId="2" borderId="7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0" fontId="0" fillId="3" borderId="27" xfId="0" applyFill="1" applyBorder="1" applyAlignment="1">
      <alignment vertical="center"/>
    </xf>
    <xf numFmtId="6" fontId="5" fillId="3" borderId="14" xfId="0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4" fontId="0" fillId="2" borderId="0" xfId="0" applyNumberFormat="1" applyFill="1" applyAlignment="1">
      <alignment horizontal="right" vertical="center"/>
    </xf>
    <xf numFmtId="3" fontId="0" fillId="2" borderId="6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6" fontId="0" fillId="3" borderId="12" xfId="0" applyNumberFormat="1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165" fontId="0" fillId="3" borderId="9" xfId="0" applyNumberFormat="1" applyFill="1" applyBorder="1" applyAlignment="1">
      <alignment vertical="center"/>
    </xf>
    <xf numFmtId="6" fontId="0" fillId="3" borderId="29" xfId="0" applyNumberFormat="1" applyFill="1" applyBorder="1" applyAlignment="1">
      <alignment vertical="center"/>
    </xf>
    <xf numFmtId="165" fontId="5" fillId="5" borderId="0" xfId="0" applyNumberFormat="1" applyFont="1" applyFill="1" applyAlignment="1">
      <alignment vertical="center"/>
    </xf>
    <xf numFmtId="6" fontId="5" fillId="5" borderId="0" xfId="0" applyNumberFormat="1" applyFont="1" applyFill="1" applyAlignment="1">
      <alignment vertical="center"/>
    </xf>
    <xf numFmtId="8" fontId="5" fillId="5" borderId="8" xfId="0" applyNumberFormat="1" applyFont="1" applyFill="1" applyBorder="1" applyAlignment="1">
      <alignment vertical="center"/>
    </xf>
    <xf numFmtId="6" fontId="5" fillId="3" borderId="26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3" fontId="0" fillId="6" borderId="8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7" borderId="0" xfId="0" applyFill="1"/>
    <xf numFmtId="0" fontId="0" fillId="2" borderId="7" xfId="0" applyFill="1" applyBorder="1" applyAlignment="1">
      <alignment horizontal="left" indent="1"/>
    </xf>
    <xf numFmtId="7" fontId="5" fillId="8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/>
    </xf>
    <xf numFmtId="10" fontId="9" fillId="2" borderId="0" xfId="0" applyNumberFormat="1" applyFont="1" applyFill="1" applyAlignment="1">
      <alignment horizontal="right"/>
    </xf>
    <xf numFmtId="0" fontId="11" fillId="2" borderId="5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0" fontId="11" fillId="3" borderId="9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2" borderId="18" xfId="0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0" xfId="0" applyFont="1" applyFill="1"/>
    <xf numFmtId="5" fontId="3" fillId="2" borderId="8" xfId="0" applyNumberFormat="1" applyFont="1" applyFill="1" applyBorder="1"/>
    <xf numFmtId="5" fontId="0" fillId="2" borderId="23" xfId="0" applyNumberFormat="1" applyFill="1" applyBorder="1"/>
    <xf numFmtId="165" fontId="5" fillId="3" borderId="0" xfId="0" applyNumberFormat="1" applyFont="1" applyFill="1" applyAlignment="1">
      <alignment vertical="center"/>
    </xf>
    <xf numFmtId="0" fontId="13" fillId="2" borderId="0" xfId="1" applyFont="1" applyFill="1" applyAlignment="1">
      <alignment vertical="center"/>
    </xf>
    <xf numFmtId="167" fontId="13" fillId="2" borderId="0" xfId="1" applyNumberFormat="1" applyFont="1" applyFill="1" applyAlignment="1">
      <alignment vertical="center"/>
    </xf>
    <xf numFmtId="6" fontId="13" fillId="2" borderId="0" xfId="1" applyNumberFormat="1" applyFont="1" applyFill="1" applyAlignment="1">
      <alignment vertical="center"/>
    </xf>
    <xf numFmtId="8" fontId="13" fillId="2" borderId="0" xfId="1" applyNumberFormat="1" applyFont="1" applyFill="1" applyAlignment="1">
      <alignment vertical="center"/>
    </xf>
    <xf numFmtId="6" fontId="14" fillId="2" borderId="17" xfId="1" applyNumberFormat="1" applyFont="1" applyFill="1" applyBorder="1" applyAlignment="1">
      <alignment vertical="center"/>
    </xf>
    <xf numFmtId="6" fontId="14" fillId="2" borderId="9" xfId="1" applyNumberFormat="1" applyFont="1" applyFill="1" applyBorder="1" applyAlignment="1">
      <alignment vertical="center"/>
    </xf>
    <xf numFmtId="0" fontId="14" fillId="2" borderId="16" xfId="1" applyFont="1" applyFill="1" applyBorder="1" applyAlignment="1">
      <alignment vertical="center"/>
    </xf>
    <xf numFmtId="6" fontId="14" fillId="2" borderId="8" xfId="1" applyNumberFormat="1" applyFont="1" applyFill="1" applyBorder="1" applyAlignment="1">
      <alignment vertical="center"/>
    </xf>
    <xf numFmtId="6" fontId="14" fillId="2" borderId="0" xfId="1" applyNumberFormat="1" applyFont="1" applyFill="1" applyAlignment="1">
      <alignment vertical="center"/>
    </xf>
    <xf numFmtId="0" fontId="14" fillId="2" borderId="7" xfId="1" applyFont="1" applyFill="1" applyBorder="1" applyAlignment="1">
      <alignment vertical="center"/>
    </xf>
    <xf numFmtId="6" fontId="14" fillId="3" borderId="3" xfId="1" applyNumberFormat="1" applyFont="1" applyFill="1" applyBorder="1" applyAlignment="1">
      <alignment vertical="center"/>
    </xf>
    <xf numFmtId="6" fontId="14" fillId="3" borderId="2" xfId="1" applyNumberFormat="1" applyFont="1" applyFill="1" applyBorder="1" applyAlignment="1">
      <alignment vertical="center"/>
    </xf>
    <xf numFmtId="0" fontId="14" fillId="3" borderId="1" xfId="1" applyFont="1" applyFill="1" applyBorder="1" applyAlignment="1">
      <alignment vertical="center"/>
    </xf>
    <xf numFmtId="0" fontId="13" fillId="2" borderId="17" xfId="1" applyFont="1" applyFill="1" applyBorder="1" applyAlignment="1">
      <alignment vertical="center"/>
    </xf>
    <xf numFmtId="0" fontId="13" fillId="2" borderId="9" xfId="1" applyFont="1" applyFill="1" applyBorder="1" applyAlignment="1">
      <alignment vertical="center"/>
    </xf>
    <xf numFmtId="0" fontId="13" fillId="2" borderId="16" xfId="1" applyFont="1" applyFill="1" applyBorder="1" applyAlignment="1">
      <alignment vertical="center"/>
    </xf>
    <xf numFmtId="166" fontId="13" fillId="2" borderId="8" xfId="1" applyNumberFormat="1" applyFont="1" applyFill="1" applyBorder="1" applyAlignment="1">
      <alignment vertical="center"/>
    </xf>
    <xf numFmtId="166" fontId="13" fillId="2" borderId="0" xfId="1" applyNumberFormat="1" applyFont="1" applyFill="1" applyAlignment="1">
      <alignment vertical="center"/>
    </xf>
    <xf numFmtId="166" fontId="15" fillId="2" borderId="0" xfId="1" applyNumberFormat="1" applyFont="1" applyFill="1" applyAlignment="1">
      <alignment vertical="center"/>
    </xf>
    <xf numFmtId="0" fontId="13" fillId="2" borderId="7" xfId="1" applyFont="1" applyFill="1" applyBorder="1" applyAlignment="1">
      <alignment vertical="center"/>
    </xf>
    <xf numFmtId="0" fontId="13" fillId="2" borderId="8" xfId="1" applyFont="1" applyFill="1" applyBorder="1" applyAlignment="1">
      <alignment vertical="center"/>
    </xf>
    <xf numFmtId="6" fontId="13" fillId="2" borderId="8" xfId="1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0" xfId="1" applyNumberFormat="1" applyFont="1" applyFill="1" applyAlignment="1">
      <alignment vertical="center"/>
    </xf>
    <xf numFmtId="6" fontId="16" fillId="2" borderId="0" xfId="1" applyNumberFormat="1" applyFont="1" applyFill="1" applyAlignment="1">
      <alignment vertical="center"/>
    </xf>
    <xf numFmtId="0" fontId="17" fillId="9" borderId="8" xfId="1" applyFont="1" applyFill="1" applyBorder="1" applyAlignment="1">
      <alignment vertical="center"/>
    </xf>
    <xf numFmtId="0" fontId="17" fillId="9" borderId="0" xfId="1" applyFont="1" applyFill="1" applyAlignment="1">
      <alignment vertical="center"/>
    </xf>
    <xf numFmtId="0" fontId="17" fillId="9" borderId="7" xfId="1" applyFont="1" applyFill="1" applyBorder="1" applyAlignment="1">
      <alignment vertical="center"/>
    </xf>
    <xf numFmtId="14" fontId="17" fillId="9" borderId="17" xfId="1" applyNumberFormat="1" applyFont="1" applyFill="1" applyBorder="1" applyAlignment="1">
      <alignment vertical="center"/>
    </xf>
    <xf numFmtId="14" fontId="17" fillId="9" borderId="9" xfId="1" applyNumberFormat="1" applyFont="1" applyFill="1" applyBorder="1" applyAlignment="1">
      <alignment vertical="center"/>
    </xf>
    <xf numFmtId="0" fontId="17" fillId="9" borderId="16" xfId="1" applyFont="1" applyFill="1" applyBorder="1" applyAlignment="1">
      <alignment vertical="center"/>
    </xf>
    <xf numFmtId="168" fontId="17" fillId="9" borderId="6" xfId="1" applyNumberFormat="1" applyFont="1" applyFill="1" applyBorder="1" applyAlignment="1">
      <alignment vertical="center"/>
    </xf>
    <xf numFmtId="168" fontId="17" fillId="9" borderId="5" xfId="1" applyNumberFormat="1" applyFont="1" applyFill="1" applyBorder="1" applyAlignment="1">
      <alignment vertical="center"/>
    </xf>
    <xf numFmtId="0" fontId="17" fillId="9" borderId="4" xfId="1" applyFont="1" applyFill="1" applyBorder="1" applyAlignment="1">
      <alignment vertical="center"/>
    </xf>
    <xf numFmtId="6" fontId="18" fillId="3" borderId="3" xfId="1" applyNumberFormat="1" applyFont="1" applyFill="1" applyBorder="1" applyAlignment="1">
      <alignment vertical="center"/>
    </xf>
    <xf numFmtId="0" fontId="18" fillId="3" borderId="2" xfId="1" applyFont="1" applyFill="1" applyBorder="1" applyAlignment="1">
      <alignment vertical="center"/>
    </xf>
    <xf numFmtId="0" fontId="18" fillId="3" borderId="1" xfId="1" applyFont="1" applyFill="1" applyBorder="1" applyAlignment="1">
      <alignment vertical="center"/>
    </xf>
    <xf numFmtId="10" fontId="15" fillId="2" borderId="8" xfId="1" applyNumberFormat="1" applyFont="1" applyFill="1" applyBorder="1" applyAlignment="1">
      <alignment vertical="center"/>
    </xf>
    <xf numFmtId="6" fontId="15" fillId="2" borderId="8" xfId="1" applyNumberFormat="1" applyFont="1" applyFill="1" applyBorder="1" applyAlignment="1">
      <alignment vertical="center"/>
    </xf>
    <xf numFmtId="5" fontId="14" fillId="3" borderId="17" xfId="1" applyNumberFormat="1" applyFont="1" applyFill="1" applyBorder="1" applyAlignment="1">
      <alignment vertical="center"/>
    </xf>
    <xf numFmtId="165" fontId="14" fillId="3" borderId="9" xfId="1" applyNumberFormat="1" applyFont="1" applyFill="1" applyBorder="1" applyAlignment="1">
      <alignment vertical="center"/>
    </xf>
    <xf numFmtId="5" fontId="14" fillId="3" borderId="9" xfId="1" applyNumberFormat="1" applyFont="1" applyFill="1" applyBorder="1" applyAlignment="1">
      <alignment vertical="center"/>
    </xf>
    <xf numFmtId="0" fontId="14" fillId="3" borderId="16" xfId="1" applyFont="1" applyFill="1" applyBorder="1" applyAlignment="1">
      <alignment vertical="center"/>
    </xf>
    <xf numFmtId="0" fontId="15" fillId="2" borderId="8" xfId="1" applyFont="1" applyFill="1" applyBorder="1" applyAlignment="1">
      <alignment horizontal="right" vertical="center"/>
    </xf>
    <xf numFmtId="5" fontId="13" fillId="2" borderId="17" xfId="1" applyNumberFormat="1" applyFont="1" applyFill="1" applyBorder="1" applyAlignment="1">
      <alignment vertical="center"/>
    </xf>
    <xf numFmtId="165" fontId="15" fillId="2" borderId="9" xfId="1" applyNumberFormat="1" applyFont="1" applyFill="1" applyBorder="1" applyAlignment="1">
      <alignment vertical="center"/>
    </xf>
    <xf numFmtId="5" fontId="13" fillId="2" borderId="9" xfId="1" applyNumberFormat="1" applyFont="1" applyFill="1" applyBorder="1" applyAlignment="1">
      <alignment vertical="center"/>
    </xf>
    <xf numFmtId="0" fontId="15" fillId="2" borderId="6" xfId="1" applyFont="1" applyFill="1" applyBorder="1" applyAlignment="1">
      <alignment horizontal="right" vertical="center"/>
    </xf>
    <xf numFmtId="0" fontId="13" fillId="2" borderId="5" xfId="1" applyFont="1" applyFill="1" applyBorder="1" applyAlignment="1">
      <alignment vertical="center"/>
    </xf>
    <xf numFmtId="0" fontId="13" fillId="2" borderId="4" xfId="1" applyFont="1" applyFill="1" applyBorder="1" applyAlignment="1">
      <alignment vertical="center"/>
    </xf>
    <xf numFmtId="5" fontId="13" fillId="2" borderId="6" xfId="1" applyNumberFormat="1" applyFont="1" applyFill="1" applyBorder="1" applyAlignment="1">
      <alignment vertical="center"/>
    </xf>
    <xf numFmtId="165" fontId="15" fillId="2" borderId="5" xfId="1" applyNumberFormat="1" applyFont="1" applyFill="1" applyBorder="1" applyAlignment="1">
      <alignment vertical="center"/>
    </xf>
    <xf numFmtId="5" fontId="13" fillId="2" borderId="5" xfId="1" applyNumberFormat="1" applyFont="1" applyFill="1" applyBorder="1" applyAlignment="1">
      <alignment vertical="center"/>
    </xf>
    <xf numFmtId="0" fontId="17" fillId="9" borderId="6" xfId="1" applyFont="1" applyFill="1" applyBorder="1" applyAlignment="1">
      <alignment vertical="center"/>
    </xf>
    <xf numFmtId="0" fontId="17" fillId="9" borderId="5" xfId="1" applyFont="1" applyFill="1" applyBorder="1" applyAlignment="1">
      <alignment vertical="center"/>
    </xf>
    <xf numFmtId="0" fontId="19" fillId="2" borderId="0" xfId="1" applyFont="1" applyFill="1" applyAlignment="1">
      <alignment vertical="center"/>
    </xf>
    <xf numFmtId="6" fontId="0" fillId="2" borderId="5" xfId="0" applyNumberFormat="1" applyFill="1" applyBorder="1" applyAlignment="1">
      <alignment vertical="center"/>
    </xf>
    <xf numFmtId="165" fontId="0" fillId="2" borderId="5" xfId="0" applyNumberFormat="1" applyFill="1" applyBorder="1" applyAlignment="1">
      <alignment horizontal="right" vertical="center"/>
    </xf>
    <xf numFmtId="8" fontId="0" fillId="2" borderId="5" xfId="0" applyNumberFormat="1" applyFill="1" applyBorder="1" applyAlignment="1">
      <alignment horizontal="right" vertical="center"/>
    </xf>
    <xf numFmtId="5" fontId="0" fillId="2" borderId="5" xfId="0" applyNumberFormat="1" applyFill="1" applyBorder="1" applyAlignment="1">
      <alignment horizontal="right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Normal" xfId="0" builtinId="0"/>
    <cellStyle name="Normal 17" xfId="1" xr:uid="{823A42FA-2F72-4889-AD22-ABD93789BCD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28575</xdr:colOff>
      <xdr:row>3</xdr:row>
      <xdr:rowOff>161925</xdr:rowOff>
    </xdr:from>
    <xdr:to>
      <xdr:col>31</xdr:col>
      <xdr:colOff>0</xdr:colOff>
      <xdr:row>36</xdr:row>
      <xdr:rowOff>81258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89024-13FC-492D-A3C8-4DF38AC8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752475"/>
          <a:ext cx="8505825" cy="620583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</xdr:row>
      <xdr:rowOff>153194</xdr:rowOff>
    </xdr:from>
    <xdr:to>
      <xdr:col>8</xdr:col>
      <xdr:colOff>19050</xdr:colOff>
      <xdr:row>36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546DED-9BA8-4C0D-9542-7246FE72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743744"/>
          <a:ext cx="4267200" cy="624760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0</xdr:colOff>
      <xdr:row>3</xdr:row>
      <xdr:rowOff>163909</xdr:rowOff>
    </xdr:from>
    <xdr:to>
      <xdr:col>16</xdr:col>
      <xdr:colOff>19050</xdr:colOff>
      <xdr:row>36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D54F2E-B44F-65D9-3264-FFE329131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50" y="754459"/>
          <a:ext cx="3990975" cy="622736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aieb\AppData\Local\Microsoft\Windows\INetCache\Content.Outlook\W1F90E0U\Emerald%20Sources%20and%20Uses.xlsx" TargetMode="External"/><Relationship Id="rId1" Type="http://schemas.openxmlformats.org/officeDocument/2006/relationships/externalLinkPath" Target="file:///C:\Users\ataieb\AppData\Local\Microsoft\Windows\INetCache\Content.Outlook\W1F90E0U\Emerald%20Sources%20and%20Us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aieb\AppData\Local\Microsoft\Windows\INetCache\Content.Outlook\W1F90E0U\01573238.xlsx" TargetMode="External"/><Relationship Id="rId1" Type="http://schemas.openxmlformats.org/officeDocument/2006/relationships/externalLinkPath" Target="file:///C:\Users\ataieb\AppData\Local\Microsoft\Windows\INetCache\Content.Outlook\W1F90E0U\015732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al Summary"/>
      <sheetName val="SETUP"/>
      <sheetName val="RENTROLL"/>
      <sheetName val="PHOTO_MAP"/>
    </sheetNames>
    <sheetDataSet>
      <sheetData sheetId="0"/>
      <sheetData sheetId="1"/>
      <sheetData sheetId="2">
        <row r="1">
          <cell r="H1" t="str">
            <v>1755 CONEY ISLAND AVENUE</v>
          </cell>
          <cell r="M1">
            <v>225480</v>
          </cell>
        </row>
        <row r="2">
          <cell r="M2">
            <v>6749</v>
          </cell>
        </row>
        <row r="3">
          <cell r="M3">
            <v>78</v>
          </cell>
        </row>
        <row r="83">
          <cell r="A83">
            <v>74</v>
          </cell>
          <cell r="E83">
            <v>245</v>
          </cell>
        </row>
        <row r="93">
          <cell r="G93">
            <v>129000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Rental Proforma"/>
      <sheetName val="Monthly CF"/>
      <sheetName val="Annual CF"/>
      <sheetName val="Unit Mix"/>
      <sheetName val="Construction Budget"/>
      <sheetName val="Interest Calc"/>
      <sheetName val="Dev Draw"/>
      <sheetName val="SOFR Curve"/>
      <sheetName val="Hard Cost"/>
      <sheetName val="Soft Cost"/>
    </sheetNames>
    <sheetDataSet>
      <sheetData sheetId="0" refreshError="1"/>
      <sheetData sheetId="1">
        <row r="4">
          <cell r="G4">
            <v>17615057.760000002</v>
          </cell>
        </row>
      </sheetData>
      <sheetData sheetId="2">
        <row r="2">
          <cell r="H2">
            <v>45323</v>
          </cell>
          <cell r="I2">
            <v>45352</v>
          </cell>
          <cell r="J2">
            <v>45383</v>
          </cell>
          <cell r="K2">
            <v>45413</v>
          </cell>
          <cell r="L2">
            <v>45444</v>
          </cell>
          <cell r="M2">
            <v>45474</v>
          </cell>
          <cell r="N2">
            <v>45505</v>
          </cell>
          <cell r="O2">
            <v>45536</v>
          </cell>
          <cell r="P2">
            <v>45566</v>
          </cell>
          <cell r="Q2">
            <v>45597</v>
          </cell>
          <cell r="R2">
            <v>45627</v>
          </cell>
          <cell r="S2">
            <v>45658</v>
          </cell>
          <cell r="T2">
            <v>45689</v>
          </cell>
          <cell r="U2">
            <v>45717</v>
          </cell>
          <cell r="V2">
            <v>45748</v>
          </cell>
          <cell r="W2">
            <v>45778</v>
          </cell>
          <cell r="X2">
            <v>45809</v>
          </cell>
          <cell r="Y2">
            <v>45839</v>
          </cell>
          <cell r="Z2">
            <v>45870</v>
          </cell>
          <cell r="AA2">
            <v>45901</v>
          </cell>
          <cell r="AB2">
            <v>45931</v>
          </cell>
          <cell r="AC2">
            <v>45962</v>
          </cell>
          <cell r="AD2">
            <v>45992</v>
          </cell>
          <cell r="AE2">
            <v>46023</v>
          </cell>
          <cell r="AF2">
            <v>46054</v>
          </cell>
          <cell r="AG2">
            <v>46082</v>
          </cell>
          <cell r="AH2">
            <v>46113</v>
          </cell>
          <cell r="AI2">
            <v>46143</v>
          </cell>
          <cell r="AJ2">
            <v>46174</v>
          </cell>
          <cell r="AK2">
            <v>46204</v>
          </cell>
          <cell r="AL2">
            <v>46235</v>
          </cell>
          <cell r="AM2">
            <v>46266</v>
          </cell>
          <cell r="AN2">
            <v>46296</v>
          </cell>
          <cell r="AO2">
            <v>46327</v>
          </cell>
          <cell r="AP2">
            <v>46357</v>
          </cell>
          <cell r="AQ2">
            <v>46388</v>
          </cell>
          <cell r="AR2">
            <v>46419</v>
          </cell>
          <cell r="AS2">
            <v>46447</v>
          </cell>
          <cell r="AT2">
            <v>46478</v>
          </cell>
          <cell r="AU2">
            <v>46508</v>
          </cell>
          <cell r="AV2">
            <v>46539</v>
          </cell>
          <cell r="AW2">
            <v>46569</v>
          </cell>
          <cell r="AX2">
            <v>46600</v>
          </cell>
          <cell r="AY2">
            <v>46631</v>
          </cell>
          <cell r="AZ2">
            <v>46661</v>
          </cell>
          <cell r="BA2">
            <v>46692</v>
          </cell>
          <cell r="BB2">
            <v>46722</v>
          </cell>
          <cell r="BC2">
            <v>46753</v>
          </cell>
          <cell r="BD2">
            <v>46784</v>
          </cell>
          <cell r="BE2">
            <v>46813</v>
          </cell>
          <cell r="BF2">
            <v>46844</v>
          </cell>
          <cell r="BG2">
            <v>46874</v>
          </cell>
          <cell r="BH2">
            <v>46905</v>
          </cell>
          <cell r="BI2">
            <v>46935</v>
          </cell>
          <cell r="BJ2">
            <v>46966</v>
          </cell>
          <cell r="BK2">
            <v>46997</v>
          </cell>
          <cell r="BL2">
            <v>47027</v>
          </cell>
          <cell r="BM2">
            <v>47058</v>
          </cell>
          <cell r="BN2">
            <v>47088</v>
          </cell>
          <cell r="BO2">
            <v>47119</v>
          </cell>
          <cell r="BP2">
            <v>47150</v>
          </cell>
          <cell r="BQ2">
            <v>47178</v>
          </cell>
          <cell r="BR2">
            <v>47209</v>
          </cell>
          <cell r="BS2">
            <v>47239</v>
          </cell>
          <cell r="BT2">
            <v>47270</v>
          </cell>
          <cell r="BU2">
            <v>47300</v>
          </cell>
          <cell r="BV2">
            <v>47331</v>
          </cell>
          <cell r="BW2">
            <v>47362</v>
          </cell>
          <cell r="BX2">
            <v>47392</v>
          </cell>
          <cell r="BY2">
            <v>47423</v>
          </cell>
          <cell r="BZ2">
            <v>47453</v>
          </cell>
          <cell r="CA2">
            <v>47484</v>
          </cell>
        </row>
        <row r="4"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2</v>
          </cell>
          <cell r="U4">
            <v>2</v>
          </cell>
          <cell r="V4">
            <v>2</v>
          </cell>
          <cell r="W4">
            <v>2</v>
          </cell>
          <cell r="X4">
            <v>2</v>
          </cell>
          <cell r="Y4">
            <v>2</v>
          </cell>
          <cell r="Z4">
            <v>2</v>
          </cell>
          <cell r="AA4">
            <v>2</v>
          </cell>
          <cell r="AB4">
            <v>2</v>
          </cell>
          <cell r="AC4">
            <v>2</v>
          </cell>
          <cell r="AD4">
            <v>2</v>
          </cell>
          <cell r="AE4">
            <v>2</v>
          </cell>
          <cell r="AF4">
            <v>3</v>
          </cell>
          <cell r="AG4">
            <v>3</v>
          </cell>
          <cell r="AH4">
            <v>3</v>
          </cell>
          <cell r="AI4">
            <v>3</v>
          </cell>
          <cell r="AJ4">
            <v>3</v>
          </cell>
          <cell r="AK4">
            <v>3</v>
          </cell>
          <cell r="AL4">
            <v>3</v>
          </cell>
          <cell r="AM4">
            <v>3</v>
          </cell>
          <cell r="AN4">
            <v>3</v>
          </cell>
          <cell r="AO4">
            <v>3</v>
          </cell>
          <cell r="AP4">
            <v>3</v>
          </cell>
          <cell r="AQ4">
            <v>3</v>
          </cell>
          <cell r="AR4">
            <v>4</v>
          </cell>
          <cell r="AS4">
            <v>4</v>
          </cell>
          <cell r="AT4">
            <v>4</v>
          </cell>
          <cell r="AU4">
            <v>4</v>
          </cell>
          <cell r="AV4">
            <v>4</v>
          </cell>
          <cell r="AW4">
            <v>4</v>
          </cell>
          <cell r="AX4">
            <v>4</v>
          </cell>
          <cell r="AY4">
            <v>4</v>
          </cell>
          <cell r="AZ4">
            <v>4</v>
          </cell>
          <cell r="BA4">
            <v>4</v>
          </cell>
          <cell r="BB4">
            <v>4</v>
          </cell>
          <cell r="BC4">
            <v>4</v>
          </cell>
          <cell r="BD4">
            <v>5</v>
          </cell>
          <cell r="BE4">
            <v>5</v>
          </cell>
          <cell r="BF4">
            <v>5</v>
          </cell>
          <cell r="BG4">
            <v>5</v>
          </cell>
          <cell r="BH4">
            <v>5</v>
          </cell>
          <cell r="BI4">
            <v>5</v>
          </cell>
          <cell r="BJ4">
            <v>5</v>
          </cell>
          <cell r="BK4">
            <v>5</v>
          </cell>
          <cell r="BL4">
            <v>5</v>
          </cell>
          <cell r="BM4">
            <v>5</v>
          </cell>
          <cell r="BN4">
            <v>5</v>
          </cell>
          <cell r="BO4">
            <v>5</v>
          </cell>
          <cell r="BP4">
            <v>6</v>
          </cell>
          <cell r="BQ4">
            <v>6</v>
          </cell>
          <cell r="BR4">
            <v>6</v>
          </cell>
          <cell r="BS4">
            <v>6</v>
          </cell>
          <cell r="BT4">
            <v>6</v>
          </cell>
          <cell r="BU4">
            <v>6</v>
          </cell>
          <cell r="BV4">
            <v>6</v>
          </cell>
          <cell r="BW4">
            <v>6</v>
          </cell>
          <cell r="BX4">
            <v>6</v>
          </cell>
          <cell r="BY4">
            <v>6</v>
          </cell>
          <cell r="BZ4">
            <v>6</v>
          </cell>
          <cell r="CA4">
            <v>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F3DA-6B07-4B54-A0A8-46D39135142F}">
  <sheetPr>
    <tabColor theme="1" tint="0.249977111117893"/>
  </sheetPr>
  <dimension ref="B1:AE3"/>
  <sheetViews>
    <sheetView topLeftCell="A9" workbookViewId="0">
      <selection activeCell="L39" sqref="L39"/>
    </sheetView>
  </sheetViews>
  <sheetFormatPr defaultRowHeight="15" x14ac:dyDescent="0.25"/>
  <cols>
    <col min="1" max="1" width="4.7109375" style="202" customWidth="1"/>
    <col min="2" max="8" width="9.140625" style="202"/>
    <col min="9" max="9" width="4.7109375" style="202" customWidth="1"/>
    <col min="10" max="10" width="9.140625" style="202"/>
    <col min="11" max="11" width="4.7109375" style="202" customWidth="1"/>
    <col min="12" max="16" width="9.140625" style="202"/>
    <col min="17" max="17" width="4.7109375" style="202" customWidth="1"/>
    <col min="18" max="31" width="9.140625" style="202"/>
    <col min="32" max="33" width="4.7109375" style="202" customWidth="1"/>
    <col min="34" max="16384" width="9.140625" style="202"/>
  </cols>
  <sheetData>
    <row r="1" spans="2:31" ht="15.75" thickBot="1" x14ac:dyDescent="0.3"/>
    <row r="2" spans="2:31" x14ac:dyDescent="0.25">
      <c r="B2" s="278" t="s">
        <v>151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80"/>
    </row>
    <row r="3" spans="2:31" ht="15.75" thickBot="1" x14ac:dyDescent="0.3">
      <c r="B3" s="281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3"/>
    </row>
  </sheetData>
  <mergeCells count="1">
    <mergeCell ref="B2:A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3B03-F1A6-4FCB-9E15-A9F7505F06E8}">
  <dimension ref="B2:N34"/>
  <sheetViews>
    <sheetView zoomScaleNormal="100" workbookViewId="0">
      <selection activeCell="H13" sqref="H13"/>
    </sheetView>
  </sheetViews>
  <sheetFormatPr defaultRowHeight="15" x14ac:dyDescent="0.25"/>
  <cols>
    <col min="1" max="1" width="4.7109375" style="2" customWidth="1"/>
    <col min="2" max="2" width="21.85546875" style="2" bestFit="1" customWidth="1"/>
    <col min="3" max="3" width="4.7109375" style="2" customWidth="1"/>
    <col min="4" max="4" width="15.5703125" style="2" bestFit="1" customWidth="1"/>
    <col min="5" max="5" width="12" style="2" bestFit="1" customWidth="1"/>
    <col min="6" max="6" width="12" style="48" bestFit="1" customWidth="1"/>
    <col min="7" max="7" width="12" style="2" bestFit="1" customWidth="1"/>
    <col min="8" max="8" width="17.140625" style="2" customWidth="1"/>
    <col min="9" max="9" width="4.7109375" style="2" customWidth="1"/>
    <col min="10" max="10" width="13.42578125" style="2" customWidth="1"/>
    <col min="11" max="13" width="9.140625" style="2"/>
    <col min="14" max="14" width="14" style="2" bestFit="1" customWidth="1"/>
    <col min="15" max="15" width="4.7109375" style="2" customWidth="1"/>
    <col min="16" max="21" width="9.140625" style="2"/>
    <col min="22" max="22" width="4.7109375" style="2" customWidth="1"/>
    <col min="23" max="16384" width="9.140625" style="2"/>
  </cols>
  <sheetData>
    <row r="2" spans="2:14" s="3" customFormat="1" x14ac:dyDescent="0.25">
      <c r="B2" s="161" t="s">
        <v>118</v>
      </c>
      <c r="F2" s="162"/>
    </row>
    <row r="3" spans="2:14" s="3" customFormat="1" ht="15.75" thickBot="1" x14ac:dyDescent="0.3">
      <c r="B3" s="158" t="s">
        <v>141</v>
      </c>
      <c r="C3" s="156"/>
      <c r="D3" s="156"/>
      <c r="E3" s="156"/>
      <c r="F3" s="157"/>
      <c r="G3" s="156"/>
      <c r="H3" s="156"/>
      <c r="I3" s="156"/>
      <c r="J3" s="156"/>
      <c r="K3" s="156"/>
      <c r="L3" s="156"/>
      <c r="M3" s="156"/>
      <c r="N3" s="156"/>
    </row>
    <row r="4" spans="2:14" ht="15.75" thickTop="1" x14ac:dyDescent="0.25"/>
    <row r="5" spans="2:14" s="3" customFormat="1" x14ac:dyDescent="0.25">
      <c r="B5" s="49" t="s">
        <v>45</v>
      </c>
      <c r="C5" s="50"/>
      <c r="D5" s="50"/>
      <c r="E5" s="50"/>
      <c r="F5" s="50"/>
      <c r="G5" s="50"/>
      <c r="H5" s="51"/>
      <c r="J5" s="284" t="s">
        <v>119</v>
      </c>
      <c r="K5" s="285"/>
      <c r="L5" s="285"/>
      <c r="M5" s="285"/>
      <c r="N5" s="286"/>
    </row>
    <row r="6" spans="2:14" x14ac:dyDescent="0.25">
      <c r="B6" s="66" t="s">
        <v>46</v>
      </c>
      <c r="C6" s="7"/>
      <c r="D6" s="7"/>
      <c r="E6" s="7"/>
      <c r="F6" s="7"/>
      <c r="G6" s="7"/>
      <c r="H6" s="67" t="str">
        <f>B2</f>
        <v>33-35 W. 125th Street</v>
      </c>
      <c r="J6" s="128" t="s">
        <v>105</v>
      </c>
      <c r="K6" s="35"/>
      <c r="L6" s="35"/>
      <c r="M6" s="35"/>
      <c r="N6" s="129">
        <f>'Proforma I&amp;E'!O4</f>
        <v>7756288.9295000015</v>
      </c>
    </row>
    <row r="7" spans="2:14" x14ac:dyDescent="0.25">
      <c r="B7" s="36" t="s">
        <v>47</v>
      </c>
      <c r="F7" s="2"/>
      <c r="H7" s="52" t="s">
        <v>57</v>
      </c>
      <c r="J7" s="128" t="s">
        <v>104</v>
      </c>
      <c r="K7" s="35"/>
      <c r="L7" s="35"/>
      <c r="M7" s="35"/>
      <c r="N7" s="129">
        <f>'Proforma I&amp;E'!O5</f>
        <v>6021503.0545000015</v>
      </c>
    </row>
    <row r="8" spans="2:14" x14ac:dyDescent="0.25">
      <c r="B8" s="36" t="s">
        <v>48</v>
      </c>
      <c r="F8" s="2"/>
      <c r="H8" s="52" t="s">
        <v>54</v>
      </c>
      <c r="J8" s="128" t="s">
        <v>102</v>
      </c>
      <c r="K8" s="35"/>
      <c r="L8" s="35"/>
      <c r="M8" s="35"/>
      <c r="N8" s="159">
        <f>'Proforma I&amp;E'!O6</f>
        <v>5.7500000000000002E-2</v>
      </c>
    </row>
    <row r="9" spans="2:14" x14ac:dyDescent="0.25">
      <c r="B9" s="36" t="s">
        <v>140</v>
      </c>
      <c r="F9" s="2"/>
      <c r="H9" s="52" t="str">
        <f>B3</f>
        <v>Irgang Group</v>
      </c>
      <c r="J9" s="128" t="s">
        <v>106</v>
      </c>
      <c r="K9" s="35"/>
      <c r="L9" s="35"/>
      <c r="M9" s="35"/>
      <c r="N9" s="129">
        <f>N7/N8</f>
        <v>104721792.25217393</v>
      </c>
    </row>
    <row r="10" spans="2:14" ht="15.75" thickBot="1" x14ac:dyDescent="0.3">
      <c r="B10" s="36" t="s">
        <v>55</v>
      </c>
      <c r="F10" s="2"/>
      <c r="H10" s="52" t="s">
        <v>56</v>
      </c>
      <c r="J10" s="135" t="s">
        <v>107</v>
      </c>
      <c r="K10" s="44"/>
      <c r="L10" s="44"/>
      <c r="M10" s="44"/>
      <c r="N10" s="216">
        <f>'Proforma I&amp;E'!O8</f>
        <v>45664816.538056619</v>
      </c>
    </row>
    <row r="11" spans="2:14" ht="15.75" thickTop="1" x14ac:dyDescent="0.25">
      <c r="B11" s="36"/>
      <c r="F11" s="2"/>
      <c r="H11" s="52"/>
      <c r="J11" s="213" t="s">
        <v>108</v>
      </c>
      <c r="K11" s="214"/>
      <c r="L11" s="214"/>
      <c r="M11" s="214"/>
      <c r="N11" s="215">
        <f>SUM(N9:N10)</f>
        <v>150386608.79023054</v>
      </c>
    </row>
    <row r="12" spans="2:14" x14ac:dyDescent="0.25">
      <c r="B12" s="36" t="s">
        <v>49</v>
      </c>
      <c r="F12" s="2"/>
      <c r="H12" s="53">
        <v>11990</v>
      </c>
      <c r="J12" s="128" t="s">
        <v>109</v>
      </c>
      <c r="K12" s="35"/>
      <c r="L12" s="35"/>
      <c r="M12" s="35"/>
      <c r="N12" s="129">
        <f>N11/Summary!$H$18</f>
        <v>835481.15994572523</v>
      </c>
    </row>
    <row r="13" spans="2:14" x14ac:dyDescent="0.25">
      <c r="B13" s="36" t="s">
        <v>50</v>
      </c>
      <c r="F13" s="2"/>
      <c r="H13" s="54">
        <v>12</v>
      </c>
      <c r="J13" s="128" t="s">
        <v>110</v>
      </c>
      <c r="K13" s="35"/>
      <c r="L13" s="35"/>
      <c r="M13" s="35"/>
      <c r="N13" s="129">
        <f>N11/Summary!$H$15</f>
        <v>870.08466891881221</v>
      </c>
    </row>
    <row r="14" spans="2:14" x14ac:dyDescent="0.25">
      <c r="B14" s="36" t="s">
        <v>51</v>
      </c>
      <c r="F14" s="2"/>
      <c r="H14" s="53">
        <f>H12*H13</f>
        <v>143880</v>
      </c>
      <c r="J14" s="128"/>
      <c r="K14" s="35"/>
      <c r="L14" s="35"/>
      <c r="M14" s="35"/>
      <c r="N14" s="133"/>
    </row>
    <row r="15" spans="2:14" x14ac:dyDescent="0.25">
      <c r="B15" s="36" t="s">
        <v>52</v>
      </c>
      <c r="F15" s="2"/>
      <c r="H15" s="53">
        <v>172841.35</v>
      </c>
      <c r="J15" s="128" t="s">
        <v>112</v>
      </c>
      <c r="K15" s="35"/>
      <c r="L15" s="35"/>
      <c r="M15" s="35"/>
      <c r="N15" s="129">
        <f>D34</f>
        <v>98550528</v>
      </c>
    </row>
    <row r="16" spans="2:14" x14ac:dyDescent="0.25">
      <c r="B16" s="36" t="s">
        <v>53</v>
      </c>
      <c r="F16" s="2"/>
      <c r="H16" s="53">
        <f>SUM(H19,H21)</f>
        <v>137955</v>
      </c>
      <c r="J16" s="128" t="s">
        <v>111</v>
      </c>
      <c r="K16" s="35"/>
      <c r="L16" s="35"/>
      <c r="M16" s="35"/>
      <c r="N16" s="134">
        <f>D25</f>
        <v>70000000</v>
      </c>
    </row>
    <row r="17" spans="2:14" x14ac:dyDescent="0.25">
      <c r="B17" s="36"/>
      <c r="F17" s="2"/>
      <c r="H17" s="53"/>
      <c r="J17" s="128" t="s">
        <v>113</v>
      </c>
      <c r="K17" s="35"/>
      <c r="L17" s="35"/>
      <c r="M17" s="35"/>
      <c r="N17" s="129">
        <f>N16/Summary!$H$18</f>
        <v>388888.88888888888</v>
      </c>
    </row>
    <row r="18" spans="2:14" x14ac:dyDescent="0.25">
      <c r="B18" s="36" t="s">
        <v>76</v>
      </c>
      <c r="F18" s="2"/>
      <c r="H18" s="53">
        <f>'Unit Mix &amp; RR'!I25</f>
        <v>180</v>
      </c>
      <c r="J18" s="128" t="s">
        <v>114</v>
      </c>
      <c r="K18" s="35"/>
      <c r="L18" s="35"/>
      <c r="M18" s="35"/>
      <c r="N18" s="129">
        <f>N16/Summary!$H$15</f>
        <v>404.99567956394691</v>
      </c>
    </row>
    <row r="19" spans="2:14" ht="15.75" thickBot="1" x14ac:dyDescent="0.3">
      <c r="B19" s="36" t="s">
        <v>77</v>
      </c>
      <c r="F19" s="2"/>
      <c r="H19" s="53">
        <f>'Unit Mix &amp; RR'!J25</f>
        <v>120516</v>
      </c>
      <c r="J19" s="135"/>
      <c r="K19" s="44"/>
      <c r="L19" s="44"/>
      <c r="M19" s="44"/>
      <c r="N19" s="136"/>
    </row>
    <row r="20" spans="2:14" ht="15.75" thickTop="1" x14ac:dyDescent="0.25">
      <c r="B20" s="36" t="s">
        <v>78</v>
      </c>
      <c r="F20" s="2"/>
      <c r="H20" s="53">
        <v>2</v>
      </c>
      <c r="J20" s="137" t="s">
        <v>115</v>
      </c>
      <c r="K20" s="138"/>
      <c r="L20" s="138"/>
      <c r="M20" s="138"/>
      <c r="N20" s="139">
        <f>N16/N11</f>
        <v>0.46546697583719543</v>
      </c>
    </row>
    <row r="21" spans="2:14" x14ac:dyDescent="0.25">
      <c r="B21" s="22" t="s">
        <v>79</v>
      </c>
      <c r="C21" s="55"/>
      <c r="D21" s="55"/>
      <c r="E21" s="55"/>
      <c r="F21" s="55"/>
      <c r="G21" s="55"/>
      <c r="H21" s="56">
        <f>'Unit Mix &amp; RR'!R8</f>
        <v>17439</v>
      </c>
      <c r="J21" s="137" t="s">
        <v>116</v>
      </c>
      <c r="K21" s="138"/>
      <c r="L21" s="138"/>
      <c r="M21" s="138"/>
      <c r="N21" s="139">
        <f>N6/N16</f>
        <v>0.11080412756428573</v>
      </c>
    </row>
    <row r="22" spans="2:14" x14ac:dyDescent="0.25">
      <c r="J22" s="140" t="s">
        <v>117</v>
      </c>
      <c r="K22" s="141"/>
      <c r="L22" s="141"/>
      <c r="M22" s="141"/>
      <c r="N22" s="142">
        <f>N6/N15</f>
        <v>7.8703677056910351E-2</v>
      </c>
    </row>
    <row r="23" spans="2:14" x14ac:dyDescent="0.25">
      <c r="B23" s="49" t="s">
        <v>58</v>
      </c>
      <c r="C23" s="50"/>
      <c r="D23" s="50"/>
      <c r="E23" s="50"/>
      <c r="F23" s="57"/>
      <c r="G23" s="58"/>
      <c r="H23" s="59"/>
    </row>
    <row r="24" spans="2:14" x14ac:dyDescent="0.25">
      <c r="B24" s="49" t="s">
        <v>59</v>
      </c>
      <c r="C24" s="50"/>
      <c r="D24" s="57" t="s">
        <v>60</v>
      </c>
      <c r="E24" s="57" t="s">
        <v>61</v>
      </c>
      <c r="F24" s="57" t="s">
        <v>62</v>
      </c>
      <c r="G24" s="57" t="s">
        <v>75</v>
      </c>
      <c r="H24" s="51" t="s">
        <v>64</v>
      </c>
    </row>
    <row r="25" spans="2:14" x14ac:dyDescent="0.25">
      <c r="B25" s="36" t="s">
        <v>65</v>
      </c>
      <c r="D25" s="63">
        <f>'Development Budget'!O8</f>
        <v>70000000</v>
      </c>
      <c r="E25" s="60">
        <f>D25/$H$14</f>
        <v>486.51654156241312</v>
      </c>
      <c r="F25" s="60">
        <f t="shared" ref="F25:F34" si="0">D25/$H$15</f>
        <v>404.99567956394691</v>
      </c>
      <c r="G25" s="63">
        <f t="shared" ref="G25:G34" si="1">D25/$H$18</f>
        <v>388888.88888888888</v>
      </c>
      <c r="H25" s="68">
        <f>D25/$D$27</f>
        <v>0.71029553489556141</v>
      </c>
    </row>
    <row r="26" spans="2:14" x14ac:dyDescent="0.25">
      <c r="B26" s="36" t="s">
        <v>66</v>
      </c>
      <c r="D26" s="63">
        <f>D34-D25</f>
        <v>28550528</v>
      </c>
      <c r="E26" s="60">
        <f t="shared" ref="E26:E34" si="2">D26/$H$14</f>
        <v>198.43291631915486</v>
      </c>
      <c r="F26" s="60">
        <f t="shared" si="0"/>
        <v>165.18343556099279</v>
      </c>
      <c r="G26" s="63">
        <f t="shared" si="1"/>
        <v>158614.04444444444</v>
      </c>
      <c r="H26" s="68">
        <f>D26/$D$27</f>
        <v>0.28970446510443859</v>
      </c>
    </row>
    <row r="27" spans="2:14" x14ac:dyDescent="0.25">
      <c r="B27" s="32" t="s">
        <v>67</v>
      </c>
      <c r="C27" s="10"/>
      <c r="D27" s="64">
        <f>SUM(D25:D26)</f>
        <v>98550528</v>
      </c>
      <c r="E27" s="61">
        <f t="shared" si="2"/>
        <v>684.94945788156792</v>
      </c>
      <c r="F27" s="61">
        <f t="shared" si="0"/>
        <v>570.1791151249397</v>
      </c>
      <c r="G27" s="64">
        <f t="shared" si="1"/>
        <v>547502.93333333335</v>
      </c>
      <c r="H27" s="69">
        <f>D27/$D$27</f>
        <v>1</v>
      </c>
    </row>
    <row r="28" spans="2:14" x14ac:dyDescent="0.25">
      <c r="B28" s="49" t="s">
        <v>68</v>
      </c>
      <c r="C28" s="50"/>
      <c r="D28" s="65" t="s">
        <v>60</v>
      </c>
      <c r="E28" s="62" t="s">
        <v>61</v>
      </c>
      <c r="F28" s="62" t="s">
        <v>62</v>
      </c>
      <c r="G28" s="65" t="s">
        <v>75</v>
      </c>
      <c r="H28" s="70" t="s">
        <v>64</v>
      </c>
    </row>
    <row r="29" spans="2:14" x14ac:dyDescent="0.25">
      <c r="B29" s="36" t="s">
        <v>69</v>
      </c>
      <c r="D29" s="63">
        <f>'Development Budget'!O12</f>
        <v>25179000</v>
      </c>
      <c r="E29" s="60">
        <f t="shared" si="2"/>
        <v>175</v>
      </c>
      <c r="F29" s="60">
        <f t="shared" si="0"/>
        <v>145.67694593915172</v>
      </c>
      <c r="G29" s="63">
        <f t="shared" si="1"/>
        <v>139883.33333333334</v>
      </c>
      <c r="H29" s="68">
        <f t="shared" ref="H29:H34" si="3">D29/$D$34</f>
        <v>0.25549330390193342</v>
      </c>
    </row>
    <row r="30" spans="2:14" x14ac:dyDescent="0.25">
      <c r="B30" s="36" t="s">
        <v>70</v>
      </c>
      <c r="D30" s="63">
        <f>'Development Budget'!O13</f>
        <v>53742128</v>
      </c>
      <c r="E30" s="60">
        <f t="shared" si="2"/>
        <v>373.52048929663607</v>
      </c>
      <c r="F30" s="60">
        <f t="shared" si="0"/>
        <v>310.93328072246601</v>
      </c>
      <c r="G30" s="63">
        <f t="shared" si="1"/>
        <v>298567.37777777779</v>
      </c>
      <c r="H30" s="68">
        <f t="shared" si="3"/>
        <v>0.54532562220265324</v>
      </c>
    </row>
    <row r="31" spans="2:14" x14ac:dyDescent="0.25">
      <c r="B31" s="36" t="s">
        <v>71</v>
      </c>
      <c r="D31" s="63">
        <f>'Development Budget'!O14</f>
        <v>6000000</v>
      </c>
      <c r="E31" s="60">
        <f t="shared" si="2"/>
        <v>41.701417848206837</v>
      </c>
      <c r="F31" s="60">
        <f t="shared" si="0"/>
        <v>34.713915391195449</v>
      </c>
      <c r="G31" s="63">
        <f t="shared" si="1"/>
        <v>33333.333333333336</v>
      </c>
      <c r="H31" s="68">
        <f t="shared" si="3"/>
        <v>6.0882474419619546E-2</v>
      </c>
    </row>
    <row r="32" spans="2:14" x14ac:dyDescent="0.25">
      <c r="B32" s="36" t="s">
        <v>72</v>
      </c>
      <c r="D32" s="63">
        <f>'Development Budget'!O15</f>
        <v>3619400</v>
      </c>
      <c r="E32" s="60">
        <f t="shared" si="2"/>
        <v>25.155685293299971</v>
      </c>
      <c r="F32" s="60">
        <f t="shared" si="0"/>
        <v>20.940590894482135</v>
      </c>
      <c r="G32" s="63">
        <f t="shared" si="1"/>
        <v>20107.777777777777</v>
      </c>
      <c r="H32" s="68">
        <f t="shared" si="3"/>
        <v>3.6726337985728497E-2</v>
      </c>
    </row>
    <row r="33" spans="2:8" x14ac:dyDescent="0.25">
      <c r="B33" s="36" t="s">
        <v>73</v>
      </c>
      <c r="D33" s="63">
        <f>'Development Budget'!O16</f>
        <v>10010000</v>
      </c>
      <c r="E33" s="60">
        <f t="shared" si="2"/>
        <v>69.571865443425082</v>
      </c>
      <c r="F33" s="60">
        <f t="shared" si="0"/>
        <v>57.914382177644413</v>
      </c>
      <c r="G33" s="63">
        <f t="shared" si="1"/>
        <v>55611.111111111109</v>
      </c>
      <c r="H33" s="68">
        <f t="shared" si="3"/>
        <v>0.10157226149006528</v>
      </c>
    </row>
    <row r="34" spans="2:8" x14ac:dyDescent="0.25">
      <c r="B34" s="32" t="s">
        <v>74</v>
      </c>
      <c r="C34" s="10"/>
      <c r="D34" s="64">
        <f>SUM(D29:D33)</f>
        <v>98550528</v>
      </c>
      <c r="E34" s="61">
        <f t="shared" si="2"/>
        <v>684.94945788156792</v>
      </c>
      <c r="F34" s="61">
        <f t="shared" si="0"/>
        <v>570.1791151249397</v>
      </c>
      <c r="G34" s="64">
        <f t="shared" si="1"/>
        <v>547502.93333333335</v>
      </c>
      <c r="H34" s="69">
        <f t="shared" si="3"/>
        <v>1</v>
      </c>
    </row>
  </sheetData>
  <mergeCells count="1">
    <mergeCell ref="J5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07D3-B28E-40D5-A2C6-7FC3E6AB6E84}">
  <dimension ref="B3:Q28"/>
  <sheetViews>
    <sheetView zoomScaleNormal="100" workbookViewId="0">
      <selection activeCell="E22" sqref="E22"/>
    </sheetView>
  </sheetViews>
  <sheetFormatPr defaultRowHeight="15" x14ac:dyDescent="0.25"/>
  <cols>
    <col min="1" max="1" width="4.7109375" style="35" customWidth="1"/>
    <col min="2" max="2" width="33.140625" style="35" bestFit="1" customWidth="1"/>
    <col min="3" max="3" width="4.7109375" style="40" customWidth="1"/>
    <col min="4" max="4" width="11.85546875" style="205" customWidth="1"/>
    <col min="5" max="5" width="4.7109375" style="35" customWidth="1"/>
    <col min="6" max="6" width="13.5703125" style="41" bestFit="1" customWidth="1"/>
    <col min="7" max="9" width="9.140625" style="40"/>
    <col min="10" max="10" width="4.7109375" style="35" customWidth="1"/>
    <col min="11" max="14" width="9.140625" style="35"/>
    <col min="15" max="15" width="15.5703125" style="35" bestFit="1" customWidth="1"/>
    <col min="16" max="16" width="4.7109375" style="35" customWidth="1"/>
    <col min="17" max="17" width="15.5703125" style="35" bestFit="1" customWidth="1"/>
    <col min="18" max="16384" width="9.140625" style="35"/>
  </cols>
  <sheetData>
    <row r="3" spans="2:17" x14ac:dyDescent="0.25">
      <c r="B3" s="284" t="s">
        <v>43</v>
      </c>
      <c r="C3" s="285"/>
      <c r="D3" s="285"/>
      <c r="E3" s="285"/>
      <c r="F3" s="285"/>
      <c r="G3" s="285"/>
      <c r="H3" s="285"/>
      <c r="I3" s="286"/>
      <c r="K3" s="284" t="s">
        <v>103</v>
      </c>
      <c r="L3" s="285"/>
      <c r="M3" s="285"/>
      <c r="N3" s="285"/>
      <c r="O3" s="286"/>
    </row>
    <row r="4" spans="2:17" x14ac:dyDescent="0.25">
      <c r="B4" s="143" t="s">
        <v>29</v>
      </c>
      <c r="F4" s="144" t="s">
        <v>41</v>
      </c>
      <c r="G4" s="145" t="s">
        <v>75</v>
      </c>
      <c r="H4" s="145" t="s">
        <v>62</v>
      </c>
      <c r="I4" s="146" t="s">
        <v>42</v>
      </c>
      <c r="K4" s="128" t="s">
        <v>105</v>
      </c>
      <c r="O4" s="129">
        <f>F26</f>
        <v>7756288.9295000015</v>
      </c>
    </row>
    <row r="5" spans="2:17" x14ac:dyDescent="0.25">
      <c r="B5" s="128" t="s">
        <v>30</v>
      </c>
      <c r="D5" s="205" t="s">
        <v>33</v>
      </c>
      <c r="F5" s="41">
        <f>'Unit Mix &amp; RR'!M9</f>
        <v>7170685</v>
      </c>
      <c r="G5" s="41">
        <f>F5/Summary!$H$18</f>
        <v>39837.138888888891</v>
      </c>
      <c r="H5" s="147">
        <f>F5/Summary!$H$15</f>
        <v>41.487092064485722</v>
      </c>
      <c r="I5" s="148">
        <f t="shared" ref="I5:I11" si="0">F5/$F$11</f>
        <v>0.77352096087670097</v>
      </c>
      <c r="K5" s="128" t="s">
        <v>104</v>
      </c>
      <c r="O5" s="129">
        <f>F26-F15</f>
        <v>6021503.0545000015</v>
      </c>
    </row>
    <row r="6" spans="2:17" x14ac:dyDescent="0.25">
      <c r="B6" s="128" t="s">
        <v>31</v>
      </c>
      <c r="D6" s="206">
        <v>-0.05</v>
      </c>
      <c r="F6" s="41">
        <f>D6*F5</f>
        <v>-358534.25</v>
      </c>
      <c r="G6" s="41">
        <f>F6/Summary!$H$18</f>
        <v>-1991.8569444444445</v>
      </c>
      <c r="H6" s="147">
        <f>F6/Summary!$H$15</f>
        <v>-2.0743546032242861</v>
      </c>
      <c r="I6" s="148">
        <f t="shared" si="0"/>
        <v>-3.8676048043835044E-2</v>
      </c>
      <c r="K6" s="128" t="s">
        <v>102</v>
      </c>
      <c r="O6" s="130">
        <v>5.7500000000000002E-2</v>
      </c>
    </row>
    <row r="7" spans="2:17" x14ac:dyDescent="0.25">
      <c r="B7" s="128" t="s">
        <v>147</v>
      </c>
      <c r="D7" s="205" t="s">
        <v>33</v>
      </c>
      <c r="F7" s="41">
        <f>'Unit Mix &amp; RR'!M17</f>
        <v>1397760</v>
      </c>
      <c r="G7" s="41">
        <f>F7/Summary!$H$18</f>
        <v>7765.333333333333</v>
      </c>
      <c r="H7" s="147">
        <f>F7/Summary!$H$15</f>
        <v>8.0869537295328922</v>
      </c>
      <c r="I7" s="148">
        <f t="shared" si="0"/>
        <v>0.15078010793599461</v>
      </c>
      <c r="K7" s="128" t="s">
        <v>106</v>
      </c>
      <c r="O7" s="129">
        <f>O5/O6</f>
        <v>104721792.25217393</v>
      </c>
      <c r="Q7" s="160"/>
    </row>
    <row r="8" spans="2:17" x14ac:dyDescent="0.25">
      <c r="B8" s="128" t="s">
        <v>148</v>
      </c>
      <c r="D8" s="206">
        <v>-0.02</v>
      </c>
      <c r="F8" s="41">
        <f>D8*F7</f>
        <v>-27955.200000000001</v>
      </c>
      <c r="G8" s="41">
        <f>F8/Summary!$H$18</f>
        <v>-155.30666666666667</v>
      </c>
      <c r="H8" s="147">
        <f>F8/Summary!$H$15</f>
        <v>-0.16173907459065784</v>
      </c>
      <c r="I8" s="148">
        <f t="shared" si="0"/>
        <v>-3.0156021587198923E-3</v>
      </c>
      <c r="K8" s="128" t="s">
        <v>107</v>
      </c>
      <c r="O8" s="129">
        <f>'421(a) Abatement'!E9</f>
        <v>45664816.538056619</v>
      </c>
    </row>
    <row r="9" spans="2:17" x14ac:dyDescent="0.25">
      <c r="B9" s="128" t="s">
        <v>37</v>
      </c>
      <c r="D9" s="205" t="s">
        <v>33</v>
      </c>
      <c r="F9" s="41">
        <f>'Unit Mix &amp; RR'!T8</f>
        <v>1017040</v>
      </c>
      <c r="G9" s="41">
        <f>F9/Summary!$H$18</f>
        <v>5650.2222222222226</v>
      </c>
      <c r="H9" s="147">
        <f>F9/Summary!$H$15</f>
        <v>5.8842400849102372</v>
      </c>
      <c r="I9" s="148">
        <f t="shared" si="0"/>
        <v>0.1097108237288404</v>
      </c>
      <c r="K9" s="131" t="s">
        <v>108</v>
      </c>
      <c r="L9" s="39"/>
      <c r="M9" s="39"/>
      <c r="N9" s="39"/>
      <c r="O9" s="132">
        <f>SUM(O7:O8)</f>
        <v>150386608.79023054</v>
      </c>
    </row>
    <row r="10" spans="2:17" x14ac:dyDescent="0.25">
      <c r="B10" s="128" t="s">
        <v>32</v>
      </c>
      <c r="D10" s="206">
        <v>7.0000000000000007E-2</v>
      </c>
      <c r="F10" s="41">
        <f>D10*SUM(F9:F9)</f>
        <v>71192.800000000003</v>
      </c>
      <c r="G10" s="41">
        <f>F10/Summary!$H$18</f>
        <v>395.51555555555558</v>
      </c>
      <c r="H10" s="147">
        <f>F10/Summary!$H$15</f>
        <v>0.41189680594371658</v>
      </c>
      <c r="I10" s="148">
        <f t="shared" si="0"/>
        <v>7.6797576610188279E-3</v>
      </c>
      <c r="K10" s="203" t="s">
        <v>109</v>
      </c>
      <c r="O10" s="129">
        <f>O9/Summary!$H$18</f>
        <v>835481.15994572523</v>
      </c>
    </row>
    <row r="11" spans="2:17" x14ac:dyDescent="0.25">
      <c r="B11" s="131" t="s">
        <v>22</v>
      </c>
      <c r="C11" s="210"/>
      <c r="D11" s="207"/>
      <c r="E11" s="39"/>
      <c r="F11" s="42">
        <f>SUM(F5:F10)</f>
        <v>9270188.3500000015</v>
      </c>
      <c r="G11" s="42">
        <f>F11/Summary!$H$18</f>
        <v>51501.046388888899</v>
      </c>
      <c r="H11" s="46">
        <f>F11/Summary!$H$15</f>
        <v>53.634089007057632</v>
      </c>
      <c r="I11" s="149">
        <f t="shared" si="0"/>
        <v>1</v>
      </c>
      <c r="K11" s="203" t="s">
        <v>110</v>
      </c>
      <c r="O11" s="129">
        <f>O9/Summary!$H$15</f>
        <v>870.08466891881221</v>
      </c>
    </row>
    <row r="12" spans="2:17" x14ac:dyDescent="0.25">
      <c r="B12" s="128"/>
      <c r="G12" s="41"/>
      <c r="H12" s="147"/>
      <c r="I12" s="148"/>
      <c r="K12" s="128"/>
      <c r="O12" s="133"/>
    </row>
    <row r="13" spans="2:17" x14ac:dyDescent="0.25">
      <c r="B13" s="143" t="s">
        <v>38</v>
      </c>
      <c r="F13" s="144" t="s">
        <v>41</v>
      </c>
      <c r="G13" s="145" t="s">
        <v>75</v>
      </c>
      <c r="H13" s="145" t="s">
        <v>62</v>
      </c>
      <c r="I13" s="146" t="s">
        <v>42</v>
      </c>
      <c r="K13" s="128" t="s">
        <v>112</v>
      </c>
      <c r="O13" s="129">
        <f>'Development Budget'!D88</f>
        <v>98550528</v>
      </c>
    </row>
    <row r="14" spans="2:17" x14ac:dyDescent="0.25">
      <c r="B14" s="128" t="s">
        <v>39</v>
      </c>
      <c r="D14" s="205" t="s">
        <v>154</v>
      </c>
      <c r="F14" s="41">
        <f>-'421(a) Abatement'!C23</f>
        <v>-1995912.125</v>
      </c>
      <c r="G14" s="41">
        <f>F14/Summary!$H$18</f>
        <v>-11088.400694444445</v>
      </c>
      <c r="H14" s="147">
        <f>F14/Summary!$H$15</f>
        <v>-11.54765410591852</v>
      </c>
      <c r="I14" s="148">
        <f t="shared" ref="I14:I21" si="1">F14/$F$11</f>
        <v>-0.21530437674440558</v>
      </c>
      <c r="K14" s="128" t="s">
        <v>111</v>
      </c>
      <c r="O14" s="134">
        <f>'Development Budget'!O8</f>
        <v>70000000</v>
      </c>
    </row>
    <row r="15" spans="2:17" x14ac:dyDescent="0.25">
      <c r="B15" s="128" t="s">
        <v>40</v>
      </c>
      <c r="D15" s="205" t="s">
        <v>154</v>
      </c>
      <c r="F15" s="41">
        <f>'421(a) Abatement'!C25</f>
        <v>1734785.875</v>
      </c>
      <c r="G15" s="41">
        <f>F15/Summary!$H$18</f>
        <v>9637.6993055555558</v>
      </c>
      <c r="H15" s="147">
        <f>F15/Summary!$H$15</f>
        <v>10.036868347765161</v>
      </c>
      <c r="I15" s="148">
        <f t="shared" si="1"/>
        <v>0.18713599006863757</v>
      </c>
      <c r="K15" s="203" t="s">
        <v>113</v>
      </c>
      <c r="O15" s="129">
        <f>O14/Summary!$H$18</f>
        <v>388888.88888888888</v>
      </c>
    </row>
    <row r="16" spans="2:17" x14ac:dyDescent="0.25">
      <c r="B16" s="128" t="s">
        <v>23</v>
      </c>
      <c r="D16" s="205" t="s">
        <v>152</v>
      </c>
      <c r="F16" s="41">
        <f>G16*Summary!$H$18</f>
        <v>-180000</v>
      </c>
      <c r="G16" s="150">
        <v>-1000</v>
      </c>
      <c r="H16" s="147">
        <f>F16/Summary!$H$15</f>
        <v>-1.0414174617358636</v>
      </c>
      <c r="I16" s="148">
        <f t="shared" si="1"/>
        <v>-1.9417081207416888E-2</v>
      </c>
      <c r="K16" s="203" t="s">
        <v>114</v>
      </c>
      <c r="O16" s="129">
        <f>O14/Summary!$H$15</f>
        <v>404.99567956394691</v>
      </c>
    </row>
    <row r="17" spans="2:15" ht="15.75" thickBot="1" x14ac:dyDescent="0.3">
      <c r="B17" s="128" t="s">
        <v>24</v>
      </c>
      <c r="D17" s="205" t="s">
        <v>152</v>
      </c>
      <c r="F17" s="41">
        <f>G17*Summary!$H$18</f>
        <v>-99000</v>
      </c>
      <c r="G17" s="150">
        <v>-550</v>
      </c>
      <c r="H17" s="147">
        <f>F17/Summary!$H$15</f>
        <v>-0.57277960395472494</v>
      </c>
      <c r="I17" s="148">
        <f t="shared" si="1"/>
        <v>-1.0679394664079288E-2</v>
      </c>
      <c r="K17" s="135"/>
      <c r="L17" s="44"/>
      <c r="M17" s="44"/>
      <c r="N17" s="44"/>
      <c r="O17" s="136"/>
    </row>
    <row r="18" spans="2:15" ht="15.75" thickTop="1" x14ac:dyDescent="0.25">
      <c r="B18" s="128" t="s">
        <v>145</v>
      </c>
      <c r="D18" s="205" t="s">
        <v>152</v>
      </c>
      <c r="F18" s="41">
        <f>G18*Summary!$H$18</f>
        <v>-135000</v>
      </c>
      <c r="G18" s="150">
        <v>-750</v>
      </c>
      <c r="H18" s="147">
        <f>F18/Summary!$H$15</f>
        <v>-0.78106309630189763</v>
      </c>
      <c r="I18" s="148">
        <f t="shared" si="1"/>
        <v>-1.4562810905562665E-2</v>
      </c>
      <c r="K18" s="137" t="s">
        <v>115</v>
      </c>
      <c r="L18" s="138"/>
      <c r="M18" s="138"/>
      <c r="N18" s="138"/>
      <c r="O18" s="139">
        <f>O14/$O$9</f>
        <v>0.46546697583719543</v>
      </c>
    </row>
    <row r="19" spans="2:15" x14ac:dyDescent="0.25">
      <c r="B19" s="128" t="s">
        <v>25</v>
      </c>
      <c r="D19" s="205" t="s">
        <v>152</v>
      </c>
      <c r="F19" s="41">
        <f>G19*Summary!$H$18</f>
        <v>-90000</v>
      </c>
      <c r="G19" s="150">
        <v>-500</v>
      </c>
      <c r="H19" s="147">
        <f>F19/Summary!$H$15</f>
        <v>-0.52070873086793179</v>
      </c>
      <c r="I19" s="148">
        <f t="shared" si="1"/>
        <v>-9.7085406037084442E-3</v>
      </c>
      <c r="K19" s="137" t="s">
        <v>116</v>
      </c>
      <c r="L19" s="138"/>
      <c r="M19" s="138"/>
      <c r="N19" s="138"/>
      <c r="O19" s="139">
        <f>$O$4/$O$14</f>
        <v>0.11080412756428573</v>
      </c>
    </row>
    <row r="20" spans="2:15" x14ac:dyDescent="0.25">
      <c r="B20" s="128" t="s">
        <v>26</v>
      </c>
      <c r="D20" s="205" t="s">
        <v>152</v>
      </c>
      <c r="F20" s="41">
        <f>G20*Summary!$H$18</f>
        <v>-384267.52000000002</v>
      </c>
      <c r="G20" s="150">
        <v>-2134.8195555555558</v>
      </c>
      <c r="H20" s="147">
        <f>F20/Summary!$H$15</f>
        <v>-2.223238362810751</v>
      </c>
      <c r="I20" s="148">
        <f t="shared" si="1"/>
        <v>-4.1451964673403854E-2</v>
      </c>
      <c r="K20" s="140" t="s">
        <v>117</v>
      </c>
      <c r="L20" s="141"/>
      <c r="M20" s="141"/>
      <c r="N20" s="141"/>
      <c r="O20" s="142">
        <f>$O$4/$O$13</f>
        <v>7.8703677056910351E-2</v>
      </c>
    </row>
    <row r="21" spans="2:15" x14ac:dyDescent="0.25">
      <c r="B21" s="128" t="s">
        <v>138</v>
      </c>
      <c r="D21" s="205" t="s">
        <v>152</v>
      </c>
      <c r="F21" s="41">
        <f>G21*Summary!$H$18</f>
        <v>-41400</v>
      </c>
      <c r="G21" s="150">
        <v>-230</v>
      </c>
      <c r="H21" s="147">
        <f>F21/Summary!$H$15</f>
        <v>-0.2395260161992486</v>
      </c>
      <c r="I21" s="148">
        <f t="shared" si="1"/>
        <v>-4.4659286777058846E-3</v>
      </c>
    </row>
    <row r="22" spans="2:15" x14ac:dyDescent="0.25">
      <c r="B22" s="128" t="s">
        <v>44</v>
      </c>
      <c r="D22" s="205" t="s">
        <v>153</v>
      </c>
      <c r="F22" s="41">
        <f>I22*$F$11</f>
        <v>-278105.65050000005</v>
      </c>
      <c r="G22" s="41">
        <f>F22/Summary!$H$18</f>
        <v>-1545.0313916666669</v>
      </c>
      <c r="H22" s="147">
        <f>F22/Summary!$H$15</f>
        <v>-1.609022670211729</v>
      </c>
      <c r="I22" s="151">
        <v>-0.03</v>
      </c>
    </row>
    <row r="23" spans="2:15" x14ac:dyDescent="0.25">
      <c r="B23" s="128" t="s">
        <v>139</v>
      </c>
      <c r="D23" s="205" t="s">
        <v>139</v>
      </c>
      <c r="F23" s="41">
        <f>G23*Summary!$H$18</f>
        <v>-45000</v>
      </c>
      <c r="G23" s="150">
        <v>-250</v>
      </c>
      <c r="H23" s="147">
        <f>F23/Summary!$H$15</f>
        <v>-0.2603543654339659</v>
      </c>
      <c r="I23" s="148">
        <f>F23/$F$11</f>
        <v>-4.8542703018542221E-3</v>
      </c>
    </row>
    <row r="24" spans="2:15" x14ac:dyDescent="0.25">
      <c r="B24" s="131" t="s">
        <v>27</v>
      </c>
      <c r="C24" s="210"/>
      <c r="D24" s="207"/>
      <c r="E24" s="39"/>
      <c r="F24" s="42">
        <f>SUM(F14:F23)</f>
        <v>-1513899.4205</v>
      </c>
      <c r="G24" s="42">
        <f>F24/Summary!$H$18</f>
        <v>-8410.5523361111118</v>
      </c>
      <c r="H24" s="46">
        <f>F24/Summary!$H$15</f>
        <v>-8.7588960656694699</v>
      </c>
      <c r="I24" s="149">
        <f>F24/$F$11</f>
        <v>-0.16330837770949927</v>
      </c>
    </row>
    <row r="25" spans="2:15" ht="15.75" thickBot="1" x14ac:dyDescent="0.3">
      <c r="B25" s="135"/>
      <c r="C25" s="211"/>
      <c r="D25" s="208"/>
      <c r="E25" s="44"/>
      <c r="F25" s="45"/>
      <c r="G25" s="45"/>
      <c r="H25" s="47"/>
      <c r="I25" s="152"/>
    </row>
    <row r="26" spans="2:15" ht="15.75" thickTop="1" x14ac:dyDescent="0.25">
      <c r="B26" s="140" t="s">
        <v>28</v>
      </c>
      <c r="C26" s="212"/>
      <c r="D26" s="209"/>
      <c r="E26" s="141"/>
      <c r="F26" s="153">
        <f>SUM(F24,F11)</f>
        <v>7756288.9295000015</v>
      </c>
      <c r="G26" s="153">
        <f>F26/Summary!$H$18</f>
        <v>43090.494052777787</v>
      </c>
      <c r="H26" s="154">
        <f>F26/Summary!$H$15</f>
        <v>44.875192941388164</v>
      </c>
      <c r="I26" s="155">
        <f>F26/$F$11</f>
        <v>0.83669162229050076</v>
      </c>
    </row>
    <row r="28" spans="2:15" x14ac:dyDescent="0.25">
      <c r="I28" s="43"/>
    </row>
  </sheetData>
  <mergeCells count="2">
    <mergeCell ref="B3:I3"/>
    <mergeCell ref="K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00ED-3ECC-498F-8213-8898CC18CD24}">
  <dimension ref="B3:U186"/>
  <sheetViews>
    <sheetView topLeftCell="A36" workbookViewId="0">
      <selection activeCell="Q15" sqref="Q15"/>
    </sheetView>
  </sheetViews>
  <sheetFormatPr defaultRowHeight="15" x14ac:dyDescent="0.25"/>
  <cols>
    <col min="1" max="1" width="4.7109375" style="2" customWidth="1"/>
    <col min="2" max="2" width="8.7109375" style="1" customWidth="1"/>
    <col min="3" max="3" width="7.28515625" style="1" customWidth="1"/>
    <col min="4" max="5" width="9.140625" style="1"/>
    <col min="6" max="6" width="4.7109375" style="2" customWidth="1"/>
    <col min="7" max="7" width="7.140625" style="2" customWidth="1"/>
    <col min="8" max="8" width="17.7109375" style="2" bestFit="1" customWidth="1"/>
    <col min="9" max="9" width="9.140625" style="2"/>
    <col min="10" max="10" width="9.42578125" style="2" customWidth="1"/>
    <col min="11" max="11" width="9.140625" style="2"/>
    <col min="12" max="14" width="10.85546875" style="2" bestFit="1" customWidth="1"/>
    <col min="15" max="15" width="9.140625" style="2"/>
    <col min="16" max="16" width="4.7109375" style="2" customWidth="1"/>
    <col min="17" max="17" width="12.85546875" style="2" bestFit="1" customWidth="1"/>
    <col min="18" max="19" width="9.140625" style="2"/>
    <col min="20" max="20" width="10.85546875" style="2" bestFit="1" customWidth="1"/>
    <col min="21" max="21" width="9.140625" style="2"/>
    <col min="22" max="22" width="4.7109375" style="2" customWidth="1"/>
    <col min="23" max="16384" width="9.140625" style="2"/>
  </cols>
  <sheetData>
    <row r="3" spans="2:21" ht="15.75" thickBot="1" x14ac:dyDescent="0.3">
      <c r="B3" s="287" t="s">
        <v>11</v>
      </c>
      <c r="C3" s="288"/>
      <c r="D3" s="288"/>
      <c r="E3" s="289"/>
      <c r="H3" s="30" t="s">
        <v>20</v>
      </c>
      <c r="I3" s="28"/>
      <c r="J3" s="31" t="s">
        <v>5</v>
      </c>
      <c r="K3" s="28"/>
      <c r="L3" s="28"/>
      <c r="M3" s="28"/>
      <c r="N3" s="28"/>
      <c r="O3" s="29"/>
      <c r="Q3" s="287" t="s">
        <v>34</v>
      </c>
      <c r="R3" s="288"/>
      <c r="S3" s="288"/>
      <c r="T3" s="288"/>
      <c r="U3" s="289"/>
    </row>
    <row r="4" spans="2:21" x14ac:dyDescent="0.25">
      <c r="B4" s="11"/>
      <c r="C4" s="12"/>
      <c r="D4" s="12"/>
      <c r="E4" s="13" t="s">
        <v>4</v>
      </c>
      <c r="H4" s="23"/>
      <c r="I4" s="16" t="s">
        <v>12</v>
      </c>
      <c r="J4" s="16" t="s">
        <v>12</v>
      </c>
      <c r="K4" s="16" t="s">
        <v>14</v>
      </c>
      <c r="L4" s="16" t="s">
        <v>12</v>
      </c>
      <c r="M4" s="16" t="s">
        <v>12</v>
      </c>
      <c r="N4" s="16" t="s">
        <v>17</v>
      </c>
      <c r="O4" s="24" t="s">
        <v>17</v>
      </c>
      <c r="Q4" s="11"/>
      <c r="R4" s="12" t="s">
        <v>4</v>
      </c>
      <c r="S4" s="12" t="s">
        <v>6</v>
      </c>
      <c r="T4" s="12" t="s">
        <v>8</v>
      </c>
      <c r="U4" s="13" t="s">
        <v>7</v>
      </c>
    </row>
    <row r="5" spans="2:21" x14ac:dyDescent="0.25">
      <c r="B5" s="14" t="s">
        <v>150</v>
      </c>
      <c r="C5" s="15" t="s">
        <v>0</v>
      </c>
      <c r="D5" s="15" t="s">
        <v>1</v>
      </c>
      <c r="E5" s="17" t="s">
        <v>3</v>
      </c>
      <c r="H5" s="25" t="s">
        <v>1</v>
      </c>
      <c r="I5" s="26" t="s">
        <v>13</v>
      </c>
      <c r="J5" s="26" t="s">
        <v>2</v>
      </c>
      <c r="K5" s="26" t="s">
        <v>2</v>
      </c>
      <c r="L5" s="26" t="s">
        <v>15</v>
      </c>
      <c r="M5" s="26" t="s">
        <v>16</v>
      </c>
      <c r="N5" s="26" t="s">
        <v>18</v>
      </c>
      <c r="O5" s="27" t="s">
        <v>19</v>
      </c>
      <c r="Q5" s="14" t="s">
        <v>0</v>
      </c>
      <c r="R5" s="15" t="s">
        <v>3</v>
      </c>
      <c r="S5" s="15" t="s">
        <v>7</v>
      </c>
      <c r="T5" s="15" t="s">
        <v>7</v>
      </c>
      <c r="U5" s="17" t="s">
        <v>9</v>
      </c>
    </row>
    <row r="6" spans="2:21" x14ac:dyDescent="0.25">
      <c r="B6" s="194">
        <v>2</v>
      </c>
      <c r="C6" s="196">
        <v>201</v>
      </c>
      <c r="D6" s="6">
        <v>2</v>
      </c>
      <c r="E6" s="179">
        <v>856</v>
      </c>
      <c r="H6" s="20">
        <v>0</v>
      </c>
      <c r="I6" s="5">
        <f t="shared" ref="I6:J8" si="0">I22-I14</f>
        <v>18</v>
      </c>
      <c r="J6" s="5">
        <f t="shared" si="0"/>
        <v>8644</v>
      </c>
      <c r="K6" s="5">
        <f>J6/I6</f>
        <v>480.22222222222223</v>
      </c>
      <c r="L6" s="19">
        <f>M6/12</f>
        <v>61228.333333333336</v>
      </c>
      <c r="M6" s="19">
        <f>O6*J6</f>
        <v>734740</v>
      </c>
      <c r="N6" s="19">
        <f>L6/I6</f>
        <v>3401.5740740740744</v>
      </c>
      <c r="O6" s="192">
        <v>85</v>
      </c>
      <c r="Q6" s="36" t="s">
        <v>35</v>
      </c>
      <c r="R6" s="38">
        <v>8311</v>
      </c>
      <c r="S6" s="19">
        <f>T6/12</f>
        <v>27703.333333333332</v>
      </c>
      <c r="T6" s="19">
        <f>U6*R6</f>
        <v>332440</v>
      </c>
      <c r="U6" s="192">
        <v>40</v>
      </c>
    </row>
    <row r="7" spans="2:21" x14ac:dyDescent="0.25">
      <c r="B7" s="195">
        <v>2</v>
      </c>
      <c r="C7" s="1">
        <v>202</v>
      </c>
      <c r="D7" s="180">
        <v>2</v>
      </c>
      <c r="E7" s="181">
        <v>659</v>
      </c>
      <c r="H7" s="20">
        <v>1</v>
      </c>
      <c r="I7" s="5">
        <f t="shared" si="0"/>
        <v>56</v>
      </c>
      <c r="J7" s="5">
        <f t="shared" si="0"/>
        <v>35048</v>
      </c>
      <c r="K7" s="5">
        <f>J7/I7</f>
        <v>625.85714285714289</v>
      </c>
      <c r="L7" s="19">
        <f>M7/12</f>
        <v>248256.66666666666</v>
      </c>
      <c r="M7" s="19">
        <f>O7*J7</f>
        <v>2979080</v>
      </c>
      <c r="N7" s="19">
        <f>L7/I7</f>
        <v>4433.1547619047615</v>
      </c>
      <c r="O7" s="192">
        <v>85</v>
      </c>
      <c r="Q7" s="36" t="s">
        <v>36</v>
      </c>
      <c r="R7" s="38">
        <v>9128</v>
      </c>
      <c r="S7" s="19">
        <f>T7/12</f>
        <v>57050</v>
      </c>
      <c r="T7" s="19">
        <f>U7*R7</f>
        <v>684600</v>
      </c>
      <c r="U7" s="192">
        <v>75</v>
      </c>
    </row>
    <row r="8" spans="2:21" x14ac:dyDescent="0.25">
      <c r="B8" s="195">
        <v>2</v>
      </c>
      <c r="C8" s="1">
        <v>203</v>
      </c>
      <c r="D8" s="180">
        <v>2</v>
      </c>
      <c r="E8" s="181">
        <v>856</v>
      </c>
      <c r="H8" s="20">
        <v>2</v>
      </c>
      <c r="I8" s="5">
        <f t="shared" si="0"/>
        <v>52</v>
      </c>
      <c r="J8" s="5">
        <f t="shared" si="0"/>
        <v>40669</v>
      </c>
      <c r="K8" s="5">
        <f>J8/I8</f>
        <v>782.09615384615381</v>
      </c>
      <c r="L8" s="19">
        <f>M8/12</f>
        <v>288072.08333333331</v>
      </c>
      <c r="M8" s="19">
        <f>O8*J8</f>
        <v>3456865</v>
      </c>
      <c r="N8" s="19">
        <f>L8/I8</f>
        <v>5539.8477564102559</v>
      </c>
      <c r="O8" s="192">
        <v>85</v>
      </c>
      <c r="Q8" s="32" t="s">
        <v>10</v>
      </c>
      <c r="R8" s="37">
        <f>SUM(R6:R7)</f>
        <v>17439</v>
      </c>
      <c r="S8" s="33">
        <f>SUM(S6:S7)</f>
        <v>84753.333333333328</v>
      </c>
      <c r="T8" s="33">
        <f>SUM(T6:T7)</f>
        <v>1017040</v>
      </c>
      <c r="U8" s="34">
        <f>T8/R8</f>
        <v>58.319857790010893</v>
      </c>
    </row>
    <row r="9" spans="2:21" x14ac:dyDescent="0.25">
      <c r="B9" s="195">
        <v>2</v>
      </c>
      <c r="C9" s="1">
        <v>204</v>
      </c>
      <c r="D9" s="180">
        <v>1</v>
      </c>
      <c r="E9" s="181">
        <v>556</v>
      </c>
      <c r="H9" s="32" t="s">
        <v>10</v>
      </c>
      <c r="I9" s="9">
        <f>SUM(I6:I8)</f>
        <v>126</v>
      </c>
      <c r="J9" s="9">
        <f>SUM(J6:J8)</f>
        <v>84361</v>
      </c>
      <c r="K9" s="9">
        <f>J9/I9</f>
        <v>669.53174603174602</v>
      </c>
      <c r="L9" s="33">
        <f>SUM(L6:L8)</f>
        <v>597557.08333333326</v>
      </c>
      <c r="M9" s="33">
        <f>SUM(M6:M8)</f>
        <v>7170685</v>
      </c>
      <c r="N9" s="33">
        <f>L9/I9</f>
        <v>4742.5165343915342</v>
      </c>
      <c r="O9" s="34">
        <f>N9/K9*12</f>
        <v>85</v>
      </c>
    </row>
    <row r="10" spans="2:21" x14ac:dyDescent="0.25">
      <c r="B10" s="195">
        <v>2</v>
      </c>
      <c r="C10" s="1">
        <v>205</v>
      </c>
      <c r="D10" s="180">
        <v>1</v>
      </c>
      <c r="E10" s="181">
        <v>680</v>
      </c>
    </row>
    <row r="11" spans="2:21" ht="15.75" thickBot="1" x14ac:dyDescent="0.3">
      <c r="B11" s="197">
        <v>3</v>
      </c>
      <c r="C11" s="198">
        <v>301</v>
      </c>
      <c r="D11" s="199">
        <v>2</v>
      </c>
      <c r="E11" s="200">
        <v>868</v>
      </c>
      <c r="H11" s="30" t="s">
        <v>20</v>
      </c>
      <c r="I11" s="28"/>
      <c r="J11" s="31" t="s">
        <v>146</v>
      </c>
      <c r="K11" s="28"/>
      <c r="L11" s="28"/>
      <c r="M11" s="28"/>
      <c r="N11" s="28"/>
      <c r="O11" s="29"/>
    </row>
    <row r="12" spans="2:21" x14ac:dyDescent="0.25">
      <c r="B12" s="197">
        <v>3</v>
      </c>
      <c r="C12" s="198">
        <v>302</v>
      </c>
      <c r="D12" s="199">
        <v>2</v>
      </c>
      <c r="E12" s="200">
        <v>646</v>
      </c>
      <c r="H12" s="23"/>
      <c r="I12" s="16" t="s">
        <v>12</v>
      </c>
      <c r="J12" s="16" t="s">
        <v>12</v>
      </c>
      <c r="K12" s="16" t="s">
        <v>14</v>
      </c>
      <c r="L12" s="16" t="s">
        <v>12</v>
      </c>
      <c r="M12" s="16" t="s">
        <v>12</v>
      </c>
      <c r="N12" s="16" t="s">
        <v>17</v>
      </c>
      <c r="O12" s="24" t="s">
        <v>17</v>
      </c>
    </row>
    <row r="13" spans="2:21" x14ac:dyDescent="0.25">
      <c r="B13" s="197">
        <v>3</v>
      </c>
      <c r="C13" s="198">
        <v>303</v>
      </c>
      <c r="D13" s="199">
        <v>2</v>
      </c>
      <c r="E13" s="200">
        <v>800</v>
      </c>
      <c r="H13" s="25" t="s">
        <v>1</v>
      </c>
      <c r="I13" s="26" t="s">
        <v>13</v>
      </c>
      <c r="J13" s="26" t="s">
        <v>2</v>
      </c>
      <c r="K13" s="26" t="s">
        <v>2</v>
      </c>
      <c r="L13" s="26" t="s">
        <v>15</v>
      </c>
      <c r="M13" s="26" t="s">
        <v>16</v>
      </c>
      <c r="N13" s="26" t="s">
        <v>18</v>
      </c>
      <c r="O13" s="27" t="s">
        <v>19</v>
      </c>
    </row>
    <row r="14" spans="2:21" x14ac:dyDescent="0.25">
      <c r="B14" s="197">
        <v>3</v>
      </c>
      <c r="C14" s="198">
        <v>304</v>
      </c>
      <c r="D14" s="199">
        <v>1</v>
      </c>
      <c r="E14" s="200">
        <v>611</v>
      </c>
      <c r="G14" s="190">
        <v>0.3</v>
      </c>
      <c r="H14" s="20">
        <v>0</v>
      </c>
      <c r="I14" s="5">
        <f>ROUND($G14*I22,0)</f>
        <v>8</v>
      </c>
      <c r="J14" s="5">
        <f>ROUND($G14*J22,0)</f>
        <v>3705</v>
      </c>
      <c r="K14" s="5">
        <f>J14/I14</f>
        <v>463.125</v>
      </c>
      <c r="L14" s="19">
        <f>N14*I14</f>
        <v>13040</v>
      </c>
      <c r="M14" s="19">
        <f>L14*12</f>
        <v>156480</v>
      </c>
      <c r="N14" s="191">
        <v>1630</v>
      </c>
      <c r="O14" s="21">
        <f>N14/K14*12</f>
        <v>42.234817813765183</v>
      </c>
    </row>
    <row r="15" spans="2:21" x14ac:dyDescent="0.25">
      <c r="B15" s="197">
        <v>3</v>
      </c>
      <c r="C15" s="198">
        <v>305</v>
      </c>
      <c r="D15" s="199">
        <v>1</v>
      </c>
      <c r="E15" s="200">
        <v>680</v>
      </c>
      <c r="G15" s="190">
        <v>0.3</v>
      </c>
      <c r="H15" s="20">
        <v>1</v>
      </c>
      <c r="I15" s="5">
        <f t="shared" ref="I15:J16" si="1">ROUND($G15*I23,0)</f>
        <v>24</v>
      </c>
      <c r="J15" s="5">
        <f t="shared" si="1"/>
        <v>15020</v>
      </c>
      <c r="K15" s="5">
        <f>J15/I15</f>
        <v>625.83333333333337</v>
      </c>
      <c r="L15" s="19">
        <f>N15*I15</f>
        <v>41928</v>
      </c>
      <c r="M15" s="19">
        <f>L15*12</f>
        <v>503136</v>
      </c>
      <c r="N15" s="191">
        <v>1747</v>
      </c>
      <c r="O15" s="21">
        <f>N15/K15*12</f>
        <v>33.497736351531287</v>
      </c>
    </row>
    <row r="16" spans="2:21" x14ac:dyDescent="0.25">
      <c r="B16" s="197">
        <v>3</v>
      </c>
      <c r="C16" s="198">
        <v>306</v>
      </c>
      <c r="D16" s="199">
        <v>0</v>
      </c>
      <c r="E16" s="200">
        <v>458</v>
      </c>
      <c r="G16" s="190">
        <v>0.3</v>
      </c>
      <c r="H16" s="20">
        <v>2</v>
      </c>
      <c r="I16" s="5">
        <f t="shared" si="1"/>
        <v>22</v>
      </c>
      <c r="J16" s="5">
        <f t="shared" si="1"/>
        <v>17430</v>
      </c>
      <c r="K16" s="5">
        <f>J16/I16</f>
        <v>792.27272727272725</v>
      </c>
      <c r="L16" s="19">
        <f>N16*I16</f>
        <v>61512</v>
      </c>
      <c r="M16" s="19">
        <f>L16*12</f>
        <v>738144</v>
      </c>
      <c r="N16" s="191">
        <v>2796</v>
      </c>
      <c r="O16" s="21">
        <f>N16/K16*12</f>
        <v>42.349053356282269</v>
      </c>
    </row>
    <row r="17" spans="2:15" x14ac:dyDescent="0.25">
      <c r="B17" s="197">
        <v>3</v>
      </c>
      <c r="C17" s="198">
        <v>307</v>
      </c>
      <c r="D17" s="199">
        <v>0</v>
      </c>
      <c r="E17" s="200">
        <v>468</v>
      </c>
      <c r="H17" s="32" t="s">
        <v>10</v>
      </c>
      <c r="I17" s="9">
        <f>SUM(I14:I16)</f>
        <v>54</v>
      </c>
      <c r="J17" s="9">
        <f>SUM(J14:J16)</f>
        <v>36155</v>
      </c>
      <c r="K17" s="9">
        <f>J17/I17</f>
        <v>669.53703703703707</v>
      </c>
      <c r="L17" s="33">
        <f>SUM(L14:L16)</f>
        <v>116480</v>
      </c>
      <c r="M17" s="33">
        <f>SUM(M14:M16)</f>
        <v>1397760</v>
      </c>
      <c r="N17" s="33">
        <f>L17/I17</f>
        <v>2157.037037037037</v>
      </c>
      <c r="O17" s="34">
        <f>N17/K17*12</f>
        <v>38.660212971926427</v>
      </c>
    </row>
    <row r="18" spans="2:15" x14ac:dyDescent="0.25">
      <c r="B18" s="197">
        <v>3</v>
      </c>
      <c r="C18" s="198">
        <v>308</v>
      </c>
      <c r="D18" s="199">
        <v>1</v>
      </c>
      <c r="E18" s="200">
        <v>654</v>
      </c>
    </row>
    <row r="19" spans="2:15" ht="15.75" thickBot="1" x14ac:dyDescent="0.3">
      <c r="B19" s="197">
        <v>3</v>
      </c>
      <c r="C19" s="198">
        <v>309</v>
      </c>
      <c r="D19" s="199">
        <v>1</v>
      </c>
      <c r="E19" s="200">
        <v>616</v>
      </c>
      <c r="H19" s="30" t="s">
        <v>20</v>
      </c>
      <c r="I19" s="28"/>
      <c r="J19" s="31" t="s">
        <v>21</v>
      </c>
      <c r="K19" s="28"/>
      <c r="L19" s="28"/>
      <c r="M19" s="28"/>
      <c r="N19" s="28"/>
      <c r="O19" s="29"/>
    </row>
    <row r="20" spans="2:15" x14ac:dyDescent="0.25">
      <c r="B20" s="197">
        <v>3</v>
      </c>
      <c r="C20" s="198">
        <v>310</v>
      </c>
      <c r="D20" s="199">
        <v>1</v>
      </c>
      <c r="E20" s="200">
        <v>654</v>
      </c>
      <c r="H20" s="23"/>
      <c r="I20" s="16" t="s">
        <v>12</v>
      </c>
      <c r="J20" s="16" t="s">
        <v>12</v>
      </c>
      <c r="K20" s="16" t="s">
        <v>14</v>
      </c>
      <c r="L20" s="16" t="s">
        <v>12</v>
      </c>
      <c r="M20" s="16" t="s">
        <v>12</v>
      </c>
      <c r="N20" s="16" t="s">
        <v>17</v>
      </c>
      <c r="O20" s="24" t="s">
        <v>17</v>
      </c>
    </row>
    <row r="21" spans="2:15" x14ac:dyDescent="0.25">
      <c r="B21" s="197">
        <v>3</v>
      </c>
      <c r="C21" s="198">
        <v>311</v>
      </c>
      <c r="D21" s="199">
        <v>1</v>
      </c>
      <c r="E21" s="200">
        <v>699</v>
      </c>
      <c r="H21" s="25" t="s">
        <v>1</v>
      </c>
      <c r="I21" s="26" t="s">
        <v>13</v>
      </c>
      <c r="J21" s="26" t="s">
        <v>2</v>
      </c>
      <c r="K21" s="26" t="s">
        <v>2</v>
      </c>
      <c r="L21" s="26" t="s">
        <v>15</v>
      </c>
      <c r="M21" s="26" t="s">
        <v>16</v>
      </c>
      <c r="N21" s="26" t="s">
        <v>18</v>
      </c>
      <c r="O21" s="27" t="s">
        <v>19</v>
      </c>
    </row>
    <row r="22" spans="2:15" x14ac:dyDescent="0.25">
      <c r="B22" s="195">
        <v>4</v>
      </c>
      <c r="C22" s="1">
        <v>401</v>
      </c>
      <c r="D22" s="180">
        <v>2</v>
      </c>
      <c r="E22" s="181">
        <v>868</v>
      </c>
      <c r="H22" s="20">
        <v>0</v>
      </c>
      <c r="I22" s="5">
        <f>COUNTIF($D$6:$D$185,$H22)</f>
        <v>26</v>
      </c>
      <c r="J22" s="5">
        <f>SUMIF($D$6:$D$185,$H22,E$6:E$185)</f>
        <v>12349</v>
      </c>
      <c r="K22" s="5">
        <f>J22/I22</f>
        <v>474.96153846153845</v>
      </c>
      <c r="L22" s="19">
        <f>SUM(L6,L14)</f>
        <v>74268.333333333343</v>
      </c>
      <c r="M22" s="19">
        <f>L22*12</f>
        <v>891220.00000000012</v>
      </c>
      <c r="N22" s="19">
        <f>L22/I22</f>
        <v>2856.4743589743593</v>
      </c>
      <c r="O22" s="21">
        <f>N22/K22*12</f>
        <v>72.169406429670431</v>
      </c>
    </row>
    <row r="23" spans="2:15" x14ac:dyDescent="0.25">
      <c r="B23" s="195">
        <v>4</v>
      </c>
      <c r="C23" s="1">
        <v>402</v>
      </c>
      <c r="D23" s="180">
        <v>2</v>
      </c>
      <c r="E23" s="181">
        <v>646</v>
      </c>
      <c r="H23" s="20">
        <v>1</v>
      </c>
      <c r="I23" s="5">
        <f>COUNTIF($D$6:$D$185,$H23)</f>
        <v>80</v>
      </c>
      <c r="J23" s="5">
        <f>SUMIF($D$6:$D$185,$H23,E$6:E$185)</f>
        <v>50068</v>
      </c>
      <c r="K23" s="5">
        <f>J23/I23</f>
        <v>625.85</v>
      </c>
      <c r="L23" s="19">
        <f>SUM(L7,L15)</f>
        <v>290184.66666666663</v>
      </c>
      <c r="M23" s="19">
        <f>L23*12</f>
        <v>3482215.9999999995</v>
      </c>
      <c r="N23" s="19">
        <f>L23/I23</f>
        <v>3627.3083333333329</v>
      </c>
      <c r="O23" s="21">
        <f>N23/K23*12</f>
        <v>69.549732363984958</v>
      </c>
    </row>
    <row r="24" spans="2:15" x14ac:dyDescent="0.25">
      <c r="B24" s="195">
        <v>4</v>
      </c>
      <c r="C24" s="1">
        <v>403</v>
      </c>
      <c r="D24" s="180">
        <v>2</v>
      </c>
      <c r="E24" s="181">
        <v>800</v>
      </c>
      <c r="H24" s="20">
        <v>2</v>
      </c>
      <c r="I24" s="5">
        <f>COUNTIF($D$6:$D$185,$H24)</f>
        <v>74</v>
      </c>
      <c r="J24" s="5">
        <f>SUMIF($D$6:$D$185,$H24,E$6:E$185)</f>
        <v>58099</v>
      </c>
      <c r="K24" s="5">
        <f>J24/I24</f>
        <v>785.12162162162167</v>
      </c>
      <c r="L24" s="19">
        <f>SUM(L8,L16)</f>
        <v>349584.08333333331</v>
      </c>
      <c r="M24" s="19">
        <f>L24*12</f>
        <v>4195009</v>
      </c>
      <c r="N24" s="19">
        <f>L24/I24</f>
        <v>4724.1092342342336</v>
      </c>
      <c r="O24" s="21">
        <f>N24/K24*12</f>
        <v>72.204495774453932</v>
      </c>
    </row>
    <row r="25" spans="2:15" x14ac:dyDescent="0.25">
      <c r="B25" s="195">
        <v>4</v>
      </c>
      <c r="C25" s="1">
        <v>404</v>
      </c>
      <c r="D25" s="180">
        <v>1</v>
      </c>
      <c r="E25" s="181">
        <v>611</v>
      </c>
      <c r="H25" s="32" t="s">
        <v>10</v>
      </c>
      <c r="I25" s="9">
        <f>SUM(I22:I24)</f>
        <v>180</v>
      </c>
      <c r="J25" s="9">
        <f>SUM(J22:J24)</f>
        <v>120516</v>
      </c>
      <c r="K25" s="9">
        <f>J25/I25</f>
        <v>669.5333333333333</v>
      </c>
      <c r="L25" s="33">
        <f>SUM(L22:L24)</f>
        <v>714037.08333333326</v>
      </c>
      <c r="M25" s="33">
        <f>SUM(M22:M24)</f>
        <v>8568445</v>
      </c>
      <c r="N25" s="33">
        <f>L25/I25</f>
        <v>3966.8726851851848</v>
      </c>
      <c r="O25" s="34">
        <f>N25/K25*12</f>
        <v>71.097986989279434</v>
      </c>
    </row>
    <row r="26" spans="2:15" x14ac:dyDescent="0.25">
      <c r="B26" s="195">
        <v>4</v>
      </c>
      <c r="C26" s="1">
        <v>405</v>
      </c>
      <c r="D26" s="180">
        <v>1</v>
      </c>
      <c r="E26" s="181">
        <v>680</v>
      </c>
    </row>
    <row r="27" spans="2:15" x14ac:dyDescent="0.25">
      <c r="B27" s="195">
        <v>4</v>
      </c>
      <c r="C27" s="1">
        <v>406</v>
      </c>
      <c r="D27" s="180">
        <v>0</v>
      </c>
      <c r="E27" s="181">
        <v>458</v>
      </c>
    </row>
    <row r="28" spans="2:15" x14ac:dyDescent="0.25">
      <c r="B28" s="195">
        <v>4</v>
      </c>
      <c r="C28" s="1">
        <v>407</v>
      </c>
      <c r="D28" s="180">
        <v>0</v>
      </c>
      <c r="E28" s="181">
        <v>468</v>
      </c>
    </row>
    <row r="29" spans="2:15" x14ac:dyDescent="0.25">
      <c r="B29" s="195">
        <v>4</v>
      </c>
      <c r="C29" s="1">
        <v>408</v>
      </c>
      <c r="D29" s="180">
        <v>1</v>
      </c>
      <c r="E29" s="181">
        <v>654</v>
      </c>
    </row>
    <row r="30" spans="2:15" x14ac:dyDescent="0.25">
      <c r="B30" s="195">
        <v>4</v>
      </c>
      <c r="C30" s="1">
        <v>409</v>
      </c>
      <c r="D30" s="180">
        <v>1</v>
      </c>
      <c r="E30" s="181">
        <v>616</v>
      </c>
    </row>
    <row r="31" spans="2:15" x14ac:dyDescent="0.25">
      <c r="B31" s="195">
        <v>4</v>
      </c>
      <c r="C31" s="1">
        <v>410</v>
      </c>
      <c r="D31" s="180">
        <v>1</v>
      </c>
      <c r="E31" s="181">
        <v>654</v>
      </c>
    </row>
    <row r="32" spans="2:15" x14ac:dyDescent="0.25">
      <c r="B32" s="195">
        <v>4</v>
      </c>
      <c r="C32" s="1">
        <v>411</v>
      </c>
      <c r="D32" s="180">
        <v>1</v>
      </c>
      <c r="E32" s="181">
        <v>699</v>
      </c>
    </row>
    <row r="33" spans="2:5" x14ac:dyDescent="0.25">
      <c r="B33" s="197">
        <v>5</v>
      </c>
      <c r="C33" s="198">
        <v>501</v>
      </c>
      <c r="D33" s="199">
        <v>2</v>
      </c>
      <c r="E33" s="200">
        <v>868</v>
      </c>
    </row>
    <row r="34" spans="2:5" x14ac:dyDescent="0.25">
      <c r="B34" s="197">
        <v>5</v>
      </c>
      <c r="C34" s="198">
        <v>502</v>
      </c>
      <c r="D34" s="199">
        <v>2</v>
      </c>
      <c r="E34" s="200">
        <v>646</v>
      </c>
    </row>
    <row r="35" spans="2:5" x14ac:dyDescent="0.25">
      <c r="B35" s="197">
        <v>5</v>
      </c>
      <c r="C35" s="198">
        <v>503</v>
      </c>
      <c r="D35" s="199">
        <v>2</v>
      </c>
      <c r="E35" s="200">
        <v>800</v>
      </c>
    </row>
    <row r="36" spans="2:5" x14ac:dyDescent="0.25">
      <c r="B36" s="197">
        <v>5</v>
      </c>
      <c r="C36" s="198">
        <v>504</v>
      </c>
      <c r="D36" s="199">
        <v>1</v>
      </c>
      <c r="E36" s="200">
        <v>611</v>
      </c>
    </row>
    <row r="37" spans="2:5" x14ac:dyDescent="0.25">
      <c r="B37" s="197">
        <v>5</v>
      </c>
      <c r="C37" s="198">
        <v>505</v>
      </c>
      <c r="D37" s="199">
        <v>1</v>
      </c>
      <c r="E37" s="200">
        <v>680</v>
      </c>
    </row>
    <row r="38" spans="2:5" x14ac:dyDescent="0.25">
      <c r="B38" s="197">
        <v>5</v>
      </c>
      <c r="C38" s="198">
        <v>506</v>
      </c>
      <c r="D38" s="199">
        <v>0</v>
      </c>
      <c r="E38" s="200">
        <v>458</v>
      </c>
    </row>
    <row r="39" spans="2:5" x14ac:dyDescent="0.25">
      <c r="B39" s="197">
        <v>5</v>
      </c>
      <c r="C39" s="198">
        <v>507</v>
      </c>
      <c r="D39" s="199">
        <v>0</v>
      </c>
      <c r="E39" s="200">
        <v>468</v>
      </c>
    </row>
    <row r="40" spans="2:5" x14ac:dyDescent="0.25">
      <c r="B40" s="197">
        <v>5</v>
      </c>
      <c r="C40" s="198">
        <v>508</v>
      </c>
      <c r="D40" s="199">
        <v>1</v>
      </c>
      <c r="E40" s="200">
        <v>654</v>
      </c>
    </row>
    <row r="41" spans="2:5" x14ac:dyDescent="0.25">
      <c r="B41" s="197">
        <v>5</v>
      </c>
      <c r="C41" s="198">
        <v>509</v>
      </c>
      <c r="D41" s="199">
        <v>1</v>
      </c>
      <c r="E41" s="200">
        <v>616</v>
      </c>
    </row>
    <row r="42" spans="2:5" x14ac:dyDescent="0.25">
      <c r="B42" s="197">
        <v>5</v>
      </c>
      <c r="C42" s="198">
        <v>510</v>
      </c>
      <c r="D42" s="199">
        <v>1</v>
      </c>
      <c r="E42" s="200">
        <v>654</v>
      </c>
    </row>
    <row r="43" spans="2:5" x14ac:dyDescent="0.25">
      <c r="B43" s="197">
        <v>5</v>
      </c>
      <c r="C43" s="198">
        <v>511</v>
      </c>
      <c r="D43" s="199">
        <v>1</v>
      </c>
      <c r="E43" s="200">
        <v>699</v>
      </c>
    </row>
    <row r="44" spans="2:5" x14ac:dyDescent="0.25">
      <c r="B44" s="195">
        <v>6</v>
      </c>
      <c r="C44" s="1">
        <v>601</v>
      </c>
      <c r="D44" s="180">
        <v>2</v>
      </c>
      <c r="E44" s="181">
        <v>868</v>
      </c>
    </row>
    <row r="45" spans="2:5" x14ac:dyDescent="0.25">
      <c r="B45" s="195">
        <v>6</v>
      </c>
      <c r="C45" s="1">
        <v>602</v>
      </c>
      <c r="D45" s="180">
        <v>2</v>
      </c>
      <c r="E45" s="181">
        <v>646</v>
      </c>
    </row>
    <row r="46" spans="2:5" x14ac:dyDescent="0.25">
      <c r="B46" s="195">
        <v>6</v>
      </c>
      <c r="C46" s="1">
        <v>603</v>
      </c>
      <c r="D46" s="180">
        <v>2</v>
      </c>
      <c r="E46" s="181">
        <v>800</v>
      </c>
    </row>
    <row r="47" spans="2:5" x14ac:dyDescent="0.25">
      <c r="B47" s="195">
        <v>6</v>
      </c>
      <c r="C47" s="1">
        <v>604</v>
      </c>
      <c r="D47" s="180">
        <v>1</v>
      </c>
      <c r="E47" s="181">
        <v>611</v>
      </c>
    </row>
    <row r="48" spans="2:5" x14ac:dyDescent="0.25">
      <c r="B48" s="195">
        <v>6</v>
      </c>
      <c r="C48" s="1">
        <v>605</v>
      </c>
      <c r="D48" s="180">
        <v>1</v>
      </c>
      <c r="E48" s="181">
        <v>680</v>
      </c>
    </row>
    <row r="49" spans="2:5" x14ac:dyDescent="0.25">
      <c r="B49" s="195">
        <v>6</v>
      </c>
      <c r="C49" s="1">
        <v>606</v>
      </c>
      <c r="D49" s="180">
        <v>0</v>
      </c>
      <c r="E49" s="181">
        <v>458</v>
      </c>
    </row>
    <row r="50" spans="2:5" x14ac:dyDescent="0.25">
      <c r="B50" s="195">
        <v>6</v>
      </c>
      <c r="C50" s="1">
        <v>607</v>
      </c>
      <c r="D50" s="180">
        <v>0</v>
      </c>
      <c r="E50" s="181">
        <v>468</v>
      </c>
    </row>
    <row r="51" spans="2:5" x14ac:dyDescent="0.25">
      <c r="B51" s="195">
        <v>6</v>
      </c>
      <c r="C51" s="1">
        <v>608</v>
      </c>
      <c r="D51" s="180">
        <v>1</v>
      </c>
      <c r="E51" s="181">
        <v>654</v>
      </c>
    </row>
    <row r="52" spans="2:5" x14ac:dyDescent="0.25">
      <c r="B52" s="195">
        <v>6</v>
      </c>
      <c r="C52" s="1">
        <v>609</v>
      </c>
      <c r="D52" s="180">
        <v>1</v>
      </c>
      <c r="E52" s="181">
        <v>616</v>
      </c>
    </row>
    <row r="53" spans="2:5" x14ac:dyDescent="0.25">
      <c r="B53" s="195">
        <v>6</v>
      </c>
      <c r="C53" s="1">
        <v>610</v>
      </c>
      <c r="D53" s="180">
        <v>1</v>
      </c>
      <c r="E53" s="181">
        <v>654</v>
      </c>
    </row>
    <row r="54" spans="2:5" x14ac:dyDescent="0.25">
      <c r="B54" s="195">
        <v>6</v>
      </c>
      <c r="C54" s="1">
        <v>611</v>
      </c>
      <c r="D54" s="180">
        <v>1</v>
      </c>
      <c r="E54" s="181">
        <v>699</v>
      </c>
    </row>
    <row r="55" spans="2:5" x14ac:dyDescent="0.25">
      <c r="B55" s="197">
        <v>7</v>
      </c>
      <c r="C55" s="198">
        <v>701</v>
      </c>
      <c r="D55" s="199">
        <v>2</v>
      </c>
      <c r="E55" s="200">
        <v>868</v>
      </c>
    </row>
    <row r="56" spans="2:5" x14ac:dyDescent="0.25">
      <c r="B56" s="197">
        <v>7</v>
      </c>
      <c r="C56" s="198">
        <v>702</v>
      </c>
      <c r="D56" s="199">
        <v>2</v>
      </c>
      <c r="E56" s="200">
        <v>646</v>
      </c>
    </row>
    <row r="57" spans="2:5" x14ac:dyDescent="0.25">
      <c r="B57" s="197">
        <v>7</v>
      </c>
      <c r="C57" s="198">
        <v>703</v>
      </c>
      <c r="D57" s="199">
        <v>2</v>
      </c>
      <c r="E57" s="200">
        <v>800</v>
      </c>
    </row>
    <row r="58" spans="2:5" x14ac:dyDescent="0.25">
      <c r="B58" s="197">
        <v>7</v>
      </c>
      <c r="C58" s="198">
        <v>704</v>
      </c>
      <c r="D58" s="199">
        <v>1</v>
      </c>
      <c r="E58" s="200">
        <v>611</v>
      </c>
    </row>
    <row r="59" spans="2:5" x14ac:dyDescent="0.25">
      <c r="B59" s="197">
        <v>7</v>
      </c>
      <c r="C59" s="198">
        <v>705</v>
      </c>
      <c r="D59" s="199">
        <v>1</v>
      </c>
      <c r="E59" s="200">
        <v>680</v>
      </c>
    </row>
    <row r="60" spans="2:5" x14ac:dyDescent="0.25">
      <c r="B60" s="197">
        <v>7</v>
      </c>
      <c r="C60" s="198">
        <v>706</v>
      </c>
      <c r="D60" s="199">
        <v>0</v>
      </c>
      <c r="E60" s="200">
        <v>458</v>
      </c>
    </row>
    <row r="61" spans="2:5" x14ac:dyDescent="0.25">
      <c r="B61" s="197">
        <v>7</v>
      </c>
      <c r="C61" s="198">
        <v>707</v>
      </c>
      <c r="D61" s="199">
        <v>0</v>
      </c>
      <c r="E61" s="200">
        <v>468</v>
      </c>
    </row>
    <row r="62" spans="2:5" x14ac:dyDescent="0.25">
      <c r="B62" s="197">
        <v>7</v>
      </c>
      <c r="C62" s="198">
        <v>708</v>
      </c>
      <c r="D62" s="199">
        <v>1</v>
      </c>
      <c r="E62" s="200">
        <v>654</v>
      </c>
    </row>
    <row r="63" spans="2:5" x14ac:dyDescent="0.25">
      <c r="B63" s="197">
        <v>7</v>
      </c>
      <c r="C63" s="198">
        <v>709</v>
      </c>
      <c r="D63" s="199">
        <v>1</v>
      </c>
      <c r="E63" s="200">
        <v>616</v>
      </c>
    </row>
    <row r="64" spans="2:5" x14ac:dyDescent="0.25">
      <c r="B64" s="197">
        <v>7</v>
      </c>
      <c r="C64" s="198">
        <v>710</v>
      </c>
      <c r="D64" s="199">
        <v>1</v>
      </c>
      <c r="E64" s="200">
        <v>654</v>
      </c>
    </row>
    <row r="65" spans="2:5" x14ac:dyDescent="0.25">
      <c r="B65" s="197">
        <v>7</v>
      </c>
      <c r="C65" s="198">
        <v>711</v>
      </c>
      <c r="D65" s="199">
        <v>1</v>
      </c>
      <c r="E65" s="200">
        <v>699</v>
      </c>
    </row>
    <row r="66" spans="2:5" x14ac:dyDescent="0.25">
      <c r="B66" s="195">
        <v>8</v>
      </c>
      <c r="C66" s="1">
        <v>801</v>
      </c>
      <c r="D66" s="180">
        <v>2</v>
      </c>
      <c r="E66" s="181">
        <v>868</v>
      </c>
    </row>
    <row r="67" spans="2:5" x14ac:dyDescent="0.25">
      <c r="B67" s="195">
        <v>8</v>
      </c>
      <c r="C67" s="1">
        <v>802</v>
      </c>
      <c r="D67" s="180">
        <v>2</v>
      </c>
      <c r="E67" s="181">
        <v>646</v>
      </c>
    </row>
    <row r="68" spans="2:5" x14ac:dyDescent="0.25">
      <c r="B68" s="195">
        <v>8</v>
      </c>
      <c r="C68" s="1">
        <v>803</v>
      </c>
      <c r="D68" s="180">
        <v>2</v>
      </c>
      <c r="E68" s="181">
        <v>800</v>
      </c>
    </row>
    <row r="69" spans="2:5" x14ac:dyDescent="0.25">
      <c r="B69" s="195">
        <v>8</v>
      </c>
      <c r="C69" s="1">
        <v>804</v>
      </c>
      <c r="D69" s="180">
        <v>1</v>
      </c>
      <c r="E69" s="181">
        <v>611</v>
      </c>
    </row>
    <row r="70" spans="2:5" x14ac:dyDescent="0.25">
      <c r="B70" s="195">
        <v>8</v>
      </c>
      <c r="C70" s="1">
        <v>805</v>
      </c>
      <c r="D70" s="180">
        <v>1</v>
      </c>
      <c r="E70" s="181">
        <v>680</v>
      </c>
    </row>
    <row r="71" spans="2:5" x14ac:dyDescent="0.25">
      <c r="B71" s="195">
        <v>8</v>
      </c>
      <c r="C71" s="1">
        <v>806</v>
      </c>
      <c r="D71" s="180">
        <v>0</v>
      </c>
      <c r="E71" s="181">
        <v>458</v>
      </c>
    </row>
    <row r="72" spans="2:5" x14ac:dyDescent="0.25">
      <c r="B72" s="195">
        <v>8</v>
      </c>
      <c r="C72" s="1">
        <v>807</v>
      </c>
      <c r="D72" s="180">
        <v>0</v>
      </c>
      <c r="E72" s="181">
        <v>468</v>
      </c>
    </row>
    <row r="73" spans="2:5" x14ac:dyDescent="0.25">
      <c r="B73" s="195">
        <v>8</v>
      </c>
      <c r="C73" s="1">
        <v>808</v>
      </c>
      <c r="D73" s="180">
        <v>1</v>
      </c>
      <c r="E73" s="181">
        <v>654</v>
      </c>
    </row>
    <row r="74" spans="2:5" x14ac:dyDescent="0.25">
      <c r="B74" s="195">
        <v>8</v>
      </c>
      <c r="C74" s="1">
        <v>809</v>
      </c>
      <c r="D74" s="180">
        <v>1</v>
      </c>
      <c r="E74" s="181">
        <v>616</v>
      </c>
    </row>
    <row r="75" spans="2:5" x14ac:dyDescent="0.25">
      <c r="B75" s="195">
        <v>8</v>
      </c>
      <c r="C75" s="1">
        <v>810</v>
      </c>
      <c r="D75" s="180">
        <v>1</v>
      </c>
      <c r="E75" s="181">
        <v>654</v>
      </c>
    </row>
    <row r="76" spans="2:5" x14ac:dyDescent="0.25">
      <c r="B76" s="195">
        <v>8</v>
      </c>
      <c r="C76" s="1">
        <v>811</v>
      </c>
      <c r="D76" s="180">
        <v>1</v>
      </c>
      <c r="E76" s="181">
        <v>699</v>
      </c>
    </row>
    <row r="77" spans="2:5" x14ac:dyDescent="0.25">
      <c r="B77" s="197">
        <v>9</v>
      </c>
      <c r="C77" s="198">
        <v>901</v>
      </c>
      <c r="D77" s="199">
        <v>2</v>
      </c>
      <c r="E77" s="200">
        <v>868</v>
      </c>
    </row>
    <row r="78" spans="2:5" x14ac:dyDescent="0.25">
      <c r="B78" s="197">
        <v>9</v>
      </c>
      <c r="C78" s="198">
        <v>902</v>
      </c>
      <c r="D78" s="199">
        <v>2</v>
      </c>
      <c r="E78" s="200">
        <v>646</v>
      </c>
    </row>
    <row r="79" spans="2:5" x14ac:dyDescent="0.25">
      <c r="B79" s="197">
        <v>9</v>
      </c>
      <c r="C79" s="198">
        <v>903</v>
      </c>
      <c r="D79" s="199">
        <v>2</v>
      </c>
      <c r="E79" s="200">
        <v>800</v>
      </c>
    </row>
    <row r="80" spans="2:5" x14ac:dyDescent="0.25">
      <c r="B80" s="197">
        <v>9</v>
      </c>
      <c r="C80" s="198">
        <v>904</v>
      </c>
      <c r="D80" s="199">
        <v>1</v>
      </c>
      <c r="E80" s="200">
        <v>611</v>
      </c>
    </row>
    <row r="81" spans="2:5" x14ac:dyDescent="0.25">
      <c r="B81" s="197">
        <v>9</v>
      </c>
      <c r="C81" s="198">
        <v>905</v>
      </c>
      <c r="D81" s="199">
        <v>1</v>
      </c>
      <c r="E81" s="200">
        <v>680</v>
      </c>
    </row>
    <row r="82" spans="2:5" x14ac:dyDescent="0.25">
      <c r="B82" s="197">
        <v>9</v>
      </c>
      <c r="C82" s="198">
        <v>906</v>
      </c>
      <c r="D82" s="199">
        <v>0</v>
      </c>
      <c r="E82" s="200">
        <v>458</v>
      </c>
    </row>
    <row r="83" spans="2:5" x14ac:dyDescent="0.25">
      <c r="B83" s="197">
        <v>9</v>
      </c>
      <c r="C83" s="198">
        <v>907</v>
      </c>
      <c r="D83" s="199">
        <v>0</v>
      </c>
      <c r="E83" s="200">
        <v>468</v>
      </c>
    </row>
    <row r="84" spans="2:5" x14ac:dyDescent="0.25">
      <c r="B84" s="197">
        <v>9</v>
      </c>
      <c r="C84" s="198">
        <v>908</v>
      </c>
      <c r="D84" s="199">
        <v>1</v>
      </c>
      <c r="E84" s="200">
        <v>654</v>
      </c>
    </row>
    <row r="85" spans="2:5" x14ac:dyDescent="0.25">
      <c r="B85" s="197">
        <v>9</v>
      </c>
      <c r="C85" s="198">
        <v>909</v>
      </c>
      <c r="D85" s="199">
        <v>1</v>
      </c>
      <c r="E85" s="200">
        <v>616</v>
      </c>
    </row>
    <row r="86" spans="2:5" x14ac:dyDescent="0.25">
      <c r="B86" s="197">
        <v>9</v>
      </c>
      <c r="C86" s="198">
        <v>910</v>
      </c>
      <c r="D86" s="199">
        <v>1</v>
      </c>
      <c r="E86" s="200">
        <v>654</v>
      </c>
    </row>
    <row r="87" spans="2:5" x14ac:dyDescent="0.25">
      <c r="B87" s="197">
        <v>9</v>
      </c>
      <c r="C87" s="198">
        <v>911</v>
      </c>
      <c r="D87" s="199">
        <v>1</v>
      </c>
      <c r="E87" s="200">
        <v>699</v>
      </c>
    </row>
    <row r="88" spans="2:5" x14ac:dyDescent="0.25">
      <c r="B88" s="195">
        <v>10</v>
      </c>
      <c r="C88" s="1">
        <v>1001</v>
      </c>
      <c r="D88" s="180">
        <v>2</v>
      </c>
      <c r="E88" s="181">
        <v>858</v>
      </c>
    </row>
    <row r="89" spans="2:5" x14ac:dyDescent="0.25">
      <c r="B89" s="195">
        <v>10</v>
      </c>
      <c r="C89" s="1">
        <v>1002</v>
      </c>
      <c r="D89" s="180">
        <v>2</v>
      </c>
      <c r="E89" s="181">
        <v>657</v>
      </c>
    </row>
    <row r="90" spans="2:5" x14ac:dyDescent="0.25">
      <c r="B90" s="195">
        <v>10</v>
      </c>
      <c r="C90" s="1">
        <v>1003</v>
      </c>
      <c r="D90" s="180">
        <v>2</v>
      </c>
      <c r="E90" s="181">
        <v>752</v>
      </c>
    </row>
    <row r="91" spans="2:5" x14ac:dyDescent="0.25">
      <c r="B91" s="195">
        <v>10</v>
      </c>
      <c r="C91" s="1">
        <v>1004</v>
      </c>
      <c r="D91" s="180">
        <v>1</v>
      </c>
      <c r="E91" s="181">
        <v>660</v>
      </c>
    </row>
    <row r="92" spans="2:5" x14ac:dyDescent="0.25">
      <c r="B92" s="195">
        <v>10</v>
      </c>
      <c r="C92" s="1">
        <v>1005</v>
      </c>
      <c r="D92" s="180">
        <v>1</v>
      </c>
      <c r="E92" s="181">
        <v>597</v>
      </c>
    </row>
    <row r="93" spans="2:5" x14ac:dyDescent="0.25">
      <c r="B93" s="195">
        <v>10</v>
      </c>
      <c r="C93" s="1">
        <v>1006</v>
      </c>
      <c r="D93" s="180">
        <v>2</v>
      </c>
      <c r="E93" s="181">
        <v>813</v>
      </c>
    </row>
    <row r="94" spans="2:5" x14ac:dyDescent="0.25">
      <c r="B94" s="195">
        <v>10</v>
      </c>
      <c r="C94" s="1">
        <v>1007</v>
      </c>
      <c r="D94" s="180">
        <v>2</v>
      </c>
      <c r="E94" s="181">
        <v>979</v>
      </c>
    </row>
    <row r="95" spans="2:5" x14ac:dyDescent="0.25">
      <c r="B95" s="195">
        <v>10</v>
      </c>
      <c r="C95" s="1">
        <v>1008</v>
      </c>
      <c r="D95" s="180">
        <v>2</v>
      </c>
      <c r="E95" s="181">
        <v>952</v>
      </c>
    </row>
    <row r="96" spans="2:5" x14ac:dyDescent="0.25">
      <c r="B96" s="197">
        <v>11</v>
      </c>
      <c r="C96" s="198">
        <v>1101</v>
      </c>
      <c r="D96" s="199">
        <v>2</v>
      </c>
      <c r="E96" s="200">
        <v>856</v>
      </c>
    </row>
    <row r="97" spans="2:5" x14ac:dyDescent="0.25">
      <c r="B97" s="197">
        <v>11</v>
      </c>
      <c r="C97" s="198">
        <v>1102</v>
      </c>
      <c r="D97" s="199">
        <v>2</v>
      </c>
      <c r="E97" s="200">
        <v>659</v>
      </c>
    </row>
    <row r="98" spans="2:5" x14ac:dyDescent="0.25">
      <c r="B98" s="197">
        <v>11</v>
      </c>
      <c r="C98" s="198">
        <v>1103</v>
      </c>
      <c r="D98" s="199">
        <v>2</v>
      </c>
      <c r="E98" s="200">
        <v>755</v>
      </c>
    </row>
    <row r="99" spans="2:5" x14ac:dyDescent="0.25">
      <c r="B99" s="197">
        <v>11</v>
      </c>
      <c r="C99" s="198">
        <v>1104</v>
      </c>
      <c r="D99" s="199">
        <v>1</v>
      </c>
      <c r="E99" s="200">
        <v>657</v>
      </c>
    </row>
    <row r="100" spans="2:5" x14ac:dyDescent="0.25">
      <c r="B100" s="197">
        <v>11</v>
      </c>
      <c r="C100" s="198">
        <v>1105</v>
      </c>
      <c r="D100" s="199">
        <v>0</v>
      </c>
      <c r="E100" s="200">
        <v>597</v>
      </c>
    </row>
    <row r="101" spans="2:5" x14ac:dyDescent="0.25">
      <c r="B101" s="197">
        <v>11</v>
      </c>
      <c r="C101" s="198">
        <v>1106</v>
      </c>
      <c r="D101" s="199">
        <v>2</v>
      </c>
      <c r="E101" s="200">
        <v>825</v>
      </c>
    </row>
    <row r="102" spans="2:5" x14ac:dyDescent="0.25">
      <c r="B102" s="197">
        <v>11</v>
      </c>
      <c r="C102" s="198">
        <v>1107</v>
      </c>
      <c r="D102" s="199">
        <v>1</v>
      </c>
      <c r="E102" s="200">
        <v>759</v>
      </c>
    </row>
    <row r="103" spans="2:5" x14ac:dyDescent="0.25">
      <c r="B103" s="197">
        <v>11</v>
      </c>
      <c r="C103" s="198">
        <v>1108</v>
      </c>
      <c r="D103" s="199">
        <v>2</v>
      </c>
      <c r="E103" s="200">
        <v>863</v>
      </c>
    </row>
    <row r="104" spans="2:5" x14ac:dyDescent="0.25">
      <c r="B104" s="195">
        <v>12</v>
      </c>
      <c r="C104" s="1">
        <v>1201</v>
      </c>
      <c r="D104" s="180">
        <v>2</v>
      </c>
      <c r="E104" s="181">
        <v>856</v>
      </c>
    </row>
    <row r="105" spans="2:5" x14ac:dyDescent="0.25">
      <c r="B105" s="195">
        <v>12</v>
      </c>
      <c r="C105" s="1">
        <v>1202</v>
      </c>
      <c r="D105" s="180">
        <v>2</v>
      </c>
      <c r="E105" s="181">
        <v>659</v>
      </c>
    </row>
    <row r="106" spans="2:5" x14ac:dyDescent="0.25">
      <c r="B106" s="195">
        <v>12</v>
      </c>
      <c r="C106" s="1">
        <v>1203</v>
      </c>
      <c r="D106" s="180">
        <v>2</v>
      </c>
      <c r="E106" s="181">
        <v>755</v>
      </c>
    </row>
    <row r="107" spans="2:5" x14ac:dyDescent="0.25">
      <c r="B107" s="195">
        <v>12</v>
      </c>
      <c r="C107" s="1">
        <v>1204</v>
      </c>
      <c r="D107" s="180">
        <v>1</v>
      </c>
      <c r="E107" s="181">
        <v>657</v>
      </c>
    </row>
    <row r="108" spans="2:5" x14ac:dyDescent="0.25">
      <c r="B108" s="195">
        <v>12</v>
      </c>
      <c r="C108" s="1">
        <v>1205</v>
      </c>
      <c r="D108" s="180">
        <v>1</v>
      </c>
      <c r="E108" s="181">
        <v>597</v>
      </c>
    </row>
    <row r="109" spans="2:5" x14ac:dyDescent="0.25">
      <c r="B109" s="195">
        <v>12</v>
      </c>
      <c r="C109" s="1">
        <v>1206</v>
      </c>
      <c r="D109" s="180">
        <v>0</v>
      </c>
      <c r="E109" s="181">
        <v>449</v>
      </c>
    </row>
    <row r="110" spans="2:5" x14ac:dyDescent="0.25">
      <c r="B110" s="195">
        <v>12</v>
      </c>
      <c r="C110" s="1">
        <v>1207</v>
      </c>
      <c r="D110" s="180">
        <v>0</v>
      </c>
      <c r="E110" s="181">
        <v>463</v>
      </c>
    </row>
    <row r="111" spans="2:5" x14ac:dyDescent="0.25">
      <c r="B111" s="195">
        <v>12</v>
      </c>
      <c r="C111" s="1">
        <v>1208</v>
      </c>
      <c r="D111" s="180">
        <v>1</v>
      </c>
      <c r="E111" s="181">
        <v>675</v>
      </c>
    </row>
    <row r="112" spans="2:5" x14ac:dyDescent="0.25">
      <c r="B112" s="195">
        <v>12</v>
      </c>
      <c r="C112" s="1">
        <v>1209</v>
      </c>
      <c r="D112" s="180">
        <v>2</v>
      </c>
      <c r="E112" s="181">
        <v>863</v>
      </c>
    </row>
    <row r="113" spans="2:5" x14ac:dyDescent="0.25">
      <c r="B113" s="197">
        <v>13</v>
      </c>
      <c r="C113" s="198">
        <v>1301</v>
      </c>
      <c r="D113" s="199">
        <v>2</v>
      </c>
      <c r="E113" s="200">
        <v>856</v>
      </c>
    </row>
    <row r="114" spans="2:5" x14ac:dyDescent="0.25">
      <c r="B114" s="197">
        <v>13</v>
      </c>
      <c r="C114" s="198">
        <v>1302</v>
      </c>
      <c r="D114" s="199">
        <v>2</v>
      </c>
      <c r="E114" s="200">
        <v>659</v>
      </c>
    </row>
    <row r="115" spans="2:5" x14ac:dyDescent="0.25">
      <c r="B115" s="197">
        <v>13</v>
      </c>
      <c r="C115" s="198">
        <v>1303</v>
      </c>
      <c r="D115" s="199">
        <v>2</v>
      </c>
      <c r="E115" s="200">
        <v>755</v>
      </c>
    </row>
    <row r="116" spans="2:5" x14ac:dyDescent="0.25">
      <c r="B116" s="197">
        <v>13</v>
      </c>
      <c r="C116" s="198">
        <v>1304</v>
      </c>
      <c r="D116" s="199">
        <v>1</v>
      </c>
      <c r="E116" s="200">
        <v>657</v>
      </c>
    </row>
    <row r="117" spans="2:5" x14ac:dyDescent="0.25">
      <c r="B117" s="197">
        <v>13</v>
      </c>
      <c r="C117" s="198">
        <v>1305</v>
      </c>
      <c r="D117" s="199">
        <v>0</v>
      </c>
      <c r="E117" s="200">
        <v>631</v>
      </c>
    </row>
    <row r="118" spans="2:5" x14ac:dyDescent="0.25">
      <c r="B118" s="197">
        <v>13</v>
      </c>
      <c r="C118" s="198">
        <v>1306</v>
      </c>
      <c r="D118" s="199">
        <v>1</v>
      </c>
      <c r="E118" s="200">
        <v>415</v>
      </c>
    </row>
    <row r="119" spans="2:5" x14ac:dyDescent="0.25">
      <c r="B119" s="197">
        <v>13</v>
      </c>
      <c r="C119" s="198">
        <v>1307</v>
      </c>
      <c r="D119" s="199">
        <v>0</v>
      </c>
      <c r="E119" s="200">
        <v>459</v>
      </c>
    </row>
    <row r="120" spans="2:5" x14ac:dyDescent="0.25">
      <c r="B120" s="197">
        <v>13</v>
      </c>
      <c r="C120" s="198">
        <v>1308</v>
      </c>
      <c r="D120" s="199">
        <v>1</v>
      </c>
      <c r="E120" s="200">
        <v>562</v>
      </c>
    </row>
    <row r="121" spans="2:5" x14ac:dyDescent="0.25">
      <c r="B121" s="197">
        <v>13</v>
      </c>
      <c r="C121" s="198">
        <v>1309</v>
      </c>
      <c r="D121" s="199">
        <v>1</v>
      </c>
      <c r="E121" s="200">
        <v>689</v>
      </c>
    </row>
    <row r="122" spans="2:5" x14ac:dyDescent="0.25">
      <c r="B122" s="195">
        <v>14</v>
      </c>
      <c r="C122" s="1">
        <v>1401</v>
      </c>
      <c r="D122" s="180">
        <v>2</v>
      </c>
      <c r="E122" s="181">
        <v>856</v>
      </c>
    </row>
    <row r="123" spans="2:5" x14ac:dyDescent="0.25">
      <c r="B123" s="195">
        <v>14</v>
      </c>
      <c r="C123" s="1">
        <v>1402</v>
      </c>
      <c r="D123" s="180">
        <v>2</v>
      </c>
      <c r="E123" s="181">
        <v>659</v>
      </c>
    </row>
    <row r="124" spans="2:5" x14ac:dyDescent="0.25">
      <c r="B124" s="195">
        <v>14</v>
      </c>
      <c r="C124" s="1">
        <v>1403</v>
      </c>
      <c r="D124" s="180">
        <v>2</v>
      </c>
      <c r="E124" s="181">
        <v>755</v>
      </c>
    </row>
    <row r="125" spans="2:5" x14ac:dyDescent="0.25">
      <c r="B125" s="195">
        <v>14</v>
      </c>
      <c r="C125" s="1">
        <v>1404</v>
      </c>
      <c r="D125" s="180">
        <v>1</v>
      </c>
      <c r="E125" s="181">
        <v>657</v>
      </c>
    </row>
    <row r="126" spans="2:5" x14ac:dyDescent="0.25">
      <c r="B126" s="195">
        <v>14</v>
      </c>
      <c r="C126" s="1">
        <v>1405</v>
      </c>
      <c r="D126" s="180">
        <v>1</v>
      </c>
      <c r="E126" s="181">
        <v>597</v>
      </c>
    </row>
    <row r="127" spans="2:5" x14ac:dyDescent="0.25">
      <c r="B127" s="195">
        <v>14</v>
      </c>
      <c r="C127" s="1">
        <v>1406</v>
      </c>
      <c r="D127" s="180">
        <v>0</v>
      </c>
      <c r="E127" s="181">
        <v>434</v>
      </c>
    </row>
    <row r="128" spans="2:5" x14ac:dyDescent="0.25">
      <c r="B128" s="195">
        <v>14</v>
      </c>
      <c r="C128" s="1">
        <v>1407</v>
      </c>
      <c r="D128" s="180">
        <v>0</v>
      </c>
      <c r="E128" s="181">
        <v>463</v>
      </c>
    </row>
    <row r="129" spans="2:5" x14ac:dyDescent="0.25">
      <c r="B129" s="195">
        <v>14</v>
      </c>
      <c r="C129" s="1">
        <v>1408</v>
      </c>
      <c r="D129" s="180">
        <v>1</v>
      </c>
      <c r="E129" s="181">
        <v>553</v>
      </c>
    </row>
    <row r="130" spans="2:5" x14ac:dyDescent="0.25">
      <c r="B130" s="195">
        <v>14</v>
      </c>
      <c r="C130" s="1">
        <v>1409</v>
      </c>
      <c r="D130" s="180">
        <v>0</v>
      </c>
      <c r="E130" s="181">
        <v>572</v>
      </c>
    </row>
    <row r="131" spans="2:5" x14ac:dyDescent="0.25">
      <c r="B131" s="197">
        <v>15</v>
      </c>
      <c r="C131" s="198">
        <v>1501</v>
      </c>
      <c r="D131" s="199">
        <v>2</v>
      </c>
      <c r="E131" s="200">
        <v>856</v>
      </c>
    </row>
    <row r="132" spans="2:5" x14ac:dyDescent="0.25">
      <c r="B132" s="197">
        <v>15</v>
      </c>
      <c r="C132" s="198">
        <v>1502</v>
      </c>
      <c r="D132" s="199">
        <v>2</v>
      </c>
      <c r="E132" s="200">
        <v>659</v>
      </c>
    </row>
    <row r="133" spans="2:5" x14ac:dyDescent="0.25">
      <c r="B133" s="197">
        <v>15</v>
      </c>
      <c r="C133" s="198">
        <v>1503</v>
      </c>
      <c r="D133" s="199">
        <v>2</v>
      </c>
      <c r="E133" s="200">
        <v>856</v>
      </c>
    </row>
    <row r="134" spans="2:5" x14ac:dyDescent="0.25">
      <c r="B134" s="197">
        <v>15</v>
      </c>
      <c r="C134" s="198">
        <v>1504</v>
      </c>
      <c r="D134" s="199">
        <v>1</v>
      </c>
      <c r="E134" s="200">
        <v>556</v>
      </c>
    </row>
    <row r="135" spans="2:5" x14ac:dyDescent="0.25">
      <c r="B135" s="197">
        <v>15</v>
      </c>
      <c r="C135" s="198">
        <v>1505</v>
      </c>
      <c r="D135" s="199">
        <v>1</v>
      </c>
      <c r="E135" s="200">
        <v>600</v>
      </c>
    </row>
    <row r="136" spans="2:5" x14ac:dyDescent="0.25">
      <c r="B136" s="197">
        <v>15</v>
      </c>
      <c r="C136" s="198">
        <v>1506</v>
      </c>
      <c r="D136" s="199">
        <v>0</v>
      </c>
      <c r="E136" s="200">
        <v>424</v>
      </c>
    </row>
    <row r="137" spans="2:5" x14ac:dyDescent="0.25">
      <c r="B137" s="197">
        <v>15</v>
      </c>
      <c r="C137" s="198">
        <v>1507</v>
      </c>
      <c r="D137" s="199">
        <v>1</v>
      </c>
      <c r="E137" s="200">
        <v>662</v>
      </c>
    </row>
    <row r="138" spans="2:5" x14ac:dyDescent="0.25">
      <c r="B138" s="197">
        <v>15</v>
      </c>
      <c r="C138" s="198">
        <v>1508</v>
      </c>
      <c r="D138" s="199">
        <v>1</v>
      </c>
      <c r="E138" s="200">
        <v>769</v>
      </c>
    </row>
    <row r="139" spans="2:5" x14ac:dyDescent="0.25">
      <c r="B139" s="195">
        <v>16</v>
      </c>
      <c r="C139" s="1">
        <v>1601</v>
      </c>
      <c r="D139" s="180">
        <v>2</v>
      </c>
      <c r="E139" s="181">
        <v>856</v>
      </c>
    </row>
    <row r="140" spans="2:5" x14ac:dyDescent="0.25">
      <c r="B140" s="195">
        <v>16</v>
      </c>
      <c r="C140" s="1">
        <v>1602</v>
      </c>
      <c r="D140" s="180">
        <v>2</v>
      </c>
      <c r="E140" s="181">
        <v>659</v>
      </c>
    </row>
    <row r="141" spans="2:5" x14ac:dyDescent="0.25">
      <c r="B141" s="195">
        <v>16</v>
      </c>
      <c r="C141" s="1">
        <v>1603</v>
      </c>
      <c r="D141" s="180">
        <v>2</v>
      </c>
      <c r="E141" s="181">
        <v>800</v>
      </c>
    </row>
    <row r="142" spans="2:5" x14ac:dyDescent="0.25">
      <c r="B142" s="195">
        <v>16</v>
      </c>
      <c r="C142" s="1">
        <v>1604</v>
      </c>
      <c r="D142" s="180">
        <v>1</v>
      </c>
      <c r="E142" s="181">
        <v>611</v>
      </c>
    </row>
    <row r="143" spans="2:5" x14ac:dyDescent="0.25">
      <c r="B143" s="195">
        <v>16</v>
      </c>
      <c r="C143" s="1">
        <v>1605</v>
      </c>
      <c r="D143" s="180">
        <v>0</v>
      </c>
      <c r="E143" s="181">
        <v>470</v>
      </c>
    </row>
    <row r="144" spans="2:5" x14ac:dyDescent="0.25">
      <c r="B144" s="195">
        <v>16</v>
      </c>
      <c r="C144" s="1">
        <v>1606</v>
      </c>
      <c r="D144" s="180">
        <v>1</v>
      </c>
      <c r="E144" s="181">
        <v>568</v>
      </c>
    </row>
    <row r="145" spans="2:5" x14ac:dyDescent="0.25">
      <c r="B145" s="195">
        <v>16</v>
      </c>
      <c r="C145" s="1">
        <v>1607</v>
      </c>
      <c r="D145" s="180">
        <v>1</v>
      </c>
      <c r="E145" s="181">
        <v>507</v>
      </c>
    </row>
    <row r="146" spans="2:5" x14ac:dyDescent="0.25">
      <c r="B146" s="195">
        <v>16</v>
      </c>
      <c r="C146" s="1">
        <v>1608</v>
      </c>
      <c r="D146" s="180">
        <v>2</v>
      </c>
      <c r="E146" s="181">
        <v>912</v>
      </c>
    </row>
    <row r="147" spans="2:5" x14ac:dyDescent="0.25">
      <c r="B147" s="197">
        <v>17</v>
      </c>
      <c r="C147" s="198">
        <v>1701</v>
      </c>
      <c r="D147" s="199">
        <v>2</v>
      </c>
      <c r="E147" s="200">
        <v>856</v>
      </c>
    </row>
    <row r="148" spans="2:5" x14ac:dyDescent="0.25">
      <c r="B148" s="197">
        <v>17</v>
      </c>
      <c r="C148" s="198">
        <v>1702</v>
      </c>
      <c r="D148" s="199">
        <v>2</v>
      </c>
      <c r="E148" s="200">
        <v>659</v>
      </c>
    </row>
    <row r="149" spans="2:5" x14ac:dyDescent="0.25">
      <c r="B149" s="197">
        <v>17</v>
      </c>
      <c r="C149" s="198">
        <v>1703</v>
      </c>
      <c r="D149" s="199">
        <v>2</v>
      </c>
      <c r="E149" s="200">
        <v>752</v>
      </c>
    </row>
    <row r="150" spans="2:5" x14ac:dyDescent="0.25">
      <c r="B150" s="197">
        <v>17</v>
      </c>
      <c r="C150" s="198">
        <v>1704</v>
      </c>
      <c r="D150" s="199">
        <v>1</v>
      </c>
      <c r="E150" s="200">
        <v>660</v>
      </c>
    </row>
    <row r="151" spans="2:5" x14ac:dyDescent="0.25">
      <c r="B151" s="197">
        <v>17</v>
      </c>
      <c r="C151" s="198">
        <v>1705</v>
      </c>
      <c r="D151" s="199">
        <v>1</v>
      </c>
      <c r="E151" s="200">
        <v>601</v>
      </c>
    </row>
    <row r="152" spans="2:5" x14ac:dyDescent="0.25">
      <c r="B152" s="197">
        <v>17</v>
      </c>
      <c r="C152" s="198">
        <v>1706</v>
      </c>
      <c r="D152" s="199">
        <v>1</v>
      </c>
      <c r="E152" s="200">
        <v>435</v>
      </c>
    </row>
    <row r="153" spans="2:5" x14ac:dyDescent="0.25">
      <c r="B153" s="197">
        <v>17</v>
      </c>
      <c r="C153" s="198">
        <v>1707</v>
      </c>
      <c r="D153" s="199">
        <v>1</v>
      </c>
      <c r="E153" s="200">
        <v>510</v>
      </c>
    </row>
    <row r="154" spans="2:5" x14ac:dyDescent="0.25">
      <c r="B154" s="197">
        <v>17</v>
      </c>
      <c r="C154" s="198">
        <v>1708</v>
      </c>
      <c r="D154" s="199">
        <v>2</v>
      </c>
      <c r="E154" s="200">
        <v>912</v>
      </c>
    </row>
    <row r="155" spans="2:5" x14ac:dyDescent="0.25">
      <c r="B155" s="195">
        <v>18</v>
      </c>
      <c r="C155" s="1">
        <v>1801</v>
      </c>
      <c r="D155" s="180">
        <v>2</v>
      </c>
      <c r="E155" s="181">
        <v>856</v>
      </c>
    </row>
    <row r="156" spans="2:5" x14ac:dyDescent="0.25">
      <c r="B156" s="195">
        <v>18</v>
      </c>
      <c r="C156" s="1">
        <v>1802</v>
      </c>
      <c r="D156" s="180">
        <v>2</v>
      </c>
      <c r="E156" s="181">
        <v>659</v>
      </c>
    </row>
    <row r="157" spans="2:5" x14ac:dyDescent="0.25">
      <c r="B157" s="195">
        <v>18</v>
      </c>
      <c r="C157" s="1">
        <v>1803</v>
      </c>
      <c r="D157" s="180">
        <v>2</v>
      </c>
      <c r="E157" s="181">
        <v>752</v>
      </c>
    </row>
    <row r="158" spans="2:5" x14ac:dyDescent="0.25">
      <c r="B158" s="195">
        <v>18</v>
      </c>
      <c r="C158" s="1">
        <v>1804</v>
      </c>
      <c r="D158" s="180">
        <v>1</v>
      </c>
      <c r="E158" s="181">
        <v>660</v>
      </c>
    </row>
    <row r="159" spans="2:5" x14ac:dyDescent="0.25">
      <c r="B159" s="195">
        <v>18</v>
      </c>
      <c r="C159" s="1">
        <v>1805</v>
      </c>
      <c r="D159" s="180">
        <v>1</v>
      </c>
      <c r="E159" s="181">
        <v>575</v>
      </c>
    </row>
    <row r="160" spans="2:5" x14ac:dyDescent="0.25">
      <c r="B160" s="195">
        <v>18</v>
      </c>
      <c r="C160" s="1">
        <v>1806</v>
      </c>
      <c r="D160" s="180">
        <v>1</v>
      </c>
      <c r="E160" s="181">
        <v>463</v>
      </c>
    </row>
    <row r="161" spans="2:5" x14ac:dyDescent="0.25">
      <c r="B161" s="195">
        <v>18</v>
      </c>
      <c r="C161" s="1">
        <v>1807</v>
      </c>
      <c r="D161" s="180">
        <v>1</v>
      </c>
      <c r="E161" s="181">
        <v>507</v>
      </c>
    </row>
    <row r="162" spans="2:5" x14ac:dyDescent="0.25">
      <c r="B162" s="195">
        <v>18</v>
      </c>
      <c r="C162" s="1">
        <v>1808</v>
      </c>
      <c r="D162" s="180">
        <v>2</v>
      </c>
      <c r="E162" s="181">
        <v>912</v>
      </c>
    </row>
    <row r="163" spans="2:5" x14ac:dyDescent="0.25">
      <c r="B163" s="197">
        <v>19</v>
      </c>
      <c r="C163" s="198">
        <v>1901</v>
      </c>
      <c r="D163" s="199">
        <v>2</v>
      </c>
      <c r="E163" s="200">
        <v>856</v>
      </c>
    </row>
    <row r="164" spans="2:5" x14ac:dyDescent="0.25">
      <c r="B164" s="197">
        <v>19</v>
      </c>
      <c r="C164" s="198">
        <v>1902</v>
      </c>
      <c r="D164" s="199">
        <v>2</v>
      </c>
      <c r="E164" s="200">
        <v>659</v>
      </c>
    </row>
    <row r="165" spans="2:5" x14ac:dyDescent="0.25">
      <c r="B165" s="197">
        <v>19</v>
      </c>
      <c r="C165" s="198">
        <v>1903</v>
      </c>
      <c r="D165" s="199">
        <v>2</v>
      </c>
      <c r="E165" s="200">
        <v>800</v>
      </c>
    </row>
    <row r="166" spans="2:5" x14ac:dyDescent="0.25">
      <c r="B166" s="197">
        <v>19</v>
      </c>
      <c r="C166" s="198">
        <v>1904</v>
      </c>
      <c r="D166" s="199">
        <v>1</v>
      </c>
      <c r="E166" s="200">
        <v>611</v>
      </c>
    </row>
    <row r="167" spans="2:5" x14ac:dyDescent="0.25">
      <c r="B167" s="197">
        <v>19</v>
      </c>
      <c r="C167" s="198">
        <v>1905</v>
      </c>
      <c r="D167" s="199">
        <v>1</v>
      </c>
      <c r="E167" s="200">
        <v>575</v>
      </c>
    </row>
    <row r="168" spans="2:5" x14ac:dyDescent="0.25">
      <c r="B168" s="197">
        <v>19</v>
      </c>
      <c r="C168" s="198">
        <v>1906</v>
      </c>
      <c r="D168" s="199">
        <v>0</v>
      </c>
      <c r="E168" s="200">
        <v>452</v>
      </c>
    </row>
    <row r="169" spans="2:5" x14ac:dyDescent="0.25">
      <c r="B169" s="197">
        <v>19</v>
      </c>
      <c r="C169" s="198">
        <v>1907</v>
      </c>
      <c r="D169" s="199">
        <v>1</v>
      </c>
      <c r="E169" s="200">
        <v>518</v>
      </c>
    </row>
    <row r="170" spans="2:5" x14ac:dyDescent="0.25">
      <c r="B170" s="197">
        <v>19</v>
      </c>
      <c r="C170" s="198">
        <v>1908</v>
      </c>
      <c r="D170" s="199">
        <v>2</v>
      </c>
      <c r="E170" s="200">
        <v>912</v>
      </c>
    </row>
    <row r="171" spans="2:5" x14ac:dyDescent="0.25">
      <c r="B171" s="195">
        <v>20</v>
      </c>
      <c r="C171" s="1">
        <v>1204</v>
      </c>
      <c r="D171" s="180">
        <v>1</v>
      </c>
      <c r="E171" s="181">
        <v>611</v>
      </c>
    </row>
    <row r="172" spans="2:5" x14ac:dyDescent="0.25">
      <c r="B172" s="195">
        <v>20</v>
      </c>
      <c r="C172" s="1">
        <v>2001</v>
      </c>
      <c r="D172" s="180">
        <v>2</v>
      </c>
      <c r="E172" s="181">
        <v>856</v>
      </c>
    </row>
    <row r="173" spans="2:5" x14ac:dyDescent="0.25">
      <c r="B173" s="195">
        <v>20</v>
      </c>
      <c r="C173" s="1">
        <v>2002</v>
      </c>
      <c r="D173" s="180">
        <v>2</v>
      </c>
      <c r="E173" s="181">
        <v>659</v>
      </c>
    </row>
    <row r="174" spans="2:5" x14ac:dyDescent="0.25">
      <c r="B174" s="195">
        <v>20</v>
      </c>
      <c r="C174" s="1">
        <v>2003</v>
      </c>
      <c r="D174" s="180">
        <v>2</v>
      </c>
      <c r="E174" s="181">
        <v>800</v>
      </c>
    </row>
    <row r="175" spans="2:5" x14ac:dyDescent="0.25">
      <c r="B175" s="195">
        <v>20</v>
      </c>
      <c r="C175" s="1">
        <v>2005</v>
      </c>
      <c r="D175" s="180">
        <v>1</v>
      </c>
      <c r="E175" s="181">
        <v>575</v>
      </c>
    </row>
    <row r="176" spans="2:5" x14ac:dyDescent="0.25">
      <c r="B176" s="195">
        <v>20</v>
      </c>
      <c r="C176" s="1">
        <v>2006</v>
      </c>
      <c r="D176" s="180">
        <v>0</v>
      </c>
      <c r="E176" s="181">
        <v>453</v>
      </c>
    </row>
    <row r="177" spans="2:5" x14ac:dyDescent="0.25">
      <c r="B177" s="195">
        <v>20</v>
      </c>
      <c r="C177" s="1">
        <v>2007</v>
      </c>
      <c r="D177" s="180">
        <v>1</v>
      </c>
      <c r="E177" s="181">
        <v>517</v>
      </c>
    </row>
    <row r="178" spans="2:5" x14ac:dyDescent="0.25">
      <c r="B178" s="195">
        <v>20</v>
      </c>
      <c r="C178" s="1">
        <v>2008</v>
      </c>
      <c r="D178" s="180">
        <v>2</v>
      </c>
      <c r="E178" s="181">
        <v>910</v>
      </c>
    </row>
    <row r="179" spans="2:5" x14ac:dyDescent="0.25">
      <c r="B179" s="197">
        <v>21</v>
      </c>
      <c r="C179" s="198">
        <v>2101</v>
      </c>
      <c r="D179" s="199">
        <v>2</v>
      </c>
      <c r="E179" s="200">
        <v>856</v>
      </c>
    </row>
    <row r="180" spans="2:5" x14ac:dyDescent="0.25">
      <c r="B180" s="197">
        <v>21</v>
      </c>
      <c r="C180" s="198">
        <v>2102</v>
      </c>
      <c r="D180" s="199">
        <v>2</v>
      </c>
      <c r="E180" s="200">
        <v>659</v>
      </c>
    </row>
    <row r="181" spans="2:5" x14ac:dyDescent="0.25">
      <c r="B181" s="197">
        <v>21</v>
      </c>
      <c r="C181" s="198">
        <v>2103</v>
      </c>
      <c r="D181" s="199">
        <v>2</v>
      </c>
      <c r="E181" s="200">
        <v>800</v>
      </c>
    </row>
    <row r="182" spans="2:5" x14ac:dyDescent="0.25">
      <c r="B182" s="197">
        <v>21</v>
      </c>
      <c r="C182" s="198">
        <v>2104</v>
      </c>
      <c r="D182" s="199">
        <v>1</v>
      </c>
      <c r="E182" s="200">
        <v>611</v>
      </c>
    </row>
    <row r="183" spans="2:5" x14ac:dyDescent="0.25">
      <c r="B183" s="197">
        <v>21</v>
      </c>
      <c r="C183" s="198">
        <v>2105</v>
      </c>
      <c r="D183" s="199">
        <v>2</v>
      </c>
      <c r="E183" s="200">
        <v>705</v>
      </c>
    </row>
    <row r="184" spans="2:5" x14ac:dyDescent="0.25">
      <c r="B184" s="197">
        <v>21</v>
      </c>
      <c r="C184" s="198">
        <v>2106</v>
      </c>
      <c r="D184" s="199">
        <v>2</v>
      </c>
      <c r="E184" s="200">
        <v>717</v>
      </c>
    </row>
    <row r="185" spans="2:5" x14ac:dyDescent="0.25">
      <c r="B185" s="197">
        <v>21</v>
      </c>
      <c r="C185" s="198">
        <v>2107</v>
      </c>
      <c r="D185" s="199">
        <v>2</v>
      </c>
      <c r="E185" s="200">
        <v>743</v>
      </c>
    </row>
    <row r="186" spans="2:5" x14ac:dyDescent="0.25">
      <c r="B186" s="201" t="s">
        <v>10</v>
      </c>
      <c r="C186" s="8"/>
      <c r="D186" s="8"/>
      <c r="E186" s="182">
        <f>SUM(E6:E185)</f>
        <v>120516</v>
      </c>
    </row>
  </sheetData>
  <mergeCells count="2">
    <mergeCell ref="Q3:U3"/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BD7B-A2E2-4E72-9827-88BDB859FB69}">
  <dimension ref="B1:V88"/>
  <sheetViews>
    <sheetView tabSelected="1" zoomScale="85" zoomScaleNormal="85" workbookViewId="0">
      <selection activeCell="O21" sqref="O21"/>
    </sheetView>
  </sheetViews>
  <sheetFormatPr defaultRowHeight="15" x14ac:dyDescent="0.25"/>
  <cols>
    <col min="1" max="1" width="4.7109375" style="2" customWidth="1"/>
    <col min="2" max="2" width="33.85546875" style="2" bestFit="1" customWidth="1"/>
    <col min="3" max="3" width="8.5703125" style="2" customWidth="1"/>
    <col min="4" max="4" width="14.5703125" style="19" bestFit="1" customWidth="1"/>
    <col min="5" max="5" width="7.7109375" style="71" bestFit="1" customWidth="1"/>
    <col min="6" max="6" width="9" style="60" bestFit="1" customWidth="1"/>
    <col min="7" max="7" width="13.85546875" style="60" customWidth="1"/>
    <col min="8" max="8" width="9.85546875" style="60" bestFit="1" customWidth="1"/>
    <col min="9" max="9" width="13.140625" style="63" bestFit="1" customWidth="1"/>
    <col min="10" max="10" width="15.28515625" style="63" bestFit="1" customWidth="1"/>
    <col min="11" max="11" width="14.140625" style="63" bestFit="1" customWidth="1"/>
    <col min="12" max="12" width="4.7109375" style="2" customWidth="1"/>
    <col min="13" max="13" width="30.85546875" style="2" bestFit="1" customWidth="1"/>
    <col min="14" max="14" width="9.140625" style="2"/>
    <col min="15" max="15" width="16.42578125" style="19" bestFit="1" customWidth="1"/>
    <col min="16" max="16" width="14.5703125" style="48" bestFit="1" customWidth="1"/>
    <col min="17" max="19" width="8.42578125" style="48" bestFit="1" customWidth="1"/>
    <col min="20" max="20" width="13.140625" style="48" bestFit="1" customWidth="1"/>
    <col min="21" max="21" width="15.28515625" style="48" bestFit="1" customWidth="1"/>
    <col min="22" max="22" width="17.140625" style="48" customWidth="1"/>
    <col min="23" max="23" width="4.7109375" style="2" customWidth="1"/>
    <col min="24" max="16384" width="9.140625" style="2"/>
  </cols>
  <sheetData>
    <row r="1" spans="2:22" ht="15.75" thickBot="1" x14ac:dyDescent="0.3"/>
    <row r="2" spans="2:22" x14ac:dyDescent="0.25">
      <c r="M2" s="183" t="s">
        <v>112</v>
      </c>
      <c r="N2" s="184"/>
      <c r="O2" s="185">
        <f>D88</f>
        <v>98550528</v>
      </c>
      <c r="P2" s="60"/>
    </row>
    <row r="3" spans="2:22" x14ac:dyDescent="0.25">
      <c r="M3" s="186" t="s">
        <v>143</v>
      </c>
      <c r="N3" s="217">
        <v>0.75</v>
      </c>
      <c r="O3" s="193">
        <v>70000000</v>
      </c>
      <c r="P3" s="60"/>
    </row>
    <row r="4" spans="2:22" ht="15.75" thickBot="1" x14ac:dyDescent="0.3">
      <c r="F4" s="127" t="s">
        <v>51</v>
      </c>
      <c r="G4" s="127" t="s">
        <v>52</v>
      </c>
      <c r="H4" s="127" t="s">
        <v>53</v>
      </c>
      <c r="M4" s="187" t="s">
        <v>142</v>
      </c>
      <c r="N4" s="188">
        <f ca="1">O4/$O$2</f>
        <v>0.31393114681354128</v>
      </c>
      <c r="O4" s="189">
        <f ca="1">N4*$O$2</f>
        <v>30938080.27412001</v>
      </c>
    </row>
    <row r="5" spans="2:22" ht="15.75" thickBot="1" x14ac:dyDescent="0.3">
      <c r="F5" s="80">
        <f>Summary!H14</f>
        <v>143880</v>
      </c>
      <c r="G5" s="80">
        <f>Summary!H15</f>
        <v>172841.35</v>
      </c>
      <c r="H5" s="80">
        <f>Summary!H16</f>
        <v>137955</v>
      </c>
      <c r="M5" s="18" t="s">
        <v>144</v>
      </c>
      <c r="N5" s="175"/>
      <c r="O5" s="176">
        <v>5200000</v>
      </c>
    </row>
    <row r="7" spans="2:22" ht="15.75" thickBot="1" x14ac:dyDescent="0.3">
      <c r="B7" s="101" t="s">
        <v>69</v>
      </c>
      <c r="C7" s="102"/>
      <c r="D7" s="103" t="s">
        <v>80</v>
      </c>
      <c r="E7" s="104" t="s">
        <v>81</v>
      </c>
      <c r="F7" s="105" t="s">
        <v>61</v>
      </c>
      <c r="G7" s="105" t="s">
        <v>62</v>
      </c>
      <c r="H7" s="105" t="s">
        <v>63</v>
      </c>
      <c r="I7" s="163" t="s">
        <v>82</v>
      </c>
      <c r="J7" s="106" t="s">
        <v>83</v>
      </c>
      <c r="K7" s="107" t="s">
        <v>84</v>
      </c>
      <c r="M7" s="49" t="s">
        <v>99</v>
      </c>
      <c r="N7" s="50"/>
      <c r="O7" s="94" t="s">
        <v>80</v>
      </c>
      <c r="P7" s="95" t="s">
        <v>81</v>
      </c>
      <c r="Q7" s="62" t="s">
        <v>61</v>
      </c>
      <c r="R7" s="62" t="s">
        <v>62</v>
      </c>
      <c r="S7" s="62" t="s">
        <v>63</v>
      </c>
      <c r="T7" s="169" t="s">
        <v>82</v>
      </c>
      <c r="U7" s="57" t="s">
        <v>83</v>
      </c>
      <c r="V7" s="51" t="s">
        <v>84</v>
      </c>
    </row>
    <row r="8" spans="2:22" ht="15.75" thickTop="1" x14ac:dyDescent="0.25">
      <c r="B8" s="36" t="s">
        <v>149</v>
      </c>
      <c r="D8" s="108">
        <f>F8*$F$5</f>
        <v>25179000</v>
      </c>
      <c r="E8" s="71">
        <f>D8/$D$88</f>
        <v>0.25549330390193342</v>
      </c>
      <c r="F8" s="204">
        <v>175</v>
      </c>
      <c r="G8" s="109">
        <f>D8/$G$5</f>
        <v>145.67694593915172</v>
      </c>
      <c r="H8" s="109">
        <f>D8/$H$5</f>
        <v>182.51603783842558</v>
      </c>
      <c r="I8" s="164">
        <f>D8</f>
        <v>25179000</v>
      </c>
      <c r="J8" s="63">
        <v>0</v>
      </c>
      <c r="K8" s="110">
        <f>D8-I8-J8</f>
        <v>0</v>
      </c>
      <c r="M8" s="36" t="s">
        <v>65</v>
      </c>
      <c r="O8" s="19">
        <f>O3</f>
        <v>70000000</v>
      </c>
      <c r="P8" s="174">
        <f>O8/$O$10</f>
        <v>0.71029553489556141</v>
      </c>
      <c r="Q8" s="60">
        <f>O8/$F$5</f>
        <v>486.51654156241312</v>
      </c>
      <c r="R8" s="60">
        <f>O8/$G$5</f>
        <v>404.99567956394691</v>
      </c>
      <c r="S8" s="60">
        <f>O8/$H$5</f>
        <v>507.41183719328768</v>
      </c>
      <c r="T8" s="173">
        <f>O5</f>
        <v>5200000</v>
      </c>
      <c r="U8" s="96">
        <f>U17-U9</f>
        <v>0</v>
      </c>
      <c r="V8" s="97">
        <f>O8-T8-U8</f>
        <v>64800000</v>
      </c>
    </row>
    <row r="9" spans="2:22" x14ac:dyDescent="0.25">
      <c r="B9" s="91" t="s">
        <v>85</v>
      </c>
      <c r="C9" s="4"/>
      <c r="D9" s="84">
        <f>SUM(D8)</f>
        <v>25179000</v>
      </c>
      <c r="E9" s="72">
        <f>D9/$D$88</f>
        <v>0.25549330390193342</v>
      </c>
      <c r="F9" s="81">
        <f>D9/$F$5</f>
        <v>175</v>
      </c>
      <c r="G9" s="81">
        <f>D9/$G$5</f>
        <v>145.67694593915172</v>
      </c>
      <c r="H9" s="81">
        <f>D9/$H$5</f>
        <v>182.51603783842558</v>
      </c>
      <c r="I9" s="165">
        <f>SUM(I8)</f>
        <v>25179000</v>
      </c>
      <c r="J9" s="73">
        <f>SUM(J8)</f>
        <v>0</v>
      </c>
      <c r="K9" s="111">
        <f>SUM(K8)</f>
        <v>0</v>
      </c>
      <c r="M9" s="36" t="s">
        <v>66</v>
      </c>
      <c r="O9" s="19">
        <f>O17-O8</f>
        <v>28550528</v>
      </c>
      <c r="P9" s="98">
        <f>O9/$O$10</f>
        <v>0.28970446510443859</v>
      </c>
      <c r="Q9" s="60">
        <f>O9/$F$5</f>
        <v>198.43291631915486</v>
      </c>
      <c r="R9" s="60">
        <f>O9/$G$5</f>
        <v>165.18343556099279</v>
      </c>
      <c r="S9" s="60">
        <f>O9/$H$5</f>
        <v>206.95536950454857</v>
      </c>
      <c r="T9" s="170">
        <f>T17-T8</f>
        <v>21979000</v>
      </c>
      <c r="U9" s="96">
        <f>MIN(O9-T9,U17)</f>
        <v>3619400</v>
      </c>
      <c r="V9" s="97">
        <f>O9-T9-U9</f>
        <v>2952128</v>
      </c>
    </row>
    <row r="10" spans="2:22" x14ac:dyDescent="0.25">
      <c r="B10" s="36"/>
      <c r="D10" s="108"/>
      <c r="F10" s="109"/>
      <c r="G10" s="109"/>
      <c r="H10" s="109"/>
      <c r="I10" s="164"/>
      <c r="K10" s="110"/>
      <c r="M10" s="32" t="s">
        <v>100</v>
      </c>
      <c r="N10" s="10"/>
      <c r="O10" s="33">
        <f>SUM(O8:O9)</f>
        <v>98550528</v>
      </c>
      <c r="P10" s="90">
        <f>O10/$O$10</f>
        <v>1</v>
      </c>
      <c r="Q10" s="61">
        <f>O10/$F$5</f>
        <v>684.94945788156792</v>
      </c>
      <c r="R10" s="61">
        <f>O10/$G$5</f>
        <v>570.1791151249397</v>
      </c>
      <c r="S10" s="61">
        <f>O10/$H$5</f>
        <v>714.3672066978362</v>
      </c>
      <c r="T10" s="171">
        <f>SUM(T8:T9)</f>
        <v>27179000</v>
      </c>
      <c r="U10" s="92">
        <f>SUM(U8:U9)</f>
        <v>3619400</v>
      </c>
      <c r="V10" s="99">
        <f>SUM(V8:V9)</f>
        <v>67752128</v>
      </c>
    </row>
    <row r="11" spans="2:22" s="3" customFormat="1" ht="15.75" thickBot="1" x14ac:dyDescent="0.3">
      <c r="B11" s="101" t="s">
        <v>70</v>
      </c>
      <c r="C11" s="102"/>
      <c r="D11" s="125" t="s">
        <v>80</v>
      </c>
      <c r="E11" s="104" t="s">
        <v>81</v>
      </c>
      <c r="F11" s="126" t="s">
        <v>61</v>
      </c>
      <c r="G11" s="126" t="s">
        <v>62</v>
      </c>
      <c r="H11" s="126" t="s">
        <v>63</v>
      </c>
      <c r="I11" s="163" t="s">
        <v>82</v>
      </c>
      <c r="J11" s="106" t="s">
        <v>83</v>
      </c>
      <c r="K11" s="107" t="s">
        <v>84</v>
      </c>
      <c r="M11" s="25" t="s">
        <v>101</v>
      </c>
      <c r="N11" s="26"/>
      <c r="O11" s="87" t="s">
        <v>80</v>
      </c>
      <c r="P11" s="88" t="s">
        <v>81</v>
      </c>
      <c r="Q11" s="89" t="s">
        <v>61</v>
      </c>
      <c r="R11" s="89" t="s">
        <v>62</v>
      </c>
      <c r="S11" s="89" t="s">
        <v>63</v>
      </c>
      <c r="T11" s="172" t="s">
        <v>82</v>
      </c>
      <c r="U11" s="93" t="s">
        <v>83</v>
      </c>
      <c r="V11" s="100" t="s">
        <v>84</v>
      </c>
    </row>
    <row r="12" spans="2:22" ht="15.75" thickTop="1" x14ac:dyDescent="0.25">
      <c r="B12" s="36" t="s">
        <v>163</v>
      </c>
      <c r="D12" s="108">
        <v>70000</v>
      </c>
      <c r="E12" s="71">
        <f>D12/$D$88</f>
        <v>7.1029553489556144E-4</v>
      </c>
      <c r="F12" s="109">
        <f t="shared" ref="F12:F16" si="0">D12/$F$5</f>
        <v>0.48651654156241314</v>
      </c>
      <c r="G12" s="109">
        <f t="shared" ref="G12:G16" si="1">D12/$G$5</f>
        <v>0.40499567956394694</v>
      </c>
      <c r="H12" s="109">
        <f t="shared" ref="H12:H16" si="2">D12/$H$5</f>
        <v>0.50741183719328764</v>
      </c>
      <c r="I12" s="164">
        <v>0</v>
      </c>
      <c r="J12" s="63">
        <v>0</v>
      </c>
      <c r="K12" s="110">
        <f t="shared" ref="K12:K16" si="3">D12-I12-J12</f>
        <v>70000</v>
      </c>
      <c r="M12" s="36" t="s">
        <v>69</v>
      </c>
      <c r="O12" s="19">
        <f>D9</f>
        <v>25179000</v>
      </c>
      <c r="P12" s="98">
        <f>O12/$O$17</f>
        <v>0.25549330390193342</v>
      </c>
      <c r="Q12" s="60">
        <f t="shared" ref="Q12:Q16" si="4">O12/$F$5</f>
        <v>175</v>
      </c>
      <c r="R12" s="60">
        <f t="shared" ref="R12:R16" si="5">O12/$G$5</f>
        <v>145.67694593915172</v>
      </c>
      <c r="S12" s="60">
        <f t="shared" ref="S12:S16" si="6">O12/$H$5</f>
        <v>182.51603783842558</v>
      </c>
      <c r="T12" s="170">
        <f>I9</f>
        <v>25179000</v>
      </c>
      <c r="U12" s="96">
        <f>J9</f>
        <v>0</v>
      </c>
      <c r="V12" s="97">
        <f>O12-T12-U12</f>
        <v>0</v>
      </c>
    </row>
    <row r="13" spans="2:22" x14ac:dyDescent="0.25">
      <c r="B13" s="36" t="s">
        <v>164</v>
      </c>
      <c r="D13" s="108">
        <v>500000</v>
      </c>
      <c r="E13" s="71">
        <f>D13/$D$88</f>
        <v>5.0735395349682955E-3</v>
      </c>
      <c r="F13" s="109">
        <f t="shared" si="0"/>
        <v>3.4751181540172364</v>
      </c>
      <c r="G13" s="109">
        <f t="shared" si="1"/>
        <v>2.8928262825996209</v>
      </c>
      <c r="H13" s="109">
        <f t="shared" si="2"/>
        <v>3.6243702656663404</v>
      </c>
      <c r="I13" s="164">
        <v>0</v>
      </c>
      <c r="J13" s="63">
        <v>0</v>
      </c>
      <c r="K13" s="110">
        <f t="shared" si="3"/>
        <v>500000</v>
      </c>
      <c r="M13" s="36" t="s">
        <v>70</v>
      </c>
      <c r="O13" s="19">
        <f>D65</f>
        <v>53742128</v>
      </c>
      <c r="P13" s="98">
        <f>O13/$O$17</f>
        <v>0.54532562220265324</v>
      </c>
      <c r="Q13" s="60">
        <f t="shared" si="4"/>
        <v>373.52048929663607</v>
      </c>
      <c r="R13" s="60">
        <f t="shared" si="5"/>
        <v>310.93328072246601</v>
      </c>
      <c r="S13" s="60">
        <f t="shared" si="6"/>
        <v>389.56274147366895</v>
      </c>
      <c r="T13" s="170">
        <f>I65</f>
        <v>0</v>
      </c>
      <c r="U13" s="96">
        <f>J65</f>
        <v>0</v>
      </c>
      <c r="V13" s="97">
        <f>O13-T13-U13</f>
        <v>53742128</v>
      </c>
    </row>
    <row r="14" spans="2:22" x14ac:dyDescent="0.25">
      <c r="B14" s="36" t="s">
        <v>165</v>
      </c>
      <c r="D14" s="108">
        <v>50000</v>
      </c>
      <c r="E14" s="71">
        <f>D14/$D$88</f>
        <v>5.0735395349682955E-4</v>
      </c>
      <c r="F14" s="109">
        <f t="shared" si="0"/>
        <v>0.34751181540172366</v>
      </c>
      <c r="G14" s="109">
        <f t="shared" si="1"/>
        <v>0.28928262825996209</v>
      </c>
      <c r="H14" s="109">
        <f t="shared" si="2"/>
        <v>0.36243702656663407</v>
      </c>
      <c r="I14" s="164">
        <v>0</v>
      </c>
      <c r="J14" s="63">
        <v>0</v>
      </c>
      <c r="K14" s="110">
        <f t="shared" si="3"/>
        <v>50000</v>
      </c>
      <c r="M14" s="36" t="s">
        <v>71</v>
      </c>
      <c r="O14" s="19">
        <f>D69</f>
        <v>6000000</v>
      </c>
      <c r="P14" s="98">
        <f t="shared" ref="P14:P16" si="7">O14/$O$17</f>
        <v>6.0882474419619546E-2</v>
      </c>
      <c r="Q14" s="60">
        <f t="shared" si="4"/>
        <v>41.701417848206837</v>
      </c>
      <c r="R14" s="60">
        <f t="shared" si="5"/>
        <v>34.713915391195449</v>
      </c>
      <c r="S14" s="60">
        <f t="shared" si="6"/>
        <v>43.492443187996088</v>
      </c>
      <c r="T14" s="170">
        <f>I69</f>
        <v>2000000</v>
      </c>
      <c r="U14" s="96">
        <f>J69</f>
        <v>0</v>
      </c>
      <c r="V14" s="97">
        <f>O14-T14-U14</f>
        <v>4000000</v>
      </c>
    </row>
    <row r="15" spans="2:22" x14ac:dyDescent="0.25">
      <c r="B15" s="36" t="s">
        <v>166</v>
      </c>
      <c r="D15" s="108">
        <v>825000</v>
      </c>
      <c r="E15" s="71">
        <f>D15/$D$88</f>
        <v>8.3713402326976872E-3</v>
      </c>
      <c r="F15" s="109">
        <f t="shared" si="0"/>
        <v>5.7339449541284404</v>
      </c>
      <c r="G15" s="109">
        <f t="shared" si="1"/>
        <v>4.7731633662893742</v>
      </c>
      <c r="H15" s="109">
        <f t="shared" si="2"/>
        <v>5.9802109383494617</v>
      </c>
      <c r="I15" s="164">
        <v>0</v>
      </c>
      <c r="J15" s="63">
        <v>0</v>
      </c>
      <c r="K15" s="110">
        <f t="shared" si="3"/>
        <v>825000</v>
      </c>
      <c r="M15" s="36" t="s">
        <v>72</v>
      </c>
      <c r="O15" s="19">
        <f>D82</f>
        <v>3619400</v>
      </c>
      <c r="P15" s="98">
        <f t="shared" si="7"/>
        <v>3.6726337985728497E-2</v>
      </c>
      <c r="Q15" s="60">
        <f t="shared" si="4"/>
        <v>25.155685293299971</v>
      </c>
      <c r="R15" s="60">
        <f t="shared" si="5"/>
        <v>20.940590894482135</v>
      </c>
      <c r="S15" s="60">
        <f t="shared" si="6"/>
        <v>26.236091479105504</v>
      </c>
      <c r="T15" s="170">
        <f>I82</f>
        <v>0</v>
      </c>
      <c r="U15" s="96">
        <f>J82</f>
        <v>3619400</v>
      </c>
      <c r="V15" s="97">
        <f>O15-T15-U15</f>
        <v>0</v>
      </c>
    </row>
    <row r="16" spans="2:22" x14ac:dyDescent="0.25">
      <c r="B16" s="36" t="s">
        <v>167</v>
      </c>
      <c r="D16" s="108">
        <v>240000</v>
      </c>
      <c r="E16" s="71">
        <f>D16/$D$88</f>
        <v>2.4352989767847818E-3</v>
      </c>
      <c r="F16" s="109">
        <f t="shared" si="0"/>
        <v>1.6680567139282736</v>
      </c>
      <c r="G16" s="109">
        <f t="shared" si="1"/>
        <v>1.388556615647818</v>
      </c>
      <c r="H16" s="109">
        <f t="shared" si="2"/>
        <v>1.7396977275198435</v>
      </c>
      <c r="I16" s="164">
        <v>0</v>
      </c>
      <c r="J16" s="63">
        <v>0</v>
      </c>
      <c r="K16" s="110">
        <f t="shared" si="3"/>
        <v>240000</v>
      </c>
      <c r="M16" s="36" t="s">
        <v>73</v>
      </c>
      <c r="O16" s="19">
        <f>D86</f>
        <v>10010000</v>
      </c>
      <c r="P16" s="98">
        <f t="shared" si="7"/>
        <v>0.10157226149006528</v>
      </c>
      <c r="Q16" s="60">
        <f t="shared" si="4"/>
        <v>69.571865443425082</v>
      </c>
      <c r="R16" s="60">
        <f t="shared" si="5"/>
        <v>57.914382177644413</v>
      </c>
      <c r="S16" s="60">
        <f t="shared" si="6"/>
        <v>72.559892718640143</v>
      </c>
      <c r="T16" s="170">
        <f>I86</f>
        <v>0</v>
      </c>
      <c r="U16" s="96">
        <f>J86</f>
        <v>0</v>
      </c>
      <c r="V16" s="97">
        <f>O16-T16-U16</f>
        <v>10010000</v>
      </c>
    </row>
    <row r="17" spans="2:22" x14ac:dyDescent="0.25">
      <c r="B17" s="36" t="s">
        <v>168</v>
      </c>
      <c r="D17" s="108">
        <v>35000</v>
      </c>
      <c r="E17" s="71">
        <f t="shared" ref="E17:E63" si="8">D17/$D$88</f>
        <v>3.5514776744778072E-4</v>
      </c>
      <c r="F17" s="109">
        <f t="shared" ref="F17:F63" si="9">D17/$F$5</f>
        <v>0.24325827078120657</v>
      </c>
      <c r="G17" s="109">
        <f t="shared" ref="G17:G63" si="10">D17/$G$5</f>
        <v>0.20249783978197347</v>
      </c>
      <c r="H17" s="109">
        <f t="shared" ref="H17:H63" si="11">D17/$H$5</f>
        <v>0.25370591859664382</v>
      </c>
      <c r="I17" s="164">
        <v>0</v>
      </c>
      <c r="J17" s="63">
        <v>0</v>
      </c>
      <c r="K17" s="110">
        <f t="shared" ref="K17:K63" si="12">D17-I17-J17</f>
        <v>35000</v>
      </c>
      <c r="M17" s="32" t="s">
        <v>100</v>
      </c>
      <c r="N17" s="10"/>
      <c r="O17" s="33">
        <f>SUM(O12:O16)</f>
        <v>98550528</v>
      </c>
      <c r="P17" s="90">
        <f>O17/$O$10</f>
        <v>1</v>
      </c>
      <c r="Q17" s="61">
        <f>O17/$F$5</f>
        <v>684.94945788156792</v>
      </c>
      <c r="R17" s="61">
        <f>O17/$G$5</f>
        <v>570.1791151249397</v>
      </c>
      <c r="S17" s="61">
        <f>O17/$H$5</f>
        <v>714.3672066978362</v>
      </c>
      <c r="T17" s="171">
        <f>SUM(T12:T16)</f>
        <v>27179000</v>
      </c>
      <c r="U17" s="171">
        <f t="shared" ref="U17:V17" si="13">SUM(U12:U16)</f>
        <v>3619400</v>
      </c>
      <c r="V17" s="171">
        <f t="shared" si="13"/>
        <v>67752128</v>
      </c>
    </row>
    <row r="18" spans="2:22" x14ac:dyDescent="0.25">
      <c r="B18" s="36" t="s">
        <v>169</v>
      </c>
      <c r="D18" s="108">
        <v>75000</v>
      </c>
      <c r="E18" s="71">
        <f t="shared" si="8"/>
        <v>7.6103093024524433E-4</v>
      </c>
      <c r="F18" s="109">
        <f t="shared" si="9"/>
        <v>0.52126772310258551</v>
      </c>
      <c r="G18" s="109">
        <f t="shared" si="10"/>
        <v>0.43392394238994314</v>
      </c>
      <c r="H18" s="109">
        <f t="shared" si="11"/>
        <v>0.54365553984995107</v>
      </c>
      <c r="I18" s="164">
        <v>0</v>
      </c>
      <c r="J18" s="63">
        <v>0</v>
      </c>
      <c r="K18" s="110">
        <f t="shared" si="12"/>
        <v>75000</v>
      </c>
      <c r="M18" s="7"/>
      <c r="N18" s="7"/>
      <c r="O18" s="274"/>
      <c r="P18" s="275"/>
      <c r="Q18" s="276"/>
      <c r="R18" s="276"/>
      <c r="S18" s="276"/>
      <c r="T18" s="277"/>
      <c r="U18" s="277"/>
      <c r="V18" s="277"/>
    </row>
    <row r="19" spans="2:22" x14ac:dyDescent="0.25">
      <c r="B19" s="36" t="s">
        <v>170</v>
      </c>
      <c r="D19" s="108">
        <v>75000</v>
      </c>
      <c r="E19" s="71">
        <f t="shared" si="8"/>
        <v>7.6103093024524433E-4</v>
      </c>
      <c r="F19" s="109">
        <f t="shared" si="9"/>
        <v>0.52126772310258551</v>
      </c>
      <c r="G19" s="109">
        <f t="shared" si="10"/>
        <v>0.43392394238994314</v>
      </c>
      <c r="H19" s="109">
        <f t="shared" si="11"/>
        <v>0.54365553984995107</v>
      </c>
      <c r="I19" s="164">
        <v>0</v>
      </c>
      <c r="J19" s="63">
        <v>0</v>
      </c>
      <c r="K19" s="110">
        <f t="shared" si="12"/>
        <v>75000</v>
      </c>
      <c r="P19" s="98"/>
      <c r="Q19" s="60"/>
      <c r="R19" s="60"/>
      <c r="S19" s="60"/>
      <c r="T19" s="96"/>
      <c r="U19" s="96"/>
      <c r="V19" s="96"/>
    </row>
    <row r="20" spans="2:22" x14ac:dyDescent="0.25">
      <c r="B20" s="36" t="s">
        <v>171</v>
      </c>
      <c r="D20" s="108">
        <v>800000</v>
      </c>
      <c r="E20" s="71">
        <f t="shared" si="8"/>
        <v>8.1176632559492728E-3</v>
      </c>
      <c r="F20" s="109">
        <f t="shared" si="9"/>
        <v>5.5601890464275785</v>
      </c>
      <c r="G20" s="109">
        <f t="shared" si="10"/>
        <v>4.6285220521593935</v>
      </c>
      <c r="H20" s="109">
        <f t="shared" si="11"/>
        <v>5.7989924250661451</v>
      </c>
      <c r="I20" s="164">
        <v>0</v>
      </c>
      <c r="J20" s="63">
        <v>0</v>
      </c>
      <c r="K20" s="110">
        <f t="shared" si="12"/>
        <v>800000</v>
      </c>
      <c r="P20" s="98"/>
      <c r="Q20" s="60"/>
      <c r="R20" s="60"/>
      <c r="S20" s="60"/>
      <c r="T20" s="96"/>
      <c r="U20" s="96"/>
      <c r="V20" s="96"/>
    </row>
    <row r="21" spans="2:22" x14ac:dyDescent="0.25">
      <c r="B21" s="36" t="s">
        <v>172</v>
      </c>
      <c r="D21" s="108">
        <v>1400000</v>
      </c>
      <c r="E21" s="71">
        <f t="shared" si="8"/>
        <v>1.4205910697911227E-2</v>
      </c>
      <c r="F21" s="109">
        <f t="shared" si="9"/>
        <v>9.7303308312482617</v>
      </c>
      <c r="G21" s="109">
        <f t="shared" si="10"/>
        <v>8.0999135912789377</v>
      </c>
      <c r="H21" s="109">
        <f t="shared" si="11"/>
        <v>10.148236743865754</v>
      </c>
      <c r="I21" s="164">
        <v>0</v>
      </c>
      <c r="J21" s="63">
        <v>0</v>
      </c>
      <c r="K21" s="110">
        <f t="shared" si="12"/>
        <v>1400000</v>
      </c>
      <c r="P21" s="98"/>
      <c r="Q21" s="60"/>
      <c r="R21" s="60"/>
      <c r="S21" s="60"/>
      <c r="T21" s="96"/>
      <c r="U21" s="96"/>
      <c r="V21" s="96"/>
    </row>
    <row r="22" spans="2:22" x14ac:dyDescent="0.25">
      <c r="B22" s="36" t="s">
        <v>173</v>
      </c>
      <c r="D22" s="108">
        <v>80000</v>
      </c>
      <c r="E22" s="71">
        <f t="shared" si="8"/>
        <v>8.1176632559492733E-4</v>
      </c>
      <c r="F22" s="109">
        <f t="shared" si="9"/>
        <v>0.55601890464275783</v>
      </c>
      <c r="G22" s="109">
        <f t="shared" si="10"/>
        <v>0.46285220521593934</v>
      </c>
      <c r="H22" s="109">
        <f t="shared" si="11"/>
        <v>0.57989924250661451</v>
      </c>
      <c r="I22" s="164">
        <v>0</v>
      </c>
      <c r="J22" s="63">
        <v>0</v>
      </c>
      <c r="K22" s="110">
        <f t="shared" si="12"/>
        <v>80000</v>
      </c>
      <c r="P22" s="98"/>
      <c r="Q22" s="60"/>
      <c r="R22" s="60"/>
      <c r="S22" s="60"/>
      <c r="T22" s="96"/>
      <c r="U22" s="96"/>
      <c r="V22" s="96"/>
    </row>
    <row r="23" spans="2:22" x14ac:dyDescent="0.25">
      <c r="B23" s="36" t="s">
        <v>174</v>
      </c>
      <c r="D23" s="108">
        <v>180000</v>
      </c>
      <c r="E23" s="71">
        <f t="shared" si="8"/>
        <v>1.8264742325885864E-3</v>
      </c>
      <c r="F23" s="109">
        <f t="shared" si="9"/>
        <v>1.2510425354462051</v>
      </c>
      <c r="G23" s="109">
        <f t="shared" si="10"/>
        <v>1.0414174617358636</v>
      </c>
      <c r="H23" s="109">
        <f t="shared" si="11"/>
        <v>1.3047732956398825</v>
      </c>
      <c r="I23" s="164">
        <v>0</v>
      </c>
      <c r="J23" s="63">
        <v>0</v>
      </c>
      <c r="K23" s="110">
        <f t="shared" si="12"/>
        <v>180000</v>
      </c>
      <c r="P23" s="98"/>
      <c r="Q23" s="60"/>
      <c r="R23" s="60"/>
      <c r="S23" s="60"/>
      <c r="T23" s="96"/>
      <c r="U23" s="96"/>
      <c r="V23" s="96"/>
    </row>
    <row r="24" spans="2:22" x14ac:dyDescent="0.25">
      <c r="B24" s="36" t="s">
        <v>175</v>
      </c>
      <c r="D24" s="108">
        <v>183480</v>
      </c>
      <c r="E24" s="71">
        <f t="shared" si="8"/>
        <v>1.8617860677519658E-3</v>
      </c>
      <c r="F24" s="109">
        <f t="shared" si="9"/>
        <v>1.275229357798165</v>
      </c>
      <c r="G24" s="109">
        <f t="shared" si="10"/>
        <v>1.0615515326627569</v>
      </c>
      <c r="H24" s="109">
        <f t="shared" si="11"/>
        <v>1.3299989126889202</v>
      </c>
      <c r="I24" s="164">
        <v>0</v>
      </c>
      <c r="J24" s="63">
        <v>0</v>
      </c>
      <c r="K24" s="110">
        <f t="shared" si="12"/>
        <v>183480</v>
      </c>
      <c r="P24" s="98"/>
      <c r="Q24" s="60"/>
      <c r="R24" s="60"/>
      <c r="S24" s="60"/>
      <c r="T24" s="96"/>
      <c r="U24" s="96"/>
      <c r="V24" s="96"/>
    </row>
    <row r="25" spans="2:22" x14ac:dyDescent="0.25">
      <c r="B25" s="36" t="s">
        <v>176</v>
      </c>
      <c r="D25" s="108">
        <v>1000000</v>
      </c>
      <c r="E25" s="71">
        <f t="shared" si="8"/>
        <v>1.0147079069936591E-2</v>
      </c>
      <c r="F25" s="109">
        <f t="shared" si="9"/>
        <v>6.9502363080344729</v>
      </c>
      <c r="G25" s="109">
        <f t="shared" si="10"/>
        <v>5.7856525651992419</v>
      </c>
      <c r="H25" s="109">
        <f t="shared" si="11"/>
        <v>7.2487405313326807</v>
      </c>
      <c r="I25" s="164">
        <v>0</v>
      </c>
      <c r="J25" s="63">
        <v>0</v>
      </c>
      <c r="K25" s="110">
        <f t="shared" si="12"/>
        <v>1000000</v>
      </c>
      <c r="P25" s="98"/>
      <c r="Q25" s="60"/>
      <c r="R25" s="60"/>
      <c r="S25" s="60"/>
      <c r="T25" s="96"/>
      <c r="U25" s="96"/>
      <c r="V25" s="96"/>
    </row>
    <row r="26" spans="2:22" x14ac:dyDescent="0.25">
      <c r="B26" s="36" t="s">
        <v>177</v>
      </c>
      <c r="D26" s="108">
        <v>10000000</v>
      </c>
      <c r="E26" s="71">
        <f t="shared" si="8"/>
        <v>0.10147079069936592</v>
      </c>
      <c r="F26" s="109">
        <f t="shared" si="9"/>
        <v>69.502363080344736</v>
      </c>
      <c r="G26" s="109">
        <f t="shared" si="10"/>
        <v>57.85652565199242</v>
      </c>
      <c r="H26" s="109">
        <f t="shared" si="11"/>
        <v>72.487405313326803</v>
      </c>
      <c r="I26" s="164">
        <v>0</v>
      </c>
      <c r="J26" s="63">
        <v>0</v>
      </c>
      <c r="K26" s="110">
        <f t="shared" si="12"/>
        <v>10000000</v>
      </c>
      <c r="P26" s="98"/>
      <c r="Q26" s="60"/>
      <c r="R26" s="60"/>
      <c r="S26" s="60"/>
      <c r="T26" s="96"/>
      <c r="U26" s="96"/>
      <c r="V26" s="96"/>
    </row>
    <row r="27" spans="2:22" x14ac:dyDescent="0.25">
      <c r="B27" s="36" t="s">
        <v>178</v>
      </c>
      <c r="D27" s="108">
        <v>150000</v>
      </c>
      <c r="E27" s="71">
        <f t="shared" si="8"/>
        <v>1.5220618604904887E-3</v>
      </c>
      <c r="F27" s="109">
        <f t="shared" si="9"/>
        <v>1.042535446205171</v>
      </c>
      <c r="G27" s="109">
        <f t="shared" si="10"/>
        <v>0.86784788477988628</v>
      </c>
      <c r="H27" s="109">
        <f t="shared" si="11"/>
        <v>1.0873110796999021</v>
      </c>
      <c r="I27" s="164">
        <v>0</v>
      </c>
      <c r="J27" s="63">
        <v>0</v>
      </c>
      <c r="K27" s="110">
        <f t="shared" si="12"/>
        <v>150000</v>
      </c>
      <c r="P27" s="98"/>
      <c r="Q27" s="60"/>
      <c r="R27" s="60"/>
      <c r="S27" s="60"/>
      <c r="T27" s="96"/>
      <c r="U27" s="96"/>
      <c r="V27" s="96"/>
    </row>
    <row r="28" spans="2:22" x14ac:dyDescent="0.25">
      <c r="B28" s="36" t="s">
        <v>179</v>
      </c>
      <c r="D28" s="108">
        <v>800000</v>
      </c>
      <c r="E28" s="71">
        <f t="shared" si="8"/>
        <v>8.1176632559492728E-3</v>
      </c>
      <c r="F28" s="109">
        <f t="shared" si="9"/>
        <v>5.5601890464275785</v>
      </c>
      <c r="G28" s="109">
        <f t="shared" si="10"/>
        <v>4.6285220521593935</v>
      </c>
      <c r="H28" s="109">
        <f t="shared" si="11"/>
        <v>5.7989924250661451</v>
      </c>
      <c r="I28" s="164">
        <v>0</v>
      </c>
      <c r="J28" s="63">
        <v>0</v>
      </c>
      <c r="K28" s="110">
        <f t="shared" si="12"/>
        <v>800000</v>
      </c>
      <c r="P28" s="98"/>
      <c r="Q28" s="60"/>
      <c r="R28" s="60"/>
      <c r="S28" s="60"/>
      <c r="T28" s="96"/>
      <c r="U28" s="96"/>
      <c r="V28" s="96"/>
    </row>
    <row r="29" spans="2:22" x14ac:dyDescent="0.25">
      <c r="B29" s="36" t="s">
        <v>180</v>
      </c>
      <c r="D29" s="108">
        <v>1600000</v>
      </c>
      <c r="E29" s="71">
        <f t="shared" si="8"/>
        <v>1.6235326511898546E-2</v>
      </c>
      <c r="F29" s="109">
        <f t="shared" si="9"/>
        <v>11.120378092855157</v>
      </c>
      <c r="G29" s="109">
        <f t="shared" si="10"/>
        <v>9.257044104318787</v>
      </c>
      <c r="H29" s="109">
        <f t="shared" si="11"/>
        <v>11.59798485013229</v>
      </c>
      <c r="I29" s="164">
        <v>0</v>
      </c>
      <c r="J29" s="63">
        <v>0</v>
      </c>
      <c r="K29" s="110">
        <f t="shared" si="12"/>
        <v>1600000</v>
      </c>
      <c r="P29" s="98"/>
      <c r="Q29" s="60"/>
      <c r="R29" s="60"/>
      <c r="S29" s="60"/>
      <c r="T29" s="96"/>
      <c r="U29" s="96"/>
      <c r="V29" s="96"/>
    </row>
    <row r="30" spans="2:22" x14ac:dyDescent="0.25">
      <c r="B30" s="36" t="s">
        <v>181</v>
      </c>
      <c r="D30" s="108">
        <v>3060000</v>
      </c>
      <c r="E30" s="71">
        <f t="shared" si="8"/>
        <v>3.1050061954005968E-2</v>
      </c>
      <c r="F30" s="109">
        <f t="shared" si="9"/>
        <v>21.267723102585489</v>
      </c>
      <c r="G30" s="109">
        <f t="shared" si="10"/>
        <v>17.704096849509678</v>
      </c>
      <c r="H30" s="109">
        <f t="shared" si="11"/>
        <v>22.181146025878004</v>
      </c>
      <c r="I30" s="164">
        <v>0</v>
      </c>
      <c r="J30" s="63">
        <v>0</v>
      </c>
      <c r="K30" s="110">
        <f t="shared" si="12"/>
        <v>3060000</v>
      </c>
      <c r="P30" s="98"/>
      <c r="Q30" s="60"/>
      <c r="R30" s="60"/>
      <c r="S30" s="60"/>
      <c r="T30" s="96"/>
      <c r="U30" s="96"/>
      <c r="V30" s="96"/>
    </row>
    <row r="31" spans="2:22" x14ac:dyDescent="0.25">
      <c r="B31" s="36" t="s">
        <v>182</v>
      </c>
      <c r="D31" s="108">
        <v>850000</v>
      </c>
      <c r="E31" s="71">
        <f t="shared" si="8"/>
        <v>8.6250172094461033E-3</v>
      </c>
      <c r="F31" s="109">
        <f t="shared" si="9"/>
        <v>5.9077008618293023</v>
      </c>
      <c r="G31" s="109">
        <f t="shared" si="10"/>
        <v>4.9178046804193558</v>
      </c>
      <c r="H31" s="109">
        <f t="shared" si="11"/>
        <v>6.1614294516327792</v>
      </c>
      <c r="I31" s="164">
        <v>0</v>
      </c>
      <c r="J31" s="63">
        <v>0</v>
      </c>
      <c r="K31" s="110">
        <f t="shared" si="12"/>
        <v>850000</v>
      </c>
      <c r="P31" s="98"/>
      <c r="Q31" s="60"/>
      <c r="R31" s="60"/>
      <c r="S31" s="60"/>
      <c r="T31" s="96"/>
      <c r="U31" s="96"/>
      <c r="V31" s="96"/>
    </row>
    <row r="32" spans="2:22" x14ac:dyDescent="0.25">
      <c r="B32" s="36" t="s">
        <v>183</v>
      </c>
      <c r="D32" s="108">
        <v>3000000</v>
      </c>
      <c r="E32" s="71">
        <f t="shared" si="8"/>
        <v>3.0441237209809773E-2</v>
      </c>
      <c r="F32" s="109">
        <f t="shared" si="9"/>
        <v>20.850708924103419</v>
      </c>
      <c r="G32" s="109">
        <f t="shared" si="10"/>
        <v>17.356957695597725</v>
      </c>
      <c r="H32" s="109">
        <f t="shared" si="11"/>
        <v>21.746221593998044</v>
      </c>
      <c r="I32" s="164">
        <v>0</v>
      </c>
      <c r="J32" s="63">
        <v>0</v>
      </c>
      <c r="K32" s="110">
        <f t="shared" si="12"/>
        <v>3000000</v>
      </c>
      <c r="P32" s="98"/>
      <c r="Q32" s="60"/>
      <c r="R32" s="60"/>
      <c r="S32" s="60"/>
      <c r="T32" s="96"/>
      <c r="U32" s="96"/>
      <c r="V32" s="96"/>
    </row>
    <row r="33" spans="2:22" x14ac:dyDescent="0.25">
      <c r="B33" s="36" t="s">
        <v>184</v>
      </c>
      <c r="D33" s="108">
        <v>300000</v>
      </c>
      <c r="E33" s="71">
        <f t="shared" si="8"/>
        <v>3.0441237209809773E-3</v>
      </c>
      <c r="F33" s="109">
        <f t="shared" si="9"/>
        <v>2.085070892410342</v>
      </c>
      <c r="G33" s="109">
        <f t="shared" si="10"/>
        <v>1.7356957695597726</v>
      </c>
      <c r="H33" s="109">
        <f t="shared" si="11"/>
        <v>2.1746221593998043</v>
      </c>
      <c r="I33" s="164">
        <v>0</v>
      </c>
      <c r="J33" s="63">
        <v>0</v>
      </c>
      <c r="K33" s="110">
        <f t="shared" si="12"/>
        <v>300000</v>
      </c>
      <c r="P33" s="98"/>
      <c r="Q33" s="60"/>
      <c r="R33" s="60"/>
      <c r="S33" s="60"/>
      <c r="T33" s="96"/>
      <c r="U33" s="96"/>
      <c r="V33" s="96"/>
    </row>
    <row r="34" spans="2:22" x14ac:dyDescent="0.25">
      <c r="B34" s="36" t="s">
        <v>185</v>
      </c>
      <c r="D34" s="108">
        <v>453000</v>
      </c>
      <c r="E34" s="71">
        <f t="shared" si="8"/>
        <v>4.5966268186812759E-3</v>
      </c>
      <c r="F34" s="109">
        <f t="shared" si="9"/>
        <v>3.1484570475396163</v>
      </c>
      <c r="G34" s="109">
        <f t="shared" si="10"/>
        <v>2.6209006120352565</v>
      </c>
      <c r="H34" s="109">
        <f t="shared" si="11"/>
        <v>3.2836794606937043</v>
      </c>
      <c r="I34" s="164">
        <v>0</v>
      </c>
      <c r="J34" s="63">
        <v>0</v>
      </c>
      <c r="K34" s="110">
        <f t="shared" si="12"/>
        <v>453000</v>
      </c>
      <c r="P34" s="98"/>
      <c r="Q34" s="60"/>
      <c r="R34" s="60"/>
      <c r="S34" s="60"/>
      <c r="T34" s="96"/>
      <c r="U34" s="96"/>
      <c r="V34" s="96"/>
    </row>
    <row r="35" spans="2:22" x14ac:dyDescent="0.25">
      <c r="B35" s="36" t="s">
        <v>186</v>
      </c>
      <c r="D35" s="108">
        <v>2900000</v>
      </c>
      <c r="E35" s="71">
        <f t="shared" si="8"/>
        <v>2.9426529302816116E-2</v>
      </c>
      <c r="F35" s="109">
        <f t="shared" si="9"/>
        <v>20.155685293299971</v>
      </c>
      <c r="G35" s="109">
        <f t="shared" si="10"/>
        <v>16.778392439077802</v>
      </c>
      <c r="H35" s="109">
        <f t="shared" si="11"/>
        <v>21.021347540864774</v>
      </c>
      <c r="I35" s="164">
        <v>0</v>
      </c>
      <c r="J35" s="63">
        <v>0</v>
      </c>
      <c r="K35" s="110">
        <f t="shared" si="12"/>
        <v>2900000</v>
      </c>
      <c r="P35" s="98"/>
      <c r="Q35" s="60"/>
      <c r="R35" s="60"/>
      <c r="S35" s="60"/>
      <c r="T35" s="96"/>
      <c r="U35" s="96"/>
      <c r="V35" s="96"/>
    </row>
    <row r="36" spans="2:22" x14ac:dyDescent="0.25">
      <c r="B36" s="36" t="s">
        <v>187</v>
      </c>
      <c r="D36" s="108">
        <v>1500000</v>
      </c>
      <c r="E36" s="71">
        <f t="shared" si="8"/>
        <v>1.5220618604904887E-2</v>
      </c>
      <c r="F36" s="109">
        <f t="shared" si="9"/>
        <v>10.425354462051709</v>
      </c>
      <c r="G36" s="109">
        <f t="shared" si="10"/>
        <v>8.6784788477988624</v>
      </c>
      <c r="H36" s="109">
        <f t="shared" si="11"/>
        <v>10.873110796999022</v>
      </c>
      <c r="I36" s="164">
        <v>0</v>
      </c>
      <c r="J36" s="63">
        <v>0</v>
      </c>
      <c r="K36" s="110">
        <f t="shared" si="12"/>
        <v>1500000</v>
      </c>
      <c r="P36" s="98"/>
      <c r="Q36" s="60"/>
      <c r="R36" s="60"/>
      <c r="S36" s="60"/>
      <c r="T36" s="96"/>
      <c r="U36" s="96"/>
      <c r="V36" s="96"/>
    </row>
    <row r="37" spans="2:22" x14ac:dyDescent="0.25">
      <c r="B37" s="36" t="s">
        <v>188</v>
      </c>
      <c r="D37" s="108">
        <v>90000</v>
      </c>
      <c r="E37" s="71">
        <f t="shared" si="8"/>
        <v>9.1323711629429322E-4</v>
      </c>
      <c r="F37" s="109">
        <f t="shared" si="9"/>
        <v>0.62552126772310257</v>
      </c>
      <c r="G37" s="109">
        <f t="shared" si="10"/>
        <v>0.52070873086793179</v>
      </c>
      <c r="H37" s="109">
        <f t="shared" si="11"/>
        <v>0.65238664781994127</v>
      </c>
      <c r="I37" s="164">
        <v>0</v>
      </c>
      <c r="J37" s="63">
        <v>0</v>
      </c>
      <c r="K37" s="110">
        <f t="shared" si="12"/>
        <v>90000</v>
      </c>
      <c r="P37" s="98"/>
      <c r="Q37" s="60"/>
      <c r="R37" s="60"/>
      <c r="S37" s="60"/>
      <c r="T37" s="96"/>
      <c r="U37" s="96"/>
      <c r="V37" s="96"/>
    </row>
    <row r="38" spans="2:22" x14ac:dyDescent="0.25">
      <c r="B38" s="36" t="s">
        <v>189</v>
      </c>
      <c r="D38" s="108">
        <v>4500000</v>
      </c>
      <c r="E38" s="71">
        <f t="shared" si="8"/>
        <v>4.5661855814714658E-2</v>
      </c>
      <c r="F38" s="109">
        <f t="shared" si="9"/>
        <v>31.27606338615513</v>
      </c>
      <c r="G38" s="109">
        <f t="shared" si="10"/>
        <v>26.035436543396589</v>
      </c>
      <c r="H38" s="109">
        <f t="shared" si="11"/>
        <v>32.619332390997066</v>
      </c>
      <c r="I38" s="164">
        <v>0</v>
      </c>
      <c r="J38" s="63">
        <v>0</v>
      </c>
      <c r="K38" s="110">
        <f t="shared" si="12"/>
        <v>4500000</v>
      </c>
      <c r="P38" s="98"/>
      <c r="Q38" s="60"/>
      <c r="R38" s="60"/>
      <c r="S38" s="60"/>
      <c r="T38" s="96"/>
      <c r="U38" s="96"/>
      <c r="V38" s="96"/>
    </row>
    <row r="39" spans="2:22" x14ac:dyDescent="0.25">
      <c r="B39" s="36" t="s">
        <v>190</v>
      </c>
      <c r="D39" s="108">
        <v>250000</v>
      </c>
      <c r="E39" s="71">
        <f t="shared" si="8"/>
        <v>2.5367697674841478E-3</v>
      </c>
      <c r="F39" s="109">
        <f t="shared" si="9"/>
        <v>1.7375590770086182</v>
      </c>
      <c r="G39" s="109">
        <f t="shared" si="10"/>
        <v>1.4464131412998105</v>
      </c>
      <c r="H39" s="109">
        <f t="shared" si="11"/>
        <v>1.8121851328331702</v>
      </c>
      <c r="I39" s="164">
        <v>0</v>
      </c>
      <c r="J39" s="63">
        <v>0</v>
      </c>
      <c r="K39" s="110">
        <f t="shared" si="12"/>
        <v>250000</v>
      </c>
      <c r="P39" s="98"/>
      <c r="Q39" s="60"/>
      <c r="R39" s="60"/>
      <c r="S39" s="60"/>
      <c r="T39" s="96"/>
      <c r="U39" s="96"/>
      <c r="V39" s="96"/>
    </row>
    <row r="40" spans="2:22" x14ac:dyDescent="0.25">
      <c r="B40" s="36" t="s">
        <v>191</v>
      </c>
      <c r="D40" s="108">
        <v>850000</v>
      </c>
      <c r="E40" s="71">
        <f t="shared" si="8"/>
        <v>8.6250172094461033E-3</v>
      </c>
      <c r="F40" s="109">
        <f t="shared" si="9"/>
        <v>5.9077008618293023</v>
      </c>
      <c r="G40" s="109">
        <f t="shared" si="10"/>
        <v>4.9178046804193558</v>
      </c>
      <c r="H40" s="109">
        <f t="shared" si="11"/>
        <v>6.1614294516327792</v>
      </c>
      <c r="I40" s="164">
        <v>0</v>
      </c>
      <c r="J40" s="63">
        <v>0</v>
      </c>
      <c r="K40" s="110">
        <f t="shared" si="12"/>
        <v>850000</v>
      </c>
      <c r="P40" s="98"/>
      <c r="Q40" s="60"/>
      <c r="R40" s="60"/>
      <c r="S40" s="60"/>
      <c r="T40" s="96"/>
      <c r="U40" s="96"/>
      <c r="V40" s="96"/>
    </row>
    <row r="41" spans="2:22" x14ac:dyDescent="0.25">
      <c r="B41" s="36" t="s">
        <v>192</v>
      </c>
      <c r="D41" s="108">
        <v>850000</v>
      </c>
      <c r="E41" s="71">
        <f t="shared" si="8"/>
        <v>8.6250172094461033E-3</v>
      </c>
      <c r="F41" s="109">
        <f t="shared" si="9"/>
        <v>5.9077008618293023</v>
      </c>
      <c r="G41" s="109">
        <f t="shared" si="10"/>
        <v>4.9178046804193558</v>
      </c>
      <c r="H41" s="109">
        <f t="shared" si="11"/>
        <v>6.1614294516327792</v>
      </c>
      <c r="I41" s="164">
        <v>0</v>
      </c>
      <c r="J41" s="63">
        <v>0</v>
      </c>
      <c r="K41" s="110">
        <f t="shared" si="12"/>
        <v>850000</v>
      </c>
      <c r="P41" s="98"/>
      <c r="Q41" s="60"/>
      <c r="R41" s="60"/>
      <c r="S41" s="60"/>
      <c r="T41" s="96"/>
      <c r="U41" s="96"/>
      <c r="V41" s="96"/>
    </row>
    <row r="42" spans="2:22" x14ac:dyDescent="0.25">
      <c r="B42" s="36" t="s">
        <v>193</v>
      </c>
      <c r="D42" s="108">
        <v>300000</v>
      </c>
      <c r="E42" s="71">
        <f t="shared" si="8"/>
        <v>3.0441237209809773E-3</v>
      </c>
      <c r="F42" s="109">
        <f t="shared" si="9"/>
        <v>2.085070892410342</v>
      </c>
      <c r="G42" s="109">
        <f t="shared" si="10"/>
        <v>1.7356957695597726</v>
      </c>
      <c r="H42" s="109">
        <f t="shared" si="11"/>
        <v>2.1746221593998043</v>
      </c>
      <c r="I42" s="164">
        <v>0</v>
      </c>
      <c r="J42" s="63">
        <v>0</v>
      </c>
      <c r="K42" s="110">
        <f t="shared" si="12"/>
        <v>300000</v>
      </c>
      <c r="P42" s="98"/>
      <c r="Q42" s="60"/>
      <c r="R42" s="60"/>
      <c r="S42" s="60"/>
      <c r="T42" s="96"/>
      <c r="U42" s="96"/>
      <c r="V42" s="96"/>
    </row>
    <row r="43" spans="2:22" x14ac:dyDescent="0.25">
      <c r="B43" s="36" t="s">
        <v>194</v>
      </c>
      <c r="D43" s="108">
        <v>300000</v>
      </c>
      <c r="E43" s="71">
        <f t="shared" si="8"/>
        <v>3.0441237209809773E-3</v>
      </c>
      <c r="F43" s="109">
        <f t="shared" si="9"/>
        <v>2.085070892410342</v>
      </c>
      <c r="G43" s="109">
        <f t="shared" si="10"/>
        <v>1.7356957695597726</v>
      </c>
      <c r="H43" s="109">
        <f t="shared" si="11"/>
        <v>2.1746221593998043</v>
      </c>
      <c r="I43" s="164">
        <v>0</v>
      </c>
      <c r="J43" s="63">
        <v>0</v>
      </c>
      <c r="K43" s="110">
        <f t="shared" si="12"/>
        <v>300000</v>
      </c>
      <c r="P43" s="98"/>
      <c r="Q43" s="60"/>
      <c r="R43" s="60"/>
      <c r="S43" s="60"/>
      <c r="T43" s="96"/>
      <c r="U43" s="96"/>
      <c r="V43" s="96"/>
    </row>
    <row r="44" spans="2:22" x14ac:dyDescent="0.25">
      <c r="B44" s="36" t="s">
        <v>195</v>
      </c>
      <c r="D44" s="108">
        <v>90000</v>
      </c>
      <c r="E44" s="71">
        <f t="shared" si="8"/>
        <v>9.1323711629429322E-4</v>
      </c>
      <c r="F44" s="109">
        <f t="shared" si="9"/>
        <v>0.62552126772310257</v>
      </c>
      <c r="G44" s="109">
        <f t="shared" si="10"/>
        <v>0.52070873086793179</v>
      </c>
      <c r="H44" s="109">
        <f t="shared" si="11"/>
        <v>0.65238664781994127</v>
      </c>
      <c r="I44" s="164">
        <v>0</v>
      </c>
      <c r="J44" s="63">
        <v>0</v>
      </c>
      <c r="K44" s="110">
        <f t="shared" si="12"/>
        <v>90000</v>
      </c>
      <c r="P44" s="98"/>
      <c r="Q44" s="60"/>
      <c r="R44" s="60"/>
      <c r="S44" s="60"/>
      <c r="T44" s="96"/>
      <c r="U44" s="96"/>
      <c r="V44" s="96"/>
    </row>
    <row r="45" spans="2:22" x14ac:dyDescent="0.25">
      <c r="B45" s="36" t="s">
        <v>196</v>
      </c>
      <c r="D45" s="108">
        <v>225000</v>
      </c>
      <c r="E45" s="71">
        <f t="shared" si="8"/>
        <v>2.283092790735733E-3</v>
      </c>
      <c r="F45" s="109">
        <f t="shared" si="9"/>
        <v>1.5638031693077565</v>
      </c>
      <c r="G45" s="109">
        <f t="shared" si="10"/>
        <v>1.3017718271698293</v>
      </c>
      <c r="H45" s="109">
        <f t="shared" si="11"/>
        <v>1.6309666195498531</v>
      </c>
      <c r="I45" s="164">
        <v>0</v>
      </c>
      <c r="J45" s="63">
        <v>0</v>
      </c>
      <c r="K45" s="110">
        <f t="shared" si="12"/>
        <v>225000</v>
      </c>
      <c r="P45" s="98"/>
      <c r="Q45" s="60"/>
      <c r="R45" s="60"/>
      <c r="S45" s="60"/>
      <c r="T45" s="96"/>
      <c r="U45" s="96"/>
      <c r="V45" s="96"/>
    </row>
    <row r="46" spans="2:22" x14ac:dyDescent="0.25">
      <c r="B46" s="36" t="s">
        <v>197</v>
      </c>
      <c r="D46" s="108">
        <v>85000</v>
      </c>
      <c r="E46" s="71">
        <f t="shared" si="8"/>
        <v>8.6250172094461022E-4</v>
      </c>
      <c r="F46" s="109">
        <f t="shared" si="9"/>
        <v>0.59077008618293025</v>
      </c>
      <c r="G46" s="109">
        <f t="shared" si="10"/>
        <v>0.49178046804193554</v>
      </c>
      <c r="H46" s="109">
        <f t="shared" si="11"/>
        <v>0.61614294516327783</v>
      </c>
      <c r="I46" s="164">
        <v>0</v>
      </c>
      <c r="J46" s="63">
        <v>0</v>
      </c>
      <c r="K46" s="110">
        <f t="shared" si="12"/>
        <v>85000</v>
      </c>
      <c r="P46" s="98"/>
      <c r="Q46" s="60"/>
      <c r="R46" s="60"/>
      <c r="S46" s="60"/>
      <c r="T46" s="96"/>
      <c r="U46" s="96"/>
      <c r="V46" s="96"/>
    </row>
    <row r="47" spans="2:22" x14ac:dyDescent="0.25">
      <c r="B47" s="36" t="s">
        <v>198</v>
      </c>
      <c r="D47" s="108">
        <v>4500000</v>
      </c>
      <c r="E47" s="71">
        <f t="shared" si="8"/>
        <v>4.5661855814714658E-2</v>
      </c>
      <c r="F47" s="109">
        <f t="shared" si="9"/>
        <v>31.27606338615513</v>
      </c>
      <c r="G47" s="109">
        <f t="shared" si="10"/>
        <v>26.035436543396589</v>
      </c>
      <c r="H47" s="109">
        <f t="shared" si="11"/>
        <v>32.619332390997066</v>
      </c>
      <c r="I47" s="164">
        <v>0</v>
      </c>
      <c r="J47" s="63">
        <v>0</v>
      </c>
      <c r="K47" s="110">
        <f t="shared" si="12"/>
        <v>4500000</v>
      </c>
      <c r="P47" s="98"/>
      <c r="Q47" s="60"/>
      <c r="R47" s="60"/>
      <c r="S47" s="60"/>
      <c r="T47" s="96"/>
      <c r="U47" s="96"/>
      <c r="V47" s="96"/>
    </row>
    <row r="48" spans="2:22" x14ac:dyDescent="0.25">
      <c r="B48" s="36" t="s">
        <v>199</v>
      </c>
      <c r="D48" s="108">
        <v>600000</v>
      </c>
      <c r="E48" s="71">
        <f t="shared" si="8"/>
        <v>6.0882474419619546E-3</v>
      </c>
      <c r="F48" s="109">
        <f t="shared" si="9"/>
        <v>4.1701417848206841</v>
      </c>
      <c r="G48" s="109">
        <f t="shared" si="10"/>
        <v>3.4713915391195451</v>
      </c>
      <c r="H48" s="109">
        <f t="shared" si="11"/>
        <v>4.3492443187996086</v>
      </c>
      <c r="I48" s="164">
        <v>0</v>
      </c>
      <c r="J48" s="63">
        <v>0</v>
      </c>
      <c r="K48" s="110">
        <f t="shared" si="12"/>
        <v>600000</v>
      </c>
      <c r="P48" s="98"/>
      <c r="Q48" s="60"/>
      <c r="R48" s="60"/>
      <c r="S48" s="60"/>
      <c r="T48" s="96"/>
      <c r="U48" s="96"/>
      <c r="V48" s="96"/>
    </row>
    <row r="49" spans="2:22" x14ac:dyDescent="0.25">
      <c r="B49" s="36" t="s">
        <v>200</v>
      </c>
      <c r="D49" s="108">
        <v>400000</v>
      </c>
      <c r="E49" s="71">
        <f t="shared" si="8"/>
        <v>4.0588316279746364E-3</v>
      </c>
      <c r="F49" s="109">
        <f t="shared" si="9"/>
        <v>2.7800945232137892</v>
      </c>
      <c r="G49" s="109">
        <f t="shared" si="10"/>
        <v>2.3142610260796967</v>
      </c>
      <c r="H49" s="109">
        <f t="shared" si="11"/>
        <v>2.8994962125330725</v>
      </c>
      <c r="I49" s="164">
        <v>0</v>
      </c>
      <c r="J49" s="63">
        <v>0</v>
      </c>
      <c r="K49" s="110">
        <f t="shared" si="12"/>
        <v>400000</v>
      </c>
      <c r="P49" s="98"/>
      <c r="Q49" s="60"/>
      <c r="R49" s="60"/>
      <c r="S49" s="60"/>
      <c r="T49" s="96"/>
      <c r="U49" s="96"/>
      <c r="V49" s="96"/>
    </row>
    <row r="50" spans="2:22" x14ac:dyDescent="0.25">
      <c r="B50" s="36" t="s">
        <v>201</v>
      </c>
      <c r="D50" s="108">
        <v>800000</v>
      </c>
      <c r="E50" s="71">
        <f t="shared" si="8"/>
        <v>8.1176632559492728E-3</v>
      </c>
      <c r="F50" s="109">
        <f t="shared" si="9"/>
        <v>5.5601890464275785</v>
      </c>
      <c r="G50" s="109">
        <f t="shared" si="10"/>
        <v>4.6285220521593935</v>
      </c>
      <c r="H50" s="109">
        <f t="shared" si="11"/>
        <v>5.7989924250661451</v>
      </c>
      <c r="I50" s="164">
        <v>0</v>
      </c>
      <c r="J50" s="63">
        <v>0</v>
      </c>
      <c r="K50" s="110">
        <f t="shared" si="12"/>
        <v>800000</v>
      </c>
      <c r="P50" s="98"/>
      <c r="Q50" s="60"/>
      <c r="R50" s="60"/>
      <c r="S50" s="60"/>
      <c r="T50" s="96"/>
      <c r="U50" s="96"/>
      <c r="V50" s="96"/>
    </row>
    <row r="51" spans="2:22" x14ac:dyDescent="0.25">
      <c r="B51" s="36" t="s">
        <v>202</v>
      </c>
      <c r="D51" s="108">
        <v>1200000</v>
      </c>
      <c r="E51" s="71">
        <f t="shared" si="8"/>
        <v>1.2176494883923909E-2</v>
      </c>
      <c r="F51" s="109">
        <f t="shared" si="9"/>
        <v>8.3402835696413682</v>
      </c>
      <c r="G51" s="109">
        <f t="shared" si="10"/>
        <v>6.9427830782390902</v>
      </c>
      <c r="H51" s="109">
        <f t="shared" si="11"/>
        <v>8.6984886375992172</v>
      </c>
      <c r="I51" s="164">
        <v>0</v>
      </c>
      <c r="J51" s="63">
        <v>0</v>
      </c>
      <c r="K51" s="110">
        <f t="shared" si="12"/>
        <v>1200000</v>
      </c>
      <c r="P51" s="98"/>
      <c r="Q51" s="60"/>
      <c r="R51" s="60"/>
      <c r="S51" s="60"/>
      <c r="T51" s="96"/>
      <c r="U51" s="96"/>
      <c r="V51" s="96"/>
    </row>
    <row r="52" spans="2:22" x14ac:dyDescent="0.25">
      <c r="B52" s="36" t="s">
        <v>203</v>
      </c>
      <c r="D52" s="108">
        <v>630000</v>
      </c>
      <c r="E52" s="71">
        <f t="shared" si="8"/>
        <v>6.3926598140600522E-3</v>
      </c>
      <c r="F52" s="109">
        <f t="shared" si="9"/>
        <v>4.3786488740617182</v>
      </c>
      <c r="G52" s="109">
        <f t="shared" si="10"/>
        <v>3.6449611160755224</v>
      </c>
      <c r="H52" s="109">
        <f t="shared" si="11"/>
        <v>4.5667065347395894</v>
      </c>
      <c r="I52" s="164">
        <v>0</v>
      </c>
      <c r="J52" s="63">
        <v>0</v>
      </c>
      <c r="K52" s="110">
        <f t="shared" si="12"/>
        <v>630000</v>
      </c>
      <c r="P52" s="98"/>
      <c r="Q52" s="60"/>
      <c r="R52" s="60"/>
      <c r="S52" s="60"/>
      <c r="T52" s="96"/>
      <c r="U52" s="96"/>
      <c r="V52" s="96"/>
    </row>
    <row r="53" spans="2:22" x14ac:dyDescent="0.25">
      <c r="B53" s="36" t="s">
        <v>204</v>
      </c>
      <c r="D53" s="108">
        <v>40000</v>
      </c>
      <c r="E53" s="71">
        <f t="shared" si="8"/>
        <v>4.0588316279746366E-4</v>
      </c>
      <c r="F53" s="109">
        <f t="shared" si="9"/>
        <v>0.27800945232137891</v>
      </c>
      <c r="G53" s="109">
        <f t="shared" si="10"/>
        <v>0.23142610260796967</v>
      </c>
      <c r="H53" s="109">
        <f t="shared" si="11"/>
        <v>0.28994962125330725</v>
      </c>
      <c r="I53" s="164">
        <v>0</v>
      </c>
      <c r="J53" s="63">
        <v>0</v>
      </c>
      <c r="K53" s="110">
        <f t="shared" si="12"/>
        <v>40000</v>
      </c>
      <c r="P53" s="98"/>
      <c r="Q53" s="60"/>
      <c r="R53" s="60"/>
      <c r="S53" s="60"/>
      <c r="T53" s="96"/>
      <c r="U53" s="96"/>
      <c r="V53" s="96"/>
    </row>
    <row r="54" spans="2:22" x14ac:dyDescent="0.25">
      <c r="B54" s="36" t="s">
        <v>205</v>
      </c>
      <c r="D54" s="108">
        <v>400000</v>
      </c>
      <c r="E54" s="71">
        <f t="shared" si="8"/>
        <v>4.0588316279746364E-3</v>
      </c>
      <c r="F54" s="109">
        <f t="shared" si="9"/>
        <v>2.7800945232137892</v>
      </c>
      <c r="G54" s="109">
        <f t="shared" si="10"/>
        <v>2.3142610260796967</v>
      </c>
      <c r="H54" s="109">
        <f t="shared" si="11"/>
        <v>2.8994962125330725</v>
      </c>
      <c r="I54" s="164">
        <v>0</v>
      </c>
      <c r="J54" s="63">
        <v>0</v>
      </c>
      <c r="K54" s="110">
        <f t="shared" si="12"/>
        <v>400000</v>
      </c>
      <c r="P54" s="98"/>
      <c r="Q54" s="60"/>
      <c r="R54" s="60"/>
      <c r="S54" s="60"/>
      <c r="T54" s="96"/>
      <c r="U54" s="96"/>
      <c r="V54" s="96"/>
    </row>
    <row r="55" spans="2:22" x14ac:dyDescent="0.25">
      <c r="B55" s="36" t="s">
        <v>206</v>
      </c>
      <c r="D55" s="108">
        <v>450000</v>
      </c>
      <c r="E55" s="71">
        <f t="shared" si="8"/>
        <v>4.566185581471466E-3</v>
      </c>
      <c r="F55" s="109">
        <f t="shared" si="9"/>
        <v>3.1276063386155131</v>
      </c>
      <c r="G55" s="109">
        <f t="shared" si="10"/>
        <v>2.6035436543396586</v>
      </c>
      <c r="H55" s="109">
        <f t="shared" si="11"/>
        <v>3.2619332390997062</v>
      </c>
      <c r="I55" s="164">
        <v>0</v>
      </c>
      <c r="J55" s="63">
        <v>0</v>
      </c>
      <c r="K55" s="110">
        <f t="shared" si="12"/>
        <v>450000</v>
      </c>
      <c r="P55" s="98"/>
      <c r="Q55" s="60"/>
      <c r="R55" s="60"/>
      <c r="S55" s="60"/>
      <c r="T55" s="96"/>
      <c r="U55" s="96"/>
      <c r="V55" s="96"/>
    </row>
    <row r="56" spans="2:22" x14ac:dyDescent="0.25">
      <c r="B56" s="36" t="s">
        <v>207</v>
      </c>
      <c r="D56" s="108">
        <v>45000</v>
      </c>
      <c r="E56" s="71">
        <f t="shared" si="8"/>
        <v>4.5661855814714661E-4</v>
      </c>
      <c r="F56" s="109">
        <f t="shared" si="9"/>
        <v>0.31276063386155128</v>
      </c>
      <c r="G56" s="109">
        <f t="shared" si="10"/>
        <v>0.2603543654339659</v>
      </c>
      <c r="H56" s="109">
        <f t="shared" si="11"/>
        <v>0.32619332390997063</v>
      </c>
      <c r="I56" s="164">
        <v>0</v>
      </c>
      <c r="J56" s="63">
        <v>0</v>
      </c>
      <c r="K56" s="110">
        <f t="shared" si="12"/>
        <v>45000</v>
      </c>
      <c r="P56" s="98"/>
      <c r="Q56" s="60"/>
      <c r="R56" s="60"/>
      <c r="S56" s="60"/>
      <c r="T56" s="96"/>
      <c r="U56" s="96"/>
      <c r="V56" s="96"/>
    </row>
    <row r="57" spans="2:22" x14ac:dyDescent="0.25">
      <c r="B57" s="36" t="s">
        <v>208</v>
      </c>
      <c r="D57" s="108">
        <v>15000</v>
      </c>
      <c r="E57" s="71">
        <f t="shared" si="8"/>
        <v>1.5220618604904886E-4</v>
      </c>
      <c r="F57" s="109">
        <f t="shared" si="9"/>
        <v>0.1042535446205171</v>
      </c>
      <c r="G57" s="109">
        <f t="shared" si="10"/>
        <v>8.6784788477988623E-2</v>
      </c>
      <c r="H57" s="109">
        <f t="shared" si="11"/>
        <v>0.10873110796999022</v>
      </c>
      <c r="I57" s="164">
        <v>0</v>
      </c>
      <c r="J57" s="63">
        <v>0</v>
      </c>
      <c r="K57" s="110">
        <f t="shared" si="12"/>
        <v>15000</v>
      </c>
      <c r="P57" s="98"/>
      <c r="Q57" s="60"/>
      <c r="R57" s="60"/>
      <c r="S57" s="60"/>
      <c r="T57" s="96"/>
      <c r="U57" s="96"/>
      <c r="V57" s="96"/>
    </row>
    <row r="58" spans="2:22" x14ac:dyDescent="0.25">
      <c r="B58" s="36" t="s">
        <v>209</v>
      </c>
      <c r="D58" s="108">
        <v>60000</v>
      </c>
      <c r="E58" s="71">
        <f t="shared" si="8"/>
        <v>6.0882474419619544E-4</v>
      </c>
      <c r="F58" s="109">
        <f t="shared" si="9"/>
        <v>0.4170141784820684</v>
      </c>
      <c r="G58" s="109">
        <f t="shared" si="10"/>
        <v>0.34713915391195449</v>
      </c>
      <c r="H58" s="109">
        <f t="shared" si="11"/>
        <v>0.43492443187996088</v>
      </c>
      <c r="I58" s="164">
        <v>0</v>
      </c>
      <c r="J58" s="63">
        <v>0</v>
      </c>
      <c r="K58" s="110">
        <f t="shared" si="12"/>
        <v>60000</v>
      </c>
      <c r="P58" s="98"/>
      <c r="Q58" s="60"/>
      <c r="R58" s="60"/>
      <c r="S58" s="60"/>
      <c r="T58" s="96"/>
      <c r="U58" s="96"/>
      <c r="V58" s="96"/>
    </row>
    <row r="59" spans="2:22" x14ac:dyDescent="0.25">
      <c r="B59" s="36" t="s">
        <v>210</v>
      </c>
      <c r="D59" s="108">
        <v>50000</v>
      </c>
      <c r="E59" s="71">
        <f t="shared" si="8"/>
        <v>5.0735395349682955E-4</v>
      </c>
      <c r="F59" s="109">
        <f t="shared" si="9"/>
        <v>0.34751181540172366</v>
      </c>
      <c r="G59" s="109">
        <f t="shared" si="10"/>
        <v>0.28928262825996209</v>
      </c>
      <c r="H59" s="109">
        <f t="shared" si="11"/>
        <v>0.36243702656663407</v>
      </c>
      <c r="I59" s="164">
        <v>0</v>
      </c>
      <c r="J59" s="63">
        <v>0</v>
      </c>
      <c r="K59" s="110">
        <f t="shared" si="12"/>
        <v>50000</v>
      </c>
      <c r="P59" s="98"/>
      <c r="Q59" s="60"/>
      <c r="R59" s="60"/>
      <c r="S59" s="60"/>
      <c r="T59" s="96"/>
      <c r="U59" s="96"/>
      <c r="V59" s="96"/>
    </row>
    <row r="60" spans="2:22" x14ac:dyDescent="0.25">
      <c r="B60" s="36" t="s">
        <v>211</v>
      </c>
      <c r="D60" s="108">
        <v>250000</v>
      </c>
      <c r="E60" s="71">
        <f t="shared" si="8"/>
        <v>2.5367697674841478E-3</v>
      </c>
      <c r="F60" s="109">
        <f t="shared" si="9"/>
        <v>1.7375590770086182</v>
      </c>
      <c r="G60" s="109">
        <f t="shared" si="10"/>
        <v>1.4464131412998105</v>
      </c>
      <c r="H60" s="109">
        <f t="shared" si="11"/>
        <v>1.8121851328331702</v>
      </c>
      <c r="I60" s="164">
        <v>0</v>
      </c>
      <c r="J60" s="63">
        <v>0</v>
      </c>
      <c r="K60" s="110">
        <f t="shared" si="12"/>
        <v>250000</v>
      </c>
      <c r="P60" s="98"/>
      <c r="Q60" s="60"/>
      <c r="R60" s="60"/>
      <c r="S60" s="60"/>
      <c r="T60" s="96"/>
      <c r="U60" s="96"/>
      <c r="V60" s="96"/>
    </row>
    <row r="61" spans="2:22" x14ac:dyDescent="0.25">
      <c r="B61" s="36" t="s">
        <v>212</v>
      </c>
      <c r="D61" s="108">
        <v>75000</v>
      </c>
      <c r="E61" s="71">
        <f t="shared" si="8"/>
        <v>7.6103093024524433E-4</v>
      </c>
      <c r="F61" s="109">
        <f t="shared" si="9"/>
        <v>0.52126772310258551</v>
      </c>
      <c r="G61" s="109">
        <f t="shared" si="10"/>
        <v>0.43392394238994314</v>
      </c>
      <c r="H61" s="109">
        <f t="shared" si="11"/>
        <v>0.54365553984995107</v>
      </c>
      <c r="I61" s="164">
        <v>0</v>
      </c>
      <c r="J61" s="63">
        <v>0</v>
      </c>
      <c r="K61" s="110">
        <f t="shared" si="12"/>
        <v>75000</v>
      </c>
      <c r="P61" s="98"/>
      <c r="Q61" s="60"/>
      <c r="R61" s="60"/>
      <c r="S61" s="60"/>
      <c r="T61" s="96"/>
      <c r="U61" s="96"/>
      <c r="V61" s="96"/>
    </row>
    <row r="62" spans="2:22" x14ac:dyDescent="0.25">
      <c r="B62" s="36" t="s">
        <v>213</v>
      </c>
      <c r="D62" s="108">
        <v>75000</v>
      </c>
      <c r="E62" s="71">
        <f t="shared" si="8"/>
        <v>7.6103093024524433E-4</v>
      </c>
      <c r="F62" s="109">
        <f t="shared" si="9"/>
        <v>0.52126772310258551</v>
      </c>
      <c r="G62" s="109">
        <f t="shared" si="10"/>
        <v>0.43392394238994314</v>
      </c>
      <c r="H62" s="109">
        <f t="shared" si="11"/>
        <v>0.54365553984995107</v>
      </c>
      <c r="I62" s="164">
        <v>0</v>
      </c>
      <c r="J62" s="63">
        <v>0</v>
      </c>
      <c r="K62" s="110">
        <f t="shared" si="12"/>
        <v>75000</v>
      </c>
      <c r="P62" s="98"/>
      <c r="Q62" s="60"/>
      <c r="R62" s="60"/>
      <c r="S62" s="60"/>
      <c r="T62" s="96"/>
      <c r="U62" s="96"/>
      <c r="V62" s="96"/>
    </row>
    <row r="63" spans="2:22" x14ac:dyDescent="0.25">
      <c r="B63" s="36" t="s">
        <v>214</v>
      </c>
      <c r="D63" s="108">
        <v>1600000</v>
      </c>
      <c r="E63" s="71">
        <f t="shared" si="8"/>
        <v>1.6235326511898546E-2</v>
      </c>
      <c r="F63" s="109">
        <f t="shared" si="9"/>
        <v>11.120378092855157</v>
      </c>
      <c r="G63" s="109">
        <f t="shared" si="10"/>
        <v>9.257044104318787</v>
      </c>
      <c r="H63" s="109">
        <f t="shared" si="11"/>
        <v>11.59798485013229</v>
      </c>
      <c r="I63" s="164">
        <v>0</v>
      </c>
      <c r="J63" s="63">
        <v>0</v>
      </c>
      <c r="K63" s="110">
        <f t="shared" si="12"/>
        <v>1600000</v>
      </c>
      <c r="P63" s="98"/>
      <c r="Q63" s="60"/>
      <c r="R63" s="60"/>
      <c r="S63" s="60"/>
      <c r="T63" s="96"/>
      <c r="U63" s="96"/>
      <c r="V63" s="96"/>
    </row>
    <row r="64" spans="2:22" x14ac:dyDescent="0.25">
      <c r="B64" s="36" t="s">
        <v>215</v>
      </c>
      <c r="C64" s="117">
        <v>0.1</v>
      </c>
      <c r="D64" s="108">
        <f>C64*SUM($D$12:$D$63)</f>
        <v>4885648</v>
      </c>
      <c r="E64" s="71">
        <f>D64/$D$88</f>
        <v>4.9575056563877569E-2</v>
      </c>
      <c r="F64" s="109">
        <f t="shared" ref="F64" si="14">D64/$F$5</f>
        <v>33.956408117876009</v>
      </c>
      <c r="G64" s="109">
        <f t="shared" ref="G64" si="15">D64/$G$5</f>
        <v>28.266661883860547</v>
      </c>
      <c r="H64" s="109">
        <f t="shared" ref="H64" si="16">D64/$H$5</f>
        <v>35.414794679424453</v>
      </c>
      <c r="I64" s="164">
        <v>0</v>
      </c>
      <c r="J64" s="63">
        <v>0</v>
      </c>
      <c r="K64" s="110">
        <f t="shared" ref="K64" si="17">D64-I64-J64</f>
        <v>4885648</v>
      </c>
      <c r="M64" s="177"/>
      <c r="N64" s="48"/>
      <c r="O64" s="178"/>
    </row>
    <row r="65" spans="2:13" x14ac:dyDescent="0.25">
      <c r="B65" s="91" t="s">
        <v>86</v>
      </c>
      <c r="C65" s="4"/>
      <c r="D65" s="84">
        <f>SUM(D12:D64)</f>
        <v>53742128</v>
      </c>
      <c r="E65" s="72">
        <f>D65/$D$88</f>
        <v>0.54532562220265324</v>
      </c>
      <c r="F65" s="81">
        <f>D65/$F$5</f>
        <v>373.52048929663607</v>
      </c>
      <c r="G65" s="81">
        <f>D65/$G$5</f>
        <v>310.93328072246601</v>
      </c>
      <c r="H65" s="81">
        <f>D65/$H$5</f>
        <v>389.56274147366895</v>
      </c>
      <c r="I65" s="165">
        <f>SUM(I12:I64)</f>
        <v>0</v>
      </c>
      <c r="J65" s="73">
        <f>SUM(J12:J64)</f>
        <v>0</v>
      </c>
      <c r="K65" s="111">
        <f>SUM(K12:K64)</f>
        <v>53742128</v>
      </c>
      <c r="M65" s="177"/>
    </row>
    <row r="66" spans="2:13" x14ac:dyDescent="0.25">
      <c r="B66" s="36"/>
      <c r="D66" s="108"/>
      <c r="F66" s="109"/>
      <c r="G66" s="109"/>
      <c r="H66" s="109"/>
      <c r="I66" s="164"/>
      <c r="K66" s="110"/>
      <c r="M66" s="177"/>
    </row>
    <row r="67" spans="2:13" ht="15.75" thickBot="1" x14ac:dyDescent="0.3">
      <c r="B67" s="101" t="s">
        <v>71</v>
      </c>
      <c r="C67" s="102"/>
      <c r="D67" s="125" t="s">
        <v>80</v>
      </c>
      <c r="E67" s="104" t="s">
        <v>81</v>
      </c>
      <c r="F67" s="126" t="s">
        <v>61</v>
      </c>
      <c r="G67" s="126" t="s">
        <v>62</v>
      </c>
      <c r="H67" s="126" t="s">
        <v>63</v>
      </c>
      <c r="I67" s="163" t="s">
        <v>82</v>
      </c>
      <c r="J67" s="106" t="s">
        <v>83</v>
      </c>
      <c r="K67" s="107" t="s">
        <v>84</v>
      </c>
      <c r="M67" s="177"/>
    </row>
    <row r="68" spans="2:13" ht="15.75" thickTop="1" x14ac:dyDescent="0.25">
      <c r="B68" s="36" t="s">
        <v>71</v>
      </c>
      <c r="D68" s="112">
        <v>6000000</v>
      </c>
      <c r="E68" s="71">
        <f>D68/$D$88</f>
        <v>6.0882474419619546E-2</v>
      </c>
      <c r="F68" s="109">
        <f>D68/$F$5</f>
        <v>41.701417848206837</v>
      </c>
      <c r="G68" s="109">
        <f>D68/$G$5</f>
        <v>34.713915391195449</v>
      </c>
      <c r="H68" s="109">
        <f>D68/$H$5</f>
        <v>43.492443187996088</v>
      </c>
      <c r="I68" s="164">
        <v>2000000</v>
      </c>
      <c r="J68" s="63">
        <v>0</v>
      </c>
      <c r="K68" s="110">
        <f>D68-I68-J68</f>
        <v>4000000</v>
      </c>
    </row>
    <row r="69" spans="2:13" x14ac:dyDescent="0.25">
      <c r="B69" s="91" t="s">
        <v>87</v>
      </c>
      <c r="C69" s="4"/>
      <c r="D69" s="84">
        <f>SUM(D68)</f>
        <v>6000000</v>
      </c>
      <c r="E69" s="72">
        <f>D69/$D$88</f>
        <v>6.0882474419619546E-2</v>
      </c>
      <c r="F69" s="81">
        <f>D69/$F$5</f>
        <v>41.701417848206837</v>
      </c>
      <c r="G69" s="81">
        <f>D69/$G$5</f>
        <v>34.713915391195449</v>
      </c>
      <c r="H69" s="81">
        <f>D69/$H$5</f>
        <v>43.492443187996088</v>
      </c>
      <c r="I69" s="165">
        <f>SUM(I68)</f>
        <v>2000000</v>
      </c>
      <c r="J69" s="73">
        <f>SUM(J68)</f>
        <v>0</v>
      </c>
      <c r="K69" s="111">
        <f>SUM(K68)</f>
        <v>4000000</v>
      </c>
    </row>
    <row r="70" spans="2:13" ht="15.75" thickBot="1" x14ac:dyDescent="0.3">
      <c r="B70" s="113"/>
      <c r="C70" s="74"/>
      <c r="D70" s="85"/>
      <c r="E70" s="75"/>
      <c r="F70" s="82"/>
      <c r="G70" s="82"/>
      <c r="H70" s="82"/>
      <c r="I70" s="166"/>
      <c r="J70" s="76"/>
      <c r="K70" s="114"/>
    </row>
    <row r="71" spans="2:13" ht="16.5" thickTop="1" thickBot="1" x14ac:dyDescent="0.3">
      <c r="B71" s="115" t="s">
        <v>88</v>
      </c>
      <c r="C71" s="77"/>
      <c r="D71" s="86">
        <f>SUM(D69,D65,D9)</f>
        <v>84921128</v>
      </c>
      <c r="E71" s="78">
        <f>D71/$D$88</f>
        <v>0.86170140052420618</v>
      </c>
      <c r="F71" s="83">
        <f>D71/$F$5</f>
        <v>590.22190714484293</v>
      </c>
      <c r="G71" s="83">
        <f>D71/$G$5</f>
        <v>491.32414205281316</v>
      </c>
      <c r="H71" s="83">
        <f>D71/$H$5</f>
        <v>615.57122250009058</v>
      </c>
      <c r="I71" s="167">
        <f>SUM(I69,I65,I9)</f>
        <v>27179000</v>
      </c>
      <c r="J71" s="79">
        <f>SUM(J69,J65,J9)</f>
        <v>0</v>
      </c>
      <c r="K71" s="116">
        <f>D71-I71-J71</f>
        <v>57742128</v>
      </c>
    </row>
    <row r="72" spans="2:13" ht="15.75" thickTop="1" x14ac:dyDescent="0.25">
      <c r="B72" s="36"/>
      <c r="D72" s="108"/>
      <c r="F72" s="109"/>
      <c r="G72" s="109"/>
      <c r="H72" s="109"/>
      <c r="I72" s="164"/>
      <c r="K72" s="110"/>
    </row>
    <row r="73" spans="2:13" ht="15.75" thickBot="1" x14ac:dyDescent="0.3">
      <c r="B73" s="101" t="s">
        <v>72</v>
      </c>
      <c r="C73" s="102"/>
      <c r="D73" s="125" t="s">
        <v>80</v>
      </c>
      <c r="E73" s="104" t="s">
        <v>81</v>
      </c>
      <c r="F73" s="126" t="s">
        <v>61</v>
      </c>
      <c r="G73" s="126" t="s">
        <v>62</v>
      </c>
      <c r="H73" s="126" t="s">
        <v>63</v>
      </c>
      <c r="I73" s="163" t="s">
        <v>82</v>
      </c>
      <c r="J73" s="106" t="s">
        <v>83</v>
      </c>
      <c r="K73" s="107" t="s">
        <v>84</v>
      </c>
    </row>
    <row r="74" spans="2:13" ht="15.75" thickTop="1" x14ac:dyDescent="0.25">
      <c r="B74" s="36" t="s">
        <v>89</v>
      </c>
      <c r="C74" s="117">
        <v>2.8000000000000001E-2</v>
      </c>
      <c r="D74" s="108">
        <f>C74*($O$3-$O$5)</f>
        <v>1814400</v>
      </c>
      <c r="E74" s="71">
        <f t="shared" ref="E74:E82" si="18">D74/$D$88</f>
        <v>1.8410860264492953E-2</v>
      </c>
      <c r="F74" s="109">
        <f t="shared" ref="F74:F82" si="19">D74/$F$5</f>
        <v>12.610508757297747</v>
      </c>
      <c r="G74" s="109">
        <f t="shared" ref="G74:G82" si="20">D74/$G$5</f>
        <v>10.497488014297504</v>
      </c>
      <c r="H74" s="109">
        <f t="shared" ref="H74:H82" si="21">D74/$H$5</f>
        <v>13.152114820050016</v>
      </c>
      <c r="I74" s="164">
        <v>0</v>
      </c>
      <c r="J74" s="63">
        <f t="shared" ref="J74:J81" si="22">D74</f>
        <v>1814400</v>
      </c>
      <c r="K74" s="110">
        <f t="shared" ref="K74:K81" si="23">D74-I74-J74</f>
        <v>0</v>
      </c>
    </row>
    <row r="75" spans="2:13" x14ac:dyDescent="0.25">
      <c r="B75" s="36" t="s">
        <v>90</v>
      </c>
      <c r="C75" s="117">
        <v>4.0000000000000001E-3</v>
      </c>
      <c r="D75" s="108">
        <f>C75*$O$8</f>
        <v>280000</v>
      </c>
      <c r="E75" s="71">
        <f t="shared" si="18"/>
        <v>2.8411821395822458E-3</v>
      </c>
      <c r="F75" s="109">
        <f t="shared" si="19"/>
        <v>1.9460661662496526</v>
      </c>
      <c r="G75" s="109">
        <f t="shared" si="20"/>
        <v>1.6199827182557878</v>
      </c>
      <c r="H75" s="109">
        <f t="shared" si="21"/>
        <v>2.0296473487731506</v>
      </c>
      <c r="I75" s="164">
        <v>0</v>
      </c>
      <c r="J75" s="63">
        <f t="shared" si="22"/>
        <v>280000</v>
      </c>
      <c r="K75" s="110">
        <f t="shared" si="23"/>
        <v>0</v>
      </c>
    </row>
    <row r="76" spans="2:13" x14ac:dyDescent="0.25">
      <c r="B76" s="36" t="s">
        <v>91</v>
      </c>
      <c r="C76" s="117">
        <v>0.01</v>
      </c>
      <c r="D76" s="108">
        <f>C76*$O$8</f>
        <v>700000</v>
      </c>
      <c r="E76" s="71">
        <f t="shared" si="18"/>
        <v>7.1029553489556137E-3</v>
      </c>
      <c r="F76" s="109">
        <f t="shared" si="19"/>
        <v>4.8651654156241309</v>
      </c>
      <c r="G76" s="109">
        <f t="shared" si="20"/>
        <v>4.0499567956394689</v>
      </c>
      <c r="H76" s="109">
        <f t="shared" si="21"/>
        <v>5.0741183719328768</v>
      </c>
      <c r="I76" s="164">
        <v>0</v>
      </c>
      <c r="J76" s="63">
        <f t="shared" si="22"/>
        <v>700000</v>
      </c>
      <c r="K76" s="110">
        <f t="shared" si="23"/>
        <v>0</v>
      </c>
    </row>
    <row r="77" spans="2:13" x14ac:dyDescent="0.25">
      <c r="B77" s="36" t="s">
        <v>92</v>
      </c>
      <c r="C77" s="117">
        <v>7.4999999999999997E-3</v>
      </c>
      <c r="D77" s="108">
        <f>C77*$O$8</f>
        <v>525000</v>
      </c>
      <c r="E77" s="71">
        <f t="shared" si="18"/>
        <v>5.3272165117167107E-3</v>
      </c>
      <c r="F77" s="109">
        <f t="shared" si="19"/>
        <v>3.6488740617180984</v>
      </c>
      <c r="G77" s="109">
        <f t="shared" si="20"/>
        <v>3.0374675967296021</v>
      </c>
      <c r="H77" s="109">
        <f t="shared" si="21"/>
        <v>3.8055887789496574</v>
      </c>
      <c r="I77" s="164">
        <v>0</v>
      </c>
      <c r="J77" s="63">
        <f t="shared" si="22"/>
        <v>525000</v>
      </c>
      <c r="K77" s="110">
        <f t="shared" si="23"/>
        <v>0</v>
      </c>
    </row>
    <row r="78" spans="2:13" x14ac:dyDescent="0.25">
      <c r="B78" s="36" t="s">
        <v>93</v>
      </c>
      <c r="D78" s="112">
        <v>125000</v>
      </c>
      <c r="E78" s="71">
        <f t="shared" si="18"/>
        <v>1.2683848837420739E-3</v>
      </c>
      <c r="F78" s="109">
        <f t="shared" si="19"/>
        <v>0.86877953850430911</v>
      </c>
      <c r="G78" s="109">
        <f t="shared" si="20"/>
        <v>0.72320657064990523</v>
      </c>
      <c r="H78" s="109">
        <f t="shared" si="21"/>
        <v>0.90609256641658509</v>
      </c>
      <c r="I78" s="164">
        <v>0</v>
      </c>
      <c r="J78" s="63">
        <f t="shared" si="22"/>
        <v>125000</v>
      </c>
      <c r="K78" s="110">
        <f t="shared" si="23"/>
        <v>0</v>
      </c>
    </row>
    <row r="79" spans="2:13" x14ac:dyDescent="0.25">
      <c r="B79" s="36" t="s">
        <v>94</v>
      </c>
      <c r="D79" s="112">
        <v>75000</v>
      </c>
      <c r="E79" s="71">
        <f t="shared" si="18"/>
        <v>7.6103093024524433E-4</v>
      </c>
      <c r="F79" s="109">
        <f t="shared" si="19"/>
        <v>0.52126772310258551</v>
      </c>
      <c r="G79" s="109">
        <f t="shared" si="20"/>
        <v>0.43392394238994314</v>
      </c>
      <c r="H79" s="109">
        <f t="shared" si="21"/>
        <v>0.54365553984995107</v>
      </c>
      <c r="I79" s="164">
        <v>0</v>
      </c>
      <c r="J79" s="63">
        <f t="shared" si="22"/>
        <v>75000</v>
      </c>
      <c r="K79" s="110">
        <f t="shared" si="23"/>
        <v>0</v>
      </c>
    </row>
    <row r="80" spans="2:13" x14ac:dyDescent="0.25">
      <c r="B80" s="36" t="s">
        <v>95</v>
      </c>
      <c r="D80" s="112">
        <v>50000</v>
      </c>
      <c r="E80" s="71">
        <f t="shared" si="18"/>
        <v>5.0735395349682955E-4</v>
      </c>
      <c r="F80" s="109">
        <f t="shared" si="19"/>
        <v>0.34751181540172366</v>
      </c>
      <c r="G80" s="109">
        <f t="shared" si="20"/>
        <v>0.28928262825996209</v>
      </c>
      <c r="H80" s="109">
        <f t="shared" si="21"/>
        <v>0.36243702656663407</v>
      </c>
      <c r="I80" s="164">
        <v>0</v>
      </c>
      <c r="J80" s="63">
        <f t="shared" si="22"/>
        <v>50000</v>
      </c>
      <c r="K80" s="110">
        <f t="shared" si="23"/>
        <v>0</v>
      </c>
    </row>
    <row r="81" spans="2:11" x14ac:dyDescent="0.25">
      <c r="B81" s="36" t="s">
        <v>96</v>
      </c>
      <c r="D81" s="112">
        <v>50000</v>
      </c>
      <c r="E81" s="71">
        <f t="shared" si="18"/>
        <v>5.0735395349682955E-4</v>
      </c>
      <c r="F81" s="109">
        <f t="shared" si="19"/>
        <v>0.34751181540172366</v>
      </c>
      <c r="G81" s="109">
        <f t="shared" si="20"/>
        <v>0.28928262825996209</v>
      </c>
      <c r="H81" s="109">
        <f t="shared" si="21"/>
        <v>0.36243702656663407</v>
      </c>
      <c r="I81" s="164">
        <v>0</v>
      </c>
      <c r="J81" s="63">
        <f t="shared" si="22"/>
        <v>50000</v>
      </c>
      <c r="K81" s="110">
        <f t="shared" si="23"/>
        <v>0</v>
      </c>
    </row>
    <row r="82" spans="2:11" x14ac:dyDescent="0.25">
      <c r="B82" s="91" t="s">
        <v>137</v>
      </c>
      <c r="C82" s="4"/>
      <c r="D82" s="84">
        <f>SUM(D74:D81)</f>
        <v>3619400</v>
      </c>
      <c r="E82" s="72">
        <f t="shared" si="18"/>
        <v>3.6726337985728497E-2</v>
      </c>
      <c r="F82" s="81">
        <f t="shared" si="19"/>
        <v>25.155685293299971</v>
      </c>
      <c r="G82" s="81">
        <f t="shared" si="20"/>
        <v>20.940590894482135</v>
      </c>
      <c r="H82" s="81">
        <f t="shared" si="21"/>
        <v>26.236091479105504</v>
      </c>
      <c r="I82" s="165">
        <f>SUM(I74:I81)</f>
        <v>0</v>
      </c>
      <c r="J82" s="73">
        <f>SUM(J74:J81)</f>
        <v>3619400</v>
      </c>
      <c r="K82" s="111">
        <f>SUM(K74:K81)</f>
        <v>0</v>
      </c>
    </row>
    <row r="83" spans="2:11" x14ac:dyDescent="0.25">
      <c r="B83" s="36"/>
      <c r="D83" s="108"/>
      <c r="F83" s="109"/>
      <c r="G83" s="109"/>
      <c r="H83" s="109"/>
      <c r="I83" s="164"/>
      <c r="K83" s="110"/>
    </row>
    <row r="84" spans="2:11" ht="15.75" thickBot="1" x14ac:dyDescent="0.3">
      <c r="B84" s="101" t="s">
        <v>73</v>
      </c>
      <c r="C84" s="102"/>
      <c r="D84" s="125" t="s">
        <v>80</v>
      </c>
      <c r="E84" s="104" t="s">
        <v>81</v>
      </c>
      <c r="F84" s="126" t="s">
        <v>61</v>
      </c>
      <c r="G84" s="126" t="s">
        <v>62</v>
      </c>
      <c r="H84" s="126" t="s">
        <v>63</v>
      </c>
      <c r="I84" s="163" t="s">
        <v>82</v>
      </c>
      <c r="J84" s="106" t="s">
        <v>83</v>
      </c>
      <c r="K84" s="107" t="s">
        <v>84</v>
      </c>
    </row>
    <row r="85" spans="2:11" ht="15.75" thickTop="1" x14ac:dyDescent="0.25">
      <c r="B85" s="36" t="s">
        <v>98</v>
      </c>
      <c r="D85" s="108">
        <f>O8*11%*65%*(24/12)</f>
        <v>10010000</v>
      </c>
      <c r="E85" s="71">
        <f>D85/$D$88</f>
        <v>0.10157226149006528</v>
      </c>
      <c r="F85" s="109">
        <f>D85/$F$5</f>
        <v>69.571865443425082</v>
      </c>
      <c r="G85" s="109">
        <f>D85/$G$5</f>
        <v>57.914382177644413</v>
      </c>
      <c r="H85" s="109">
        <f>D85/$H$5</f>
        <v>72.559892718640143</v>
      </c>
      <c r="I85" s="164">
        <v>0</v>
      </c>
      <c r="J85" s="63">
        <v>0</v>
      </c>
      <c r="K85" s="110">
        <f>D85-I85-J85</f>
        <v>10010000</v>
      </c>
    </row>
    <row r="86" spans="2:11" x14ac:dyDescent="0.25">
      <c r="B86" s="91" t="s">
        <v>136</v>
      </c>
      <c r="C86" s="4"/>
      <c r="D86" s="84">
        <f>SUM(D85)</f>
        <v>10010000</v>
      </c>
      <c r="E86" s="72">
        <f>D86/$D$88</f>
        <v>0.10157226149006528</v>
      </c>
      <c r="F86" s="81">
        <f>D86/$F$5</f>
        <v>69.571865443425082</v>
      </c>
      <c r="G86" s="81">
        <f>D86/$G$5</f>
        <v>57.914382177644413</v>
      </c>
      <c r="H86" s="81">
        <f>D86/$H$5</f>
        <v>72.559892718640143</v>
      </c>
      <c r="I86" s="165">
        <f>SUM(I85)</f>
        <v>0</v>
      </c>
      <c r="J86" s="73">
        <f>SUM(J85)</f>
        <v>0</v>
      </c>
      <c r="K86" s="111">
        <f>SUM(K85)</f>
        <v>10010000</v>
      </c>
    </row>
    <row r="87" spans="2:11" ht="15.75" thickBot="1" x14ac:dyDescent="0.3">
      <c r="B87" s="113"/>
      <c r="C87" s="74"/>
      <c r="D87" s="85"/>
      <c r="E87" s="75"/>
      <c r="F87" s="82"/>
      <c r="G87" s="82"/>
      <c r="H87" s="82"/>
      <c r="I87" s="166"/>
      <c r="J87" s="76"/>
      <c r="K87" s="114"/>
    </row>
    <row r="88" spans="2:11" ht="15.75" thickTop="1" x14ac:dyDescent="0.25">
      <c r="B88" s="118" t="s">
        <v>97</v>
      </c>
      <c r="C88" s="119"/>
      <c r="D88" s="120">
        <f>SUM(D86,D82,D71)</f>
        <v>98550528</v>
      </c>
      <c r="E88" s="121">
        <f>D88/$D$88</f>
        <v>1</v>
      </c>
      <c r="F88" s="122">
        <f>D88/$F$5</f>
        <v>684.94945788156792</v>
      </c>
      <c r="G88" s="122">
        <f>D88/$G$5</f>
        <v>570.1791151249397</v>
      </c>
      <c r="H88" s="122">
        <f>D88/$H$5</f>
        <v>714.3672066978362</v>
      </c>
      <c r="I88" s="168">
        <f>SUM(I86,I82,I71)</f>
        <v>27179000</v>
      </c>
      <c r="J88" s="123">
        <f>SUM(J86,J82,J71)</f>
        <v>3619400</v>
      </c>
      <c r="K88" s="124">
        <f>SUM(K86,K82,K71)</f>
        <v>67752128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7540-5E00-44EB-982F-C519B8F6519E}">
  <dimension ref="A2:AL29"/>
  <sheetViews>
    <sheetView zoomScale="85" zoomScaleNormal="85" workbookViewId="0">
      <selection activeCell="C21" sqref="C21"/>
    </sheetView>
  </sheetViews>
  <sheetFormatPr defaultRowHeight="15.75" x14ac:dyDescent="0.25"/>
  <cols>
    <col min="1" max="1" width="9.140625" style="218"/>
    <col min="2" max="2" width="47.28515625" style="218" bestFit="1" customWidth="1"/>
    <col min="3" max="4" width="15" style="218" bestFit="1" customWidth="1"/>
    <col min="5" max="5" width="18" style="218" bestFit="1" customWidth="1"/>
    <col min="6" max="7" width="15.7109375" style="218" bestFit="1" customWidth="1"/>
    <col min="8" max="8" width="16.42578125" style="218" bestFit="1" customWidth="1"/>
    <col min="9" max="9" width="15" style="218" bestFit="1" customWidth="1"/>
    <col min="10" max="10" width="15.140625" style="218" bestFit="1" customWidth="1"/>
    <col min="11" max="11" width="15.42578125" style="218" bestFit="1" customWidth="1"/>
    <col min="12" max="13" width="15.28515625" style="218" bestFit="1" customWidth="1"/>
    <col min="14" max="15" width="15.140625" style="218" bestFit="1" customWidth="1"/>
    <col min="16" max="16" width="15.5703125" style="218" bestFit="1" customWidth="1"/>
    <col min="17" max="17" width="15.140625" style="218" bestFit="1" customWidth="1"/>
    <col min="18" max="18" width="15" style="218" bestFit="1" customWidth="1"/>
    <col min="19" max="19" width="15.140625" style="218" bestFit="1" customWidth="1"/>
    <col min="20" max="22" width="15" style="218" bestFit="1" customWidth="1"/>
    <col min="23" max="23" width="15.7109375" style="218" bestFit="1" customWidth="1"/>
    <col min="24" max="24" width="15" style="218" bestFit="1" customWidth="1"/>
    <col min="25" max="25" width="15.140625" style="218" bestFit="1" customWidth="1"/>
    <col min="26" max="27" width="15.42578125" style="218" bestFit="1" customWidth="1"/>
    <col min="28" max="29" width="15.28515625" style="218" bestFit="1" customWidth="1"/>
    <col min="30" max="31" width="15.5703125" style="218" bestFit="1" customWidth="1"/>
    <col min="32" max="38" width="16.42578125" style="218" bestFit="1" customWidth="1"/>
    <col min="39" max="16384" width="9.140625" style="218"/>
  </cols>
  <sheetData>
    <row r="2" spans="1:38" x14ac:dyDescent="0.25">
      <c r="A2" s="273"/>
      <c r="B2" s="251" t="s">
        <v>162</v>
      </c>
      <c r="C2" s="272"/>
      <c r="D2" s="272"/>
      <c r="E2" s="271"/>
      <c r="G2" s="267" t="s">
        <v>120</v>
      </c>
      <c r="H2" s="270">
        <f>SUM('Proforma I&amp;E'!$F$5:$F$8)</f>
        <v>8181955.5499999998</v>
      </c>
      <c r="I2" s="269">
        <v>0.22</v>
      </c>
      <c r="J2" s="268">
        <f>H2*I2</f>
        <v>1800030.2209999999</v>
      </c>
    </row>
    <row r="3" spans="1:38" x14ac:dyDescent="0.25">
      <c r="B3" s="267" t="s">
        <v>161</v>
      </c>
      <c r="C3" s="266"/>
      <c r="D3" s="266"/>
      <c r="E3" s="265" t="s">
        <v>160</v>
      </c>
      <c r="G3" s="233" t="s">
        <v>159</v>
      </c>
      <c r="H3" s="264">
        <f>SUM('Proforma I&amp;E'!F9:F10)</f>
        <v>1088232.8</v>
      </c>
      <c r="I3" s="263">
        <v>0.18</v>
      </c>
      <c r="J3" s="262">
        <f>H3*I3</f>
        <v>195881.90400000001</v>
      </c>
    </row>
    <row r="4" spans="1:38" x14ac:dyDescent="0.25">
      <c r="B4" s="237" t="s">
        <v>158</v>
      </c>
      <c r="E4" s="261" t="s">
        <v>157</v>
      </c>
      <c r="G4" s="260" t="s">
        <v>12</v>
      </c>
      <c r="H4" s="259">
        <f>SUM(H2:H3)</f>
        <v>9270188.3499999996</v>
      </c>
      <c r="I4" s="258">
        <f>J4/H4</f>
        <v>0.21530437674440564</v>
      </c>
      <c r="J4" s="257">
        <f>SUM(J2:J3)</f>
        <v>1995912.125</v>
      </c>
    </row>
    <row r="5" spans="1:38" x14ac:dyDescent="0.25">
      <c r="B5" s="237" t="s">
        <v>128</v>
      </c>
      <c r="E5" s="256">
        <v>2089010</v>
      </c>
    </row>
    <row r="6" spans="1:38" x14ac:dyDescent="0.25">
      <c r="B6" s="237" t="s">
        <v>121</v>
      </c>
      <c r="E6" s="255">
        <v>0.02</v>
      </c>
    </row>
    <row r="7" spans="1:38" x14ac:dyDescent="0.25">
      <c r="B7" s="237" t="s">
        <v>122</v>
      </c>
      <c r="E7" s="255">
        <v>5.0000000000000001E-3</v>
      </c>
    </row>
    <row r="8" spans="1:38" x14ac:dyDescent="0.25">
      <c r="B8" s="237" t="s">
        <v>123</v>
      </c>
      <c r="E8" s="255">
        <v>0.03</v>
      </c>
    </row>
    <row r="9" spans="1:38" ht="16.5" x14ac:dyDescent="0.25">
      <c r="B9" s="254" t="s">
        <v>124</v>
      </c>
      <c r="C9" s="253"/>
      <c r="D9" s="253"/>
      <c r="E9" s="252">
        <f>NPV($E$8,$C$25:$AL$25)</f>
        <v>45664816.538056619</v>
      </c>
    </row>
    <row r="11" spans="1:38" x14ac:dyDescent="0.25">
      <c r="B11" s="251" t="s">
        <v>125</v>
      </c>
      <c r="C11" s="250">
        <v>1</v>
      </c>
      <c r="D11" s="250">
        <v>2</v>
      </c>
      <c r="E11" s="250">
        <v>3</v>
      </c>
      <c r="F11" s="250">
        <v>4</v>
      </c>
      <c r="G11" s="250">
        <v>5</v>
      </c>
      <c r="H11" s="250">
        <v>6</v>
      </c>
      <c r="I11" s="250">
        <v>7</v>
      </c>
      <c r="J11" s="250">
        <v>8</v>
      </c>
      <c r="K11" s="250">
        <v>9</v>
      </c>
      <c r="L11" s="250">
        <v>10</v>
      </c>
      <c r="M11" s="250">
        <v>11</v>
      </c>
      <c r="N11" s="250">
        <v>12</v>
      </c>
      <c r="O11" s="250">
        <v>13</v>
      </c>
      <c r="P11" s="250">
        <v>14</v>
      </c>
      <c r="Q11" s="250">
        <v>15</v>
      </c>
      <c r="R11" s="250">
        <v>16</v>
      </c>
      <c r="S11" s="250">
        <v>17</v>
      </c>
      <c r="T11" s="250">
        <v>18</v>
      </c>
      <c r="U11" s="250">
        <v>19</v>
      </c>
      <c r="V11" s="250">
        <v>20</v>
      </c>
      <c r="W11" s="250">
        <v>21</v>
      </c>
      <c r="X11" s="250">
        <v>22</v>
      </c>
      <c r="Y11" s="250">
        <v>23</v>
      </c>
      <c r="Z11" s="250">
        <v>24</v>
      </c>
      <c r="AA11" s="250">
        <v>25</v>
      </c>
      <c r="AB11" s="250">
        <v>26</v>
      </c>
      <c r="AC11" s="250">
        <v>27</v>
      </c>
      <c r="AD11" s="250">
        <v>28</v>
      </c>
      <c r="AE11" s="250">
        <v>29</v>
      </c>
      <c r="AF11" s="250">
        <v>30</v>
      </c>
      <c r="AG11" s="250">
        <v>31</v>
      </c>
      <c r="AH11" s="250">
        <v>32</v>
      </c>
      <c r="AI11" s="250">
        <v>33</v>
      </c>
      <c r="AJ11" s="250">
        <v>34</v>
      </c>
      <c r="AK11" s="250">
        <v>35</v>
      </c>
      <c r="AL11" s="249">
        <v>36</v>
      </c>
    </row>
    <row r="12" spans="1:38" x14ac:dyDescent="0.25">
      <c r="B12" s="248" t="s">
        <v>126</v>
      </c>
      <c r="C12" s="247">
        <v>46204</v>
      </c>
      <c r="D12" s="247">
        <f t="shared" ref="D12:AL12" si="0">EDATE(C12,12)</f>
        <v>46569</v>
      </c>
      <c r="E12" s="247">
        <f t="shared" si="0"/>
        <v>46935</v>
      </c>
      <c r="F12" s="247">
        <f t="shared" si="0"/>
        <v>47300</v>
      </c>
      <c r="G12" s="247">
        <f t="shared" si="0"/>
        <v>47665</v>
      </c>
      <c r="H12" s="247">
        <f t="shared" si="0"/>
        <v>48030</v>
      </c>
      <c r="I12" s="247">
        <f t="shared" si="0"/>
        <v>48396</v>
      </c>
      <c r="J12" s="247">
        <f t="shared" si="0"/>
        <v>48761</v>
      </c>
      <c r="K12" s="247">
        <f t="shared" si="0"/>
        <v>49126</v>
      </c>
      <c r="L12" s="247">
        <f t="shared" si="0"/>
        <v>49491</v>
      </c>
      <c r="M12" s="247">
        <f t="shared" si="0"/>
        <v>49857</v>
      </c>
      <c r="N12" s="247">
        <f t="shared" si="0"/>
        <v>50222</v>
      </c>
      <c r="O12" s="247">
        <f t="shared" si="0"/>
        <v>50587</v>
      </c>
      <c r="P12" s="247">
        <f t="shared" si="0"/>
        <v>50952</v>
      </c>
      <c r="Q12" s="247">
        <f t="shared" si="0"/>
        <v>51318</v>
      </c>
      <c r="R12" s="247">
        <f t="shared" si="0"/>
        <v>51683</v>
      </c>
      <c r="S12" s="247">
        <f t="shared" si="0"/>
        <v>52048</v>
      </c>
      <c r="T12" s="247">
        <f t="shared" si="0"/>
        <v>52413</v>
      </c>
      <c r="U12" s="247">
        <f t="shared" si="0"/>
        <v>52779</v>
      </c>
      <c r="V12" s="247">
        <f t="shared" si="0"/>
        <v>53144</v>
      </c>
      <c r="W12" s="247">
        <f t="shared" si="0"/>
        <v>53509</v>
      </c>
      <c r="X12" s="247">
        <f t="shared" si="0"/>
        <v>53874</v>
      </c>
      <c r="Y12" s="247">
        <f t="shared" si="0"/>
        <v>54240</v>
      </c>
      <c r="Z12" s="247">
        <f t="shared" si="0"/>
        <v>54605</v>
      </c>
      <c r="AA12" s="247">
        <f t="shared" si="0"/>
        <v>54970</v>
      </c>
      <c r="AB12" s="247">
        <f t="shared" si="0"/>
        <v>55335</v>
      </c>
      <c r="AC12" s="247">
        <f t="shared" si="0"/>
        <v>55701</v>
      </c>
      <c r="AD12" s="247">
        <f t="shared" si="0"/>
        <v>56066</v>
      </c>
      <c r="AE12" s="247">
        <f t="shared" si="0"/>
        <v>56431</v>
      </c>
      <c r="AF12" s="247">
        <f t="shared" si="0"/>
        <v>56796</v>
      </c>
      <c r="AG12" s="247">
        <f t="shared" si="0"/>
        <v>57162</v>
      </c>
      <c r="AH12" s="247">
        <f t="shared" si="0"/>
        <v>57527</v>
      </c>
      <c r="AI12" s="247">
        <f t="shared" si="0"/>
        <v>57892</v>
      </c>
      <c r="AJ12" s="247">
        <f t="shared" si="0"/>
        <v>58257</v>
      </c>
      <c r="AK12" s="247">
        <f t="shared" si="0"/>
        <v>58623</v>
      </c>
      <c r="AL12" s="246">
        <f t="shared" si="0"/>
        <v>58988</v>
      </c>
    </row>
    <row r="13" spans="1:38" hidden="1" x14ac:dyDescent="0.25">
      <c r="B13" s="245" t="s">
        <v>156</v>
      </c>
      <c r="C13" s="244">
        <f>_xlfn.XLOOKUP(C$12,'[2]Monthly CF'!$H$2:$CA$2,'[2]Monthly CF'!$H$4:$CA$4,0)</f>
        <v>3</v>
      </c>
      <c r="D13" s="244">
        <f t="shared" ref="D13:AL13" si="1">C13+1</f>
        <v>4</v>
      </c>
      <c r="E13" s="244">
        <f t="shared" si="1"/>
        <v>5</v>
      </c>
      <c r="F13" s="244">
        <f t="shared" si="1"/>
        <v>6</v>
      </c>
      <c r="G13" s="244">
        <f t="shared" si="1"/>
        <v>7</v>
      </c>
      <c r="H13" s="244">
        <f t="shared" si="1"/>
        <v>8</v>
      </c>
      <c r="I13" s="244">
        <f t="shared" si="1"/>
        <v>9</v>
      </c>
      <c r="J13" s="244">
        <f t="shared" si="1"/>
        <v>10</v>
      </c>
      <c r="K13" s="244">
        <f t="shared" si="1"/>
        <v>11</v>
      </c>
      <c r="L13" s="244">
        <f t="shared" si="1"/>
        <v>12</v>
      </c>
      <c r="M13" s="244">
        <f t="shared" si="1"/>
        <v>13</v>
      </c>
      <c r="N13" s="244">
        <f t="shared" si="1"/>
        <v>14</v>
      </c>
      <c r="O13" s="244">
        <f t="shared" si="1"/>
        <v>15</v>
      </c>
      <c r="P13" s="244">
        <f t="shared" si="1"/>
        <v>16</v>
      </c>
      <c r="Q13" s="244">
        <f t="shared" si="1"/>
        <v>17</v>
      </c>
      <c r="R13" s="244">
        <f t="shared" si="1"/>
        <v>18</v>
      </c>
      <c r="S13" s="244">
        <f t="shared" si="1"/>
        <v>19</v>
      </c>
      <c r="T13" s="244">
        <f t="shared" si="1"/>
        <v>20</v>
      </c>
      <c r="U13" s="244">
        <f t="shared" si="1"/>
        <v>21</v>
      </c>
      <c r="V13" s="244">
        <f t="shared" si="1"/>
        <v>22</v>
      </c>
      <c r="W13" s="244">
        <f t="shared" si="1"/>
        <v>23</v>
      </c>
      <c r="X13" s="244">
        <f t="shared" si="1"/>
        <v>24</v>
      </c>
      <c r="Y13" s="244">
        <f t="shared" si="1"/>
        <v>25</v>
      </c>
      <c r="Z13" s="244">
        <f t="shared" si="1"/>
        <v>26</v>
      </c>
      <c r="AA13" s="244">
        <f t="shared" si="1"/>
        <v>27</v>
      </c>
      <c r="AB13" s="244">
        <f t="shared" si="1"/>
        <v>28</v>
      </c>
      <c r="AC13" s="244">
        <f t="shared" si="1"/>
        <v>29</v>
      </c>
      <c r="AD13" s="244">
        <f t="shared" si="1"/>
        <v>30</v>
      </c>
      <c r="AE13" s="244">
        <f t="shared" si="1"/>
        <v>31</v>
      </c>
      <c r="AF13" s="244">
        <f t="shared" si="1"/>
        <v>32</v>
      </c>
      <c r="AG13" s="244">
        <f t="shared" si="1"/>
        <v>33</v>
      </c>
      <c r="AH13" s="244">
        <f t="shared" si="1"/>
        <v>34</v>
      </c>
      <c r="AI13" s="244">
        <f t="shared" si="1"/>
        <v>35</v>
      </c>
      <c r="AJ13" s="244">
        <f t="shared" si="1"/>
        <v>36</v>
      </c>
      <c r="AK13" s="244">
        <f t="shared" si="1"/>
        <v>37</v>
      </c>
      <c r="AL13" s="243">
        <f t="shared" si="1"/>
        <v>38</v>
      </c>
    </row>
    <row r="14" spans="1:38" x14ac:dyDescent="0.25">
      <c r="B14" s="237" t="s">
        <v>127</v>
      </c>
      <c r="C14" s="220">
        <f>J4/C21</f>
        <v>15967297</v>
      </c>
      <c r="D14" s="220">
        <f t="shared" ref="D14:AL14" si="2">C14*(1+$E$6)</f>
        <v>16286642.939999999</v>
      </c>
      <c r="E14" s="220">
        <f t="shared" si="2"/>
        <v>16612375.798799999</v>
      </c>
      <c r="F14" s="220">
        <f t="shared" si="2"/>
        <v>16944623.314776</v>
      </c>
      <c r="G14" s="220">
        <f t="shared" si="2"/>
        <v>17283515.781071521</v>
      </c>
      <c r="H14" s="220">
        <f t="shared" si="2"/>
        <v>17629186.096692953</v>
      </c>
      <c r="I14" s="220">
        <f t="shared" si="2"/>
        <v>17981769.818626814</v>
      </c>
      <c r="J14" s="220">
        <f t="shared" si="2"/>
        <v>18341405.214999352</v>
      </c>
      <c r="K14" s="220">
        <f t="shared" si="2"/>
        <v>18708233.31929934</v>
      </c>
      <c r="L14" s="220">
        <f t="shared" si="2"/>
        <v>19082397.985685326</v>
      </c>
      <c r="M14" s="220">
        <f t="shared" si="2"/>
        <v>19464045.945399035</v>
      </c>
      <c r="N14" s="220">
        <f t="shared" si="2"/>
        <v>19853326.864307016</v>
      </c>
      <c r="O14" s="220">
        <f t="shared" si="2"/>
        <v>20250393.401593156</v>
      </c>
      <c r="P14" s="220">
        <f t="shared" si="2"/>
        <v>20655401.269625019</v>
      </c>
      <c r="Q14" s="220">
        <f t="shared" si="2"/>
        <v>21068509.295017522</v>
      </c>
      <c r="R14" s="220">
        <f t="shared" si="2"/>
        <v>21489879.480917871</v>
      </c>
      <c r="S14" s="220">
        <f t="shared" si="2"/>
        <v>21919677.07053623</v>
      </c>
      <c r="T14" s="220">
        <f t="shared" si="2"/>
        <v>22358070.611946955</v>
      </c>
      <c r="U14" s="220">
        <f t="shared" si="2"/>
        <v>22805232.024185896</v>
      </c>
      <c r="V14" s="220">
        <f t="shared" si="2"/>
        <v>23261336.664669614</v>
      </c>
      <c r="W14" s="220">
        <f t="shared" si="2"/>
        <v>23726563.397963006</v>
      </c>
      <c r="X14" s="220">
        <f t="shared" si="2"/>
        <v>24201094.665922265</v>
      </c>
      <c r="Y14" s="220">
        <f t="shared" si="2"/>
        <v>24685116.55924071</v>
      </c>
      <c r="Z14" s="220">
        <f t="shared" si="2"/>
        <v>25178818.890425526</v>
      </c>
      <c r="AA14" s="220">
        <f t="shared" si="2"/>
        <v>25682395.268234037</v>
      </c>
      <c r="AB14" s="220">
        <f t="shared" si="2"/>
        <v>26196043.173598718</v>
      </c>
      <c r="AC14" s="220">
        <f t="shared" si="2"/>
        <v>26719964.037070692</v>
      </c>
      <c r="AD14" s="220">
        <f t="shared" si="2"/>
        <v>27254363.317812108</v>
      </c>
      <c r="AE14" s="220">
        <f t="shared" si="2"/>
        <v>27799450.584168348</v>
      </c>
      <c r="AF14" s="220">
        <f t="shared" si="2"/>
        <v>28355439.595851716</v>
      </c>
      <c r="AG14" s="220">
        <f t="shared" si="2"/>
        <v>28922548.387768749</v>
      </c>
      <c r="AH14" s="220">
        <f t="shared" si="2"/>
        <v>29500999.355524126</v>
      </c>
      <c r="AI14" s="220">
        <f t="shared" si="2"/>
        <v>30091019.342634611</v>
      </c>
      <c r="AJ14" s="220">
        <f t="shared" si="2"/>
        <v>30692839.729487304</v>
      </c>
      <c r="AK14" s="220">
        <f t="shared" si="2"/>
        <v>31306696.52407705</v>
      </c>
      <c r="AL14" s="239">
        <f t="shared" si="2"/>
        <v>31932830.454558592</v>
      </c>
    </row>
    <row r="15" spans="1:38" x14ac:dyDescent="0.25">
      <c r="B15" s="237" t="s">
        <v>155</v>
      </c>
      <c r="C15" s="242">
        <f>E5</f>
        <v>2089010</v>
      </c>
      <c r="D15" s="220">
        <f t="shared" ref="D15:AL15" si="3">$C$15</f>
        <v>2089010</v>
      </c>
      <c r="E15" s="220">
        <f t="shared" si="3"/>
        <v>2089010</v>
      </c>
      <c r="F15" s="220">
        <f t="shared" si="3"/>
        <v>2089010</v>
      </c>
      <c r="G15" s="220">
        <f t="shared" si="3"/>
        <v>2089010</v>
      </c>
      <c r="H15" s="220">
        <f t="shared" si="3"/>
        <v>2089010</v>
      </c>
      <c r="I15" s="220">
        <f t="shared" si="3"/>
        <v>2089010</v>
      </c>
      <c r="J15" s="220">
        <f t="shared" si="3"/>
        <v>2089010</v>
      </c>
      <c r="K15" s="220">
        <f t="shared" si="3"/>
        <v>2089010</v>
      </c>
      <c r="L15" s="220">
        <f t="shared" si="3"/>
        <v>2089010</v>
      </c>
      <c r="M15" s="220">
        <f t="shared" si="3"/>
        <v>2089010</v>
      </c>
      <c r="N15" s="220">
        <f t="shared" si="3"/>
        <v>2089010</v>
      </c>
      <c r="O15" s="220">
        <f t="shared" si="3"/>
        <v>2089010</v>
      </c>
      <c r="P15" s="220">
        <f t="shared" si="3"/>
        <v>2089010</v>
      </c>
      <c r="Q15" s="220">
        <f t="shared" si="3"/>
        <v>2089010</v>
      </c>
      <c r="R15" s="220">
        <f t="shared" si="3"/>
        <v>2089010</v>
      </c>
      <c r="S15" s="220">
        <f t="shared" si="3"/>
        <v>2089010</v>
      </c>
      <c r="T15" s="220">
        <f t="shared" si="3"/>
        <v>2089010</v>
      </c>
      <c r="U15" s="220">
        <f t="shared" si="3"/>
        <v>2089010</v>
      </c>
      <c r="V15" s="220">
        <f t="shared" si="3"/>
        <v>2089010</v>
      </c>
      <c r="W15" s="220">
        <f t="shared" si="3"/>
        <v>2089010</v>
      </c>
      <c r="X15" s="220">
        <f t="shared" si="3"/>
        <v>2089010</v>
      </c>
      <c r="Y15" s="220">
        <f t="shared" si="3"/>
        <v>2089010</v>
      </c>
      <c r="Z15" s="220">
        <f t="shared" si="3"/>
        <v>2089010</v>
      </c>
      <c r="AA15" s="220">
        <f t="shared" si="3"/>
        <v>2089010</v>
      </c>
      <c r="AB15" s="220">
        <f t="shared" si="3"/>
        <v>2089010</v>
      </c>
      <c r="AC15" s="220">
        <f t="shared" si="3"/>
        <v>2089010</v>
      </c>
      <c r="AD15" s="220">
        <f t="shared" si="3"/>
        <v>2089010</v>
      </c>
      <c r="AE15" s="220">
        <f t="shared" si="3"/>
        <v>2089010</v>
      </c>
      <c r="AF15" s="220">
        <f t="shared" si="3"/>
        <v>2089010</v>
      </c>
      <c r="AG15" s="220">
        <f t="shared" si="3"/>
        <v>2089010</v>
      </c>
      <c r="AH15" s="220">
        <f t="shared" si="3"/>
        <v>2089010</v>
      </c>
      <c r="AI15" s="220">
        <f t="shared" si="3"/>
        <v>2089010</v>
      </c>
      <c r="AJ15" s="220">
        <f t="shared" si="3"/>
        <v>2089010</v>
      </c>
      <c r="AK15" s="220">
        <f t="shared" si="3"/>
        <v>2089010</v>
      </c>
      <c r="AL15" s="239">
        <f t="shared" si="3"/>
        <v>2089010</v>
      </c>
    </row>
    <row r="16" spans="1:38" x14ac:dyDescent="0.25">
      <c r="B16" s="237" t="s">
        <v>129</v>
      </c>
      <c r="C16" s="220">
        <f t="shared" ref="C16:AL16" si="4">C14-C15</f>
        <v>13878287</v>
      </c>
      <c r="D16" s="220">
        <f t="shared" si="4"/>
        <v>14197632.939999999</v>
      </c>
      <c r="E16" s="220">
        <f t="shared" si="4"/>
        <v>14523365.798799999</v>
      </c>
      <c r="F16" s="220">
        <f t="shared" si="4"/>
        <v>14855613.314776</v>
      </c>
      <c r="G16" s="220">
        <f t="shared" si="4"/>
        <v>15194505.781071521</v>
      </c>
      <c r="H16" s="220">
        <f t="shared" si="4"/>
        <v>15540176.096692953</v>
      </c>
      <c r="I16" s="220">
        <f t="shared" si="4"/>
        <v>15892759.818626814</v>
      </c>
      <c r="J16" s="220">
        <f t="shared" si="4"/>
        <v>16252395.214999352</v>
      </c>
      <c r="K16" s="220">
        <f t="shared" si="4"/>
        <v>16619223.31929934</v>
      </c>
      <c r="L16" s="220">
        <f t="shared" si="4"/>
        <v>16993387.985685326</v>
      </c>
      <c r="M16" s="220">
        <f t="shared" si="4"/>
        <v>17375035.945399035</v>
      </c>
      <c r="N16" s="220">
        <f t="shared" si="4"/>
        <v>17764316.864307016</v>
      </c>
      <c r="O16" s="220">
        <f t="shared" si="4"/>
        <v>18161383.401593156</v>
      </c>
      <c r="P16" s="220">
        <f t="shared" si="4"/>
        <v>18566391.269625019</v>
      </c>
      <c r="Q16" s="220">
        <f t="shared" si="4"/>
        <v>18979499.295017522</v>
      </c>
      <c r="R16" s="220">
        <f t="shared" si="4"/>
        <v>19400869.480917871</v>
      </c>
      <c r="S16" s="220">
        <f t="shared" si="4"/>
        <v>19830667.07053623</v>
      </c>
      <c r="T16" s="220">
        <f t="shared" si="4"/>
        <v>20269060.611946955</v>
      </c>
      <c r="U16" s="220">
        <f t="shared" si="4"/>
        <v>20716222.024185896</v>
      </c>
      <c r="V16" s="220">
        <f t="shared" si="4"/>
        <v>21172326.664669614</v>
      </c>
      <c r="W16" s="220">
        <f t="shared" si="4"/>
        <v>21637553.397963006</v>
      </c>
      <c r="X16" s="220">
        <f t="shared" si="4"/>
        <v>22112084.665922265</v>
      </c>
      <c r="Y16" s="220">
        <f t="shared" si="4"/>
        <v>22596106.55924071</v>
      </c>
      <c r="Z16" s="220">
        <f t="shared" si="4"/>
        <v>23089808.890425526</v>
      </c>
      <c r="AA16" s="220">
        <f t="shared" si="4"/>
        <v>23593385.268234037</v>
      </c>
      <c r="AB16" s="220">
        <f t="shared" si="4"/>
        <v>24107033.173598718</v>
      </c>
      <c r="AC16" s="220">
        <f t="shared" si="4"/>
        <v>24630954.037070692</v>
      </c>
      <c r="AD16" s="220">
        <f t="shared" si="4"/>
        <v>25165353.317812108</v>
      </c>
      <c r="AE16" s="220">
        <f t="shared" si="4"/>
        <v>25710440.584168348</v>
      </c>
      <c r="AF16" s="220">
        <f t="shared" si="4"/>
        <v>26266429.595851716</v>
      </c>
      <c r="AG16" s="220">
        <f t="shared" si="4"/>
        <v>26833538.387768749</v>
      </c>
      <c r="AH16" s="220">
        <f t="shared" si="4"/>
        <v>27411989.355524126</v>
      </c>
      <c r="AI16" s="220">
        <f t="shared" si="4"/>
        <v>28002009.342634611</v>
      </c>
      <c r="AJ16" s="220">
        <f t="shared" si="4"/>
        <v>28603829.729487304</v>
      </c>
      <c r="AK16" s="220">
        <f t="shared" si="4"/>
        <v>29217686.52407705</v>
      </c>
      <c r="AL16" s="239">
        <f t="shared" si="4"/>
        <v>29843820.454558592</v>
      </c>
    </row>
    <row r="17" spans="2:38" x14ac:dyDescent="0.25">
      <c r="B17" s="237" t="s">
        <v>130</v>
      </c>
      <c r="C17" s="241">
        <v>1</v>
      </c>
      <c r="D17" s="241">
        <v>1</v>
      </c>
      <c r="E17" s="241">
        <v>1</v>
      </c>
      <c r="F17" s="241">
        <v>1</v>
      </c>
      <c r="G17" s="241">
        <v>1</v>
      </c>
      <c r="H17" s="241">
        <v>1</v>
      </c>
      <c r="I17" s="241">
        <v>1</v>
      </c>
      <c r="J17" s="241">
        <v>1</v>
      </c>
      <c r="K17" s="241">
        <v>1</v>
      </c>
      <c r="L17" s="241">
        <v>1</v>
      </c>
      <c r="M17" s="241">
        <v>1</v>
      </c>
      <c r="N17" s="241">
        <v>1</v>
      </c>
      <c r="O17" s="241">
        <v>1</v>
      </c>
      <c r="P17" s="241">
        <v>1</v>
      </c>
      <c r="Q17" s="241">
        <v>1</v>
      </c>
      <c r="R17" s="241">
        <v>1</v>
      </c>
      <c r="S17" s="241">
        <v>1</v>
      </c>
      <c r="T17" s="241">
        <v>1</v>
      </c>
      <c r="U17" s="241">
        <v>1</v>
      </c>
      <c r="V17" s="241">
        <v>1</v>
      </c>
      <c r="W17" s="241">
        <v>1</v>
      </c>
      <c r="X17" s="241">
        <v>1</v>
      </c>
      <c r="Y17" s="241">
        <v>1</v>
      </c>
      <c r="Z17" s="241">
        <v>1</v>
      </c>
      <c r="AA17" s="241">
        <v>1</v>
      </c>
      <c r="AB17" s="241">
        <v>0.3</v>
      </c>
      <c r="AC17" s="241">
        <v>0.3</v>
      </c>
      <c r="AD17" s="241">
        <v>0.3</v>
      </c>
      <c r="AE17" s="241">
        <v>0.3</v>
      </c>
      <c r="AF17" s="241">
        <v>0.3</v>
      </c>
      <c r="AG17" s="241">
        <v>0.3</v>
      </c>
      <c r="AH17" s="241">
        <v>0.3</v>
      </c>
      <c r="AI17" s="241">
        <v>0.3</v>
      </c>
      <c r="AJ17" s="241">
        <v>0.3</v>
      </c>
      <c r="AK17" s="241">
        <v>0.3</v>
      </c>
      <c r="AL17" s="240">
        <v>0</v>
      </c>
    </row>
    <row r="18" spans="2:38" x14ac:dyDescent="0.25">
      <c r="B18" s="237" t="s">
        <v>131</v>
      </c>
      <c r="C18" s="220">
        <f t="shared" ref="C18:AL18" si="5">C16*C17</f>
        <v>13878287</v>
      </c>
      <c r="D18" s="220">
        <f t="shared" si="5"/>
        <v>14197632.939999999</v>
      </c>
      <c r="E18" s="220">
        <f t="shared" si="5"/>
        <v>14523365.798799999</v>
      </c>
      <c r="F18" s="220">
        <f t="shared" si="5"/>
        <v>14855613.314776</v>
      </c>
      <c r="G18" s="220">
        <f t="shared" si="5"/>
        <v>15194505.781071521</v>
      </c>
      <c r="H18" s="220">
        <f t="shared" si="5"/>
        <v>15540176.096692953</v>
      </c>
      <c r="I18" s="220">
        <f t="shared" si="5"/>
        <v>15892759.818626814</v>
      </c>
      <c r="J18" s="220">
        <f t="shared" si="5"/>
        <v>16252395.214999352</v>
      </c>
      <c r="K18" s="220">
        <f t="shared" si="5"/>
        <v>16619223.31929934</v>
      </c>
      <c r="L18" s="220">
        <f t="shared" si="5"/>
        <v>16993387.985685326</v>
      </c>
      <c r="M18" s="220">
        <f t="shared" si="5"/>
        <v>17375035.945399035</v>
      </c>
      <c r="N18" s="220">
        <f t="shared" si="5"/>
        <v>17764316.864307016</v>
      </c>
      <c r="O18" s="220">
        <f t="shared" si="5"/>
        <v>18161383.401593156</v>
      </c>
      <c r="P18" s="220">
        <f t="shared" si="5"/>
        <v>18566391.269625019</v>
      </c>
      <c r="Q18" s="220">
        <f t="shared" si="5"/>
        <v>18979499.295017522</v>
      </c>
      <c r="R18" s="220">
        <f t="shared" si="5"/>
        <v>19400869.480917871</v>
      </c>
      <c r="S18" s="220">
        <f t="shared" si="5"/>
        <v>19830667.07053623</v>
      </c>
      <c r="T18" s="220">
        <f t="shared" si="5"/>
        <v>20269060.611946955</v>
      </c>
      <c r="U18" s="220">
        <f t="shared" si="5"/>
        <v>20716222.024185896</v>
      </c>
      <c r="V18" s="220">
        <f t="shared" si="5"/>
        <v>21172326.664669614</v>
      </c>
      <c r="W18" s="220">
        <f t="shared" si="5"/>
        <v>21637553.397963006</v>
      </c>
      <c r="X18" s="220">
        <f t="shared" si="5"/>
        <v>22112084.665922265</v>
      </c>
      <c r="Y18" s="220">
        <f t="shared" si="5"/>
        <v>22596106.55924071</v>
      </c>
      <c r="Z18" s="220">
        <f t="shared" si="5"/>
        <v>23089808.890425526</v>
      </c>
      <c r="AA18" s="220">
        <f t="shared" si="5"/>
        <v>23593385.268234037</v>
      </c>
      <c r="AB18" s="220">
        <f t="shared" si="5"/>
        <v>7232109.9520796156</v>
      </c>
      <c r="AC18" s="220">
        <f t="shared" si="5"/>
        <v>7389286.2111212071</v>
      </c>
      <c r="AD18" s="220">
        <f t="shared" si="5"/>
        <v>7549605.9953436321</v>
      </c>
      <c r="AE18" s="220">
        <f t="shared" si="5"/>
        <v>7713132.1752505042</v>
      </c>
      <c r="AF18" s="220">
        <f t="shared" si="5"/>
        <v>7879928.8787555145</v>
      </c>
      <c r="AG18" s="220">
        <f t="shared" si="5"/>
        <v>8050061.516330624</v>
      </c>
      <c r="AH18" s="220">
        <f t="shared" si="5"/>
        <v>8223596.8066572379</v>
      </c>
      <c r="AI18" s="220">
        <f t="shared" si="5"/>
        <v>8400602.8027903829</v>
      </c>
      <c r="AJ18" s="220">
        <f t="shared" si="5"/>
        <v>8581148.91884619</v>
      </c>
      <c r="AK18" s="220">
        <f t="shared" si="5"/>
        <v>8765305.9572231155</v>
      </c>
      <c r="AL18" s="239">
        <f t="shared" si="5"/>
        <v>0</v>
      </c>
    </row>
    <row r="19" spans="2:38" x14ac:dyDescent="0.25">
      <c r="B19" s="237" t="s">
        <v>127</v>
      </c>
      <c r="C19" s="220">
        <f t="shared" ref="C19:AL19" si="6">C14-C18</f>
        <v>2089010</v>
      </c>
      <c r="D19" s="220">
        <f t="shared" si="6"/>
        <v>2089010</v>
      </c>
      <c r="E19" s="220">
        <f t="shared" si="6"/>
        <v>2089010</v>
      </c>
      <c r="F19" s="220">
        <f t="shared" si="6"/>
        <v>2089010</v>
      </c>
      <c r="G19" s="220">
        <f t="shared" si="6"/>
        <v>2089010</v>
      </c>
      <c r="H19" s="220">
        <f t="shared" si="6"/>
        <v>2089010</v>
      </c>
      <c r="I19" s="220">
        <f t="shared" si="6"/>
        <v>2089010</v>
      </c>
      <c r="J19" s="220">
        <f t="shared" si="6"/>
        <v>2089010</v>
      </c>
      <c r="K19" s="220">
        <f t="shared" si="6"/>
        <v>2089010</v>
      </c>
      <c r="L19" s="220">
        <f t="shared" si="6"/>
        <v>2089010</v>
      </c>
      <c r="M19" s="220">
        <f t="shared" si="6"/>
        <v>2089010</v>
      </c>
      <c r="N19" s="220">
        <f t="shared" si="6"/>
        <v>2089010</v>
      </c>
      <c r="O19" s="220">
        <f t="shared" si="6"/>
        <v>2089010</v>
      </c>
      <c r="P19" s="220">
        <f t="shared" si="6"/>
        <v>2089010</v>
      </c>
      <c r="Q19" s="220">
        <f t="shared" si="6"/>
        <v>2089010</v>
      </c>
      <c r="R19" s="220">
        <f t="shared" si="6"/>
        <v>2089010</v>
      </c>
      <c r="S19" s="220">
        <f t="shared" si="6"/>
        <v>2089010</v>
      </c>
      <c r="T19" s="220">
        <f t="shared" si="6"/>
        <v>2089010</v>
      </c>
      <c r="U19" s="220">
        <f t="shared" si="6"/>
        <v>2089010</v>
      </c>
      <c r="V19" s="220">
        <f t="shared" si="6"/>
        <v>2089010</v>
      </c>
      <c r="W19" s="220">
        <f t="shared" si="6"/>
        <v>2089010</v>
      </c>
      <c r="X19" s="220">
        <f t="shared" si="6"/>
        <v>2089010</v>
      </c>
      <c r="Y19" s="220">
        <f t="shared" si="6"/>
        <v>2089010</v>
      </c>
      <c r="Z19" s="220">
        <f t="shared" si="6"/>
        <v>2089010</v>
      </c>
      <c r="AA19" s="220">
        <f t="shared" si="6"/>
        <v>2089010</v>
      </c>
      <c r="AB19" s="220">
        <f t="shared" si="6"/>
        <v>18963933.221519101</v>
      </c>
      <c r="AC19" s="220">
        <f t="shared" si="6"/>
        <v>19330677.825949483</v>
      </c>
      <c r="AD19" s="220">
        <f t="shared" si="6"/>
        <v>19704757.322468475</v>
      </c>
      <c r="AE19" s="220">
        <f t="shared" si="6"/>
        <v>20086318.408917844</v>
      </c>
      <c r="AF19" s="220">
        <f t="shared" si="6"/>
        <v>20475510.717096202</v>
      </c>
      <c r="AG19" s="220">
        <f t="shared" si="6"/>
        <v>20872486.871438123</v>
      </c>
      <c r="AH19" s="220">
        <f t="shared" si="6"/>
        <v>21277402.54886689</v>
      </c>
      <c r="AI19" s="220">
        <f t="shared" si="6"/>
        <v>21690416.53984423</v>
      </c>
      <c r="AJ19" s="220">
        <f t="shared" si="6"/>
        <v>22111690.810641114</v>
      </c>
      <c r="AK19" s="220">
        <f t="shared" si="6"/>
        <v>22541390.566853933</v>
      </c>
      <c r="AL19" s="239">
        <f t="shared" si="6"/>
        <v>31932830.454558592</v>
      </c>
    </row>
    <row r="20" spans="2:38" x14ac:dyDescent="0.25">
      <c r="B20" s="237"/>
      <c r="AL20" s="238"/>
    </row>
    <row r="21" spans="2:38" x14ac:dyDescent="0.25">
      <c r="B21" s="237" t="s">
        <v>132</v>
      </c>
      <c r="C21" s="236">
        <v>0.125</v>
      </c>
      <c r="D21" s="235">
        <f t="shared" ref="D21:AL21" si="7">C21*(1+$E$7)</f>
        <v>0.12562499999999999</v>
      </c>
      <c r="E21" s="235">
        <f t="shared" si="7"/>
        <v>0.12625312499999997</v>
      </c>
      <c r="F21" s="235">
        <f t="shared" si="7"/>
        <v>0.12688439062499995</v>
      </c>
      <c r="G21" s="235">
        <f t="shared" si="7"/>
        <v>0.12751881257812495</v>
      </c>
      <c r="H21" s="235">
        <f t="shared" si="7"/>
        <v>0.12815640664101555</v>
      </c>
      <c r="I21" s="235">
        <f t="shared" si="7"/>
        <v>0.1287971886742206</v>
      </c>
      <c r="J21" s="235">
        <f t="shared" si="7"/>
        <v>0.12944117461759169</v>
      </c>
      <c r="K21" s="235">
        <f t="shared" si="7"/>
        <v>0.13008838049067964</v>
      </c>
      <c r="L21" s="235">
        <f t="shared" si="7"/>
        <v>0.13073882239313303</v>
      </c>
      <c r="M21" s="235">
        <f t="shared" si="7"/>
        <v>0.13139251650509867</v>
      </c>
      <c r="N21" s="235">
        <f t="shared" si="7"/>
        <v>0.13204947908762416</v>
      </c>
      <c r="O21" s="235">
        <f t="shared" si="7"/>
        <v>0.13270972648306226</v>
      </c>
      <c r="P21" s="235">
        <f t="shared" si="7"/>
        <v>0.13337327511547756</v>
      </c>
      <c r="Q21" s="235">
        <f t="shared" si="7"/>
        <v>0.13404014149105492</v>
      </c>
      <c r="R21" s="235">
        <f t="shared" si="7"/>
        <v>0.13471034219851019</v>
      </c>
      <c r="S21" s="235">
        <f t="shared" si="7"/>
        <v>0.13538389390950273</v>
      </c>
      <c r="T21" s="235">
        <f t="shared" si="7"/>
        <v>0.13606081337905024</v>
      </c>
      <c r="U21" s="235">
        <f t="shared" si="7"/>
        <v>0.13674111744594547</v>
      </c>
      <c r="V21" s="235">
        <f t="shared" si="7"/>
        <v>0.13742482303317519</v>
      </c>
      <c r="W21" s="235">
        <f t="shared" si="7"/>
        <v>0.13811194714834105</v>
      </c>
      <c r="X21" s="235">
        <f t="shared" si="7"/>
        <v>0.13880250688408274</v>
      </c>
      <c r="Y21" s="235">
        <f t="shared" si="7"/>
        <v>0.13949651941850313</v>
      </c>
      <c r="Z21" s="235">
        <f t="shared" si="7"/>
        <v>0.14019400201559565</v>
      </c>
      <c r="AA21" s="235">
        <f t="shared" si="7"/>
        <v>0.14089497202567361</v>
      </c>
      <c r="AB21" s="235">
        <f t="shared" si="7"/>
        <v>0.14159944688580195</v>
      </c>
      <c r="AC21" s="235">
        <f t="shared" si="7"/>
        <v>0.14230744412023094</v>
      </c>
      <c r="AD21" s="235">
        <f t="shared" si="7"/>
        <v>0.14301898134083207</v>
      </c>
      <c r="AE21" s="235">
        <f t="shared" si="7"/>
        <v>0.14373407624753623</v>
      </c>
      <c r="AF21" s="235">
        <f t="shared" si="7"/>
        <v>0.14445274662877389</v>
      </c>
      <c r="AG21" s="235">
        <f t="shared" si="7"/>
        <v>0.14517501036191774</v>
      </c>
      <c r="AH21" s="235">
        <f t="shared" si="7"/>
        <v>0.14590088541372731</v>
      </c>
      <c r="AI21" s="235">
        <f t="shared" si="7"/>
        <v>0.14663038984079593</v>
      </c>
      <c r="AJ21" s="235">
        <f t="shared" si="7"/>
        <v>0.14736354178999989</v>
      </c>
      <c r="AK21" s="235">
        <f t="shared" si="7"/>
        <v>0.14810035949894987</v>
      </c>
      <c r="AL21" s="234">
        <f t="shared" si="7"/>
        <v>0.14884086129644461</v>
      </c>
    </row>
    <row r="22" spans="2:38" x14ac:dyDescent="0.25">
      <c r="B22" s="233"/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1"/>
    </row>
    <row r="23" spans="2:38" x14ac:dyDescent="0.25">
      <c r="B23" s="230" t="s">
        <v>133</v>
      </c>
      <c r="C23" s="229">
        <f t="shared" ref="C23:AL23" si="8">C21*C14</f>
        <v>1995912.125</v>
      </c>
      <c r="D23" s="229">
        <f t="shared" si="8"/>
        <v>2046009.5193374997</v>
      </c>
      <c r="E23" s="229">
        <f t="shared" si="8"/>
        <v>2097364.3582728705</v>
      </c>
      <c r="F23" s="229">
        <f t="shared" si="8"/>
        <v>2150008.2036655196</v>
      </c>
      <c r="G23" s="229">
        <f t="shared" si="8"/>
        <v>2203973.4095775243</v>
      </c>
      <c r="H23" s="229">
        <f t="shared" si="8"/>
        <v>2259293.1421579197</v>
      </c>
      <c r="I23" s="229">
        <f t="shared" si="8"/>
        <v>2316001.4000260835</v>
      </c>
      <c r="J23" s="229">
        <f t="shared" si="8"/>
        <v>2374133.0351667381</v>
      </c>
      <c r="K23" s="229">
        <f t="shared" si="8"/>
        <v>2433723.7743494231</v>
      </c>
      <c r="L23" s="229">
        <f t="shared" si="8"/>
        <v>2494810.2410855936</v>
      </c>
      <c r="M23" s="229">
        <f t="shared" si="8"/>
        <v>2557429.9781368417</v>
      </c>
      <c r="N23" s="229">
        <f t="shared" si="8"/>
        <v>2621621.4705880764</v>
      </c>
      <c r="O23" s="229">
        <f t="shared" si="8"/>
        <v>2687424.1694998364</v>
      </c>
      <c r="P23" s="229">
        <f t="shared" si="8"/>
        <v>2754878.5161542823</v>
      </c>
      <c r="Q23" s="229">
        <f t="shared" si="8"/>
        <v>2824025.9669097546</v>
      </c>
      <c r="R23" s="229">
        <f t="shared" si="8"/>
        <v>2894909.018679189</v>
      </c>
      <c r="S23" s="229">
        <f t="shared" si="8"/>
        <v>2967571.2350480366</v>
      </c>
      <c r="T23" s="229">
        <f t="shared" si="8"/>
        <v>3042057.2730477424</v>
      </c>
      <c r="U23" s="229">
        <f t="shared" si="8"/>
        <v>3118412.9106012401</v>
      </c>
      <c r="V23" s="229">
        <f t="shared" si="8"/>
        <v>3196685.0746573312</v>
      </c>
      <c r="W23" s="229">
        <f t="shared" si="8"/>
        <v>3276921.8700312297</v>
      </c>
      <c r="X23" s="229">
        <f t="shared" si="8"/>
        <v>3359172.6089690132</v>
      </c>
      <c r="Y23" s="229">
        <f t="shared" si="8"/>
        <v>3443487.8414541348</v>
      </c>
      <c r="Z23" s="229">
        <f t="shared" si="8"/>
        <v>3529919.3862746339</v>
      </c>
      <c r="AA23" s="229">
        <f t="shared" si="8"/>
        <v>3618520.362870127</v>
      </c>
      <c r="AB23" s="229">
        <f t="shared" si="8"/>
        <v>3709345.2239781665</v>
      </c>
      <c r="AC23" s="229">
        <f t="shared" si="8"/>
        <v>3802449.7891000179</v>
      </c>
      <c r="AD23" s="229">
        <f t="shared" si="8"/>
        <v>3897891.278806428</v>
      </c>
      <c r="AE23" s="229">
        <f t="shared" si="8"/>
        <v>3995728.3499044692</v>
      </c>
      <c r="AF23" s="229">
        <f t="shared" si="8"/>
        <v>4096021.1314870706</v>
      </c>
      <c r="AG23" s="229">
        <f t="shared" si="8"/>
        <v>4198831.2618873958</v>
      </c>
      <c r="AH23" s="229">
        <f t="shared" si="8"/>
        <v>4304221.9265607689</v>
      </c>
      <c r="AI23" s="229">
        <f t="shared" si="8"/>
        <v>4412257.8969174437</v>
      </c>
      <c r="AJ23" s="229">
        <f t="shared" si="8"/>
        <v>4523005.5701300707</v>
      </c>
      <c r="AK23" s="229">
        <f t="shared" si="8"/>
        <v>4636533.0099403355</v>
      </c>
      <c r="AL23" s="228">
        <f t="shared" si="8"/>
        <v>4752909.9884898374</v>
      </c>
    </row>
    <row r="24" spans="2:38" x14ac:dyDescent="0.25">
      <c r="B24" s="227" t="s">
        <v>134</v>
      </c>
      <c r="C24" s="226">
        <f t="shared" ref="C24:AL24" si="9">C21*C19</f>
        <v>261126.25</v>
      </c>
      <c r="D24" s="226">
        <f t="shared" si="9"/>
        <v>262431.88124999998</v>
      </c>
      <c r="E24" s="226">
        <f t="shared" si="9"/>
        <v>263744.04065624991</v>
      </c>
      <c r="F24" s="226">
        <f t="shared" si="9"/>
        <v>265062.76085953118</v>
      </c>
      <c r="G24" s="226">
        <f t="shared" si="9"/>
        <v>266388.07466382877</v>
      </c>
      <c r="H24" s="226">
        <f t="shared" si="9"/>
        <v>267720.01503714791</v>
      </c>
      <c r="I24" s="226">
        <f t="shared" si="9"/>
        <v>269058.61511233356</v>
      </c>
      <c r="J24" s="226">
        <f t="shared" si="9"/>
        <v>270403.9081878952</v>
      </c>
      <c r="K24" s="226">
        <f t="shared" si="9"/>
        <v>271755.92772883468</v>
      </c>
      <c r="L24" s="226">
        <f t="shared" si="9"/>
        <v>273114.70736747881</v>
      </c>
      <c r="M24" s="226">
        <f t="shared" si="9"/>
        <v>274480.28090431617</v>
      </c>
      <c r="N24" s="226">
        <f t="shared" si="9"/>
        <v>275852.68230883771</v>
      </c>
      <c r="O24" s="226">
        <f t="shared" si="9"/>
        <v>277231.94572038186</v>
      </c>
      <c r="P24" s="226">
        <f t="shared" si="9"/>
        <v>278618.10544898378</v>
      </c>
      <c r="Q24" s="226">
        <f t="shared" si="9"/>
        <v>280011.19597622863</v>
      </c>
      <c r="R24" s="226">
        <f t="shared" si="9"/>
        <v>281411.25195610977</v>
      </c>
      <c r="S24" s="226">
        <f t="shared" si="9"/>
        <v>282818.30821589031</v>
      </c>
      <c r="T24" s="226">
        <f t="shared" si="9"/>
        <v>284232.39975696971</v>
      </c>
      <c r="U24" s="226">
        <f t="shared" si="9"/>
        <v>285653.56175575452</v>
      </c>
      <c r="V24" s="226">
        <f t="shared" si="9"/>
        <v>287081.82956453331</v>
      </c>
      <c r="W24" s="226">
        <f t="shared" si="9"/>
        <v>288517.2387123559</v>
      </c>
      <c r="X24" s="226">
        <f t="shared" si="9"/>
        <v>289959.82490591769</v>
      </c>
      <c r="Y24" s="226">
        <f t="shared" si="9"/>
        <v>291409.62403044722</v>
      </c>
      <c r="Z24" s="226">
        <f t="shared" si="9"/>
        <v>292866.67215059948</v>
      </c>
      <c r="AA24" s="226">
        <f t="shared" si="9"/>
        <v>294331.00551135244</v>
      </c>
      <c r="AB24" s="226">
        <f t="shared" si="9"/>
        <v>2685282.454946389</v>
      </c>
      <c r="AC24" s="226">
        <f t="shared" si="9"/>
        <v>2750899.3545224932</v>
      </c>
      <c r="AD24" s="226">
        <f t="shared" si="9"/>
        <v>2818154.3198277429</v>
      </c>
      <c r="AE24" s="226">
        <f t="shared" si="9"/>
        <v>2887088.421719688</v>
      </c>
      <c r="AF24" s="226">
        <f t="shared" si="9"/>
        <v>2957743.7617114419</v>
      </c>
      <c r="AG24" s="226">
        <f t="shared" si="9"/>
        <v>3030163.4978400217</v>
      </c>
      <c r="AH24" s="226">
        <f t="shared" si="9"/>
        <v>3104391.8711839775</v>
      </c>
      <c r="AI24" s="226">
        <f t="shared" si="9"/>
        <v>3180474.2330466076</v>
      </c>
      <c r="AJ24" s="226">
        <f t="shared" si="9"/>
        <v>3258457.0728214681</v>
      </c>
      <c r="AK24" s="226">
        <f t="shared" si="9"/>
        <v>3338388.0465573049</v>
      </c>
      <c r="AL24" s="225">
        <f t="shared" si="9"/>
        <v>4752909.9884898374</v>
      </c>
    </row>
    <row r="25" spans="2:38" x14ac:dyDescent="0.25">
      <c r="B25" s="224" t="s">
        <v>135</v>
      </c>
      <c r="C25" s="223">
        <f t="shared" ref="C25:AL25" si="10">C23-C24</f>
        <v>1734785.875</v>
      </c>
      <c r="D25" s="223">
        <f t="shared" si="10"/>
        <v>1783577.6380874999</v>
      </c>
      <c r="E25" s="223">
        <f t="shared" si="10"/>
        <v>1833620.3176166206</v>
      </c>
      <c r="F25" s="223">
        <f t="shared" si="10"/>
        <v>1884945.4428059885</v>
      </c>
      <c r="G25" s="223">
        <f t="shared" si="10"/>
        <v>1937585.3349136955</v>
      </c>
      <c r="H25" s="223">
        <f t="shared" si="10"/>
        <v>1991573.1271207719</v>
      </c>
      <c r="I25" s="223">
        <f t="shared" si="10"/>
        <v>2046942.7849137499</v>
      </c>
      <c r="J25" s="223">
        <f t="shared" si="10"/>
        <v>2103729.126978843</v>
      </c>
      <c r="K25" s="223">
        <f t="shared" si="10"/>
        <v>2161967.8466205886</v>
      </c>
      <c r="L25" s="223">
        <f t="shared" si="10"/>
        <v>2221695.5337181147</v>
      </c>
      <c r="M25" s="223">
        <f t="shared" si="10"/>
        <v>2282949.6972325253</v>
      </c>
      <c r="N25" s="223">
        <f t="shared" si="10"/>
        <v>2345768.7882792386</v>
      </c>
      <c r="O25" s="223">
        <f t="shared" si="10"/>
        <v>2410192.2237794544</v>
      </c>
      <c r="P25" s="223">
        <f t="shared" si="10"/>
        <v>2476260.4107052987</v>
      </c>
      <c r="Q25" s="223">
        <f t="shared" si="10"/>
        <v>2544014.7709335261</v>
      </c>
      <c r="R25" s="223">
        <f t="shared" si="10"/>
        <v>2613497.7667230791</v>
      </c>
      <c r="S25" s="223">
        <f t="shared" si="10"/>
        <v>2684752.926832146</v>
      </c>
      <c r="T25" s="223">
        <f t="shared" si="10"/>
        <v>2757824.8732907725</v>
      </c>
      <c r="U25" s="223">
        <f t="shared" si="10"/>
        <v>2832759.3488454856</v>
      </c>
      <c r="V25" s="223">
        <f t="shared" si="10"/>
        <v>2909603.245092798</v>
      </c>
      <c r="W25" s="223">
        <f t="shared" si="10"/>
        <v>2988404.6313188737</v>
      </c>
      <c r="X25" s="223">
        <f t="shared" si="10"/>
        <v>3069212.7840630957</v>
      </c>
      <c r="Y25" s="223">
        <f t="shared" si="10"/>
        <v>3152078.2174236877</v>
      </c>
      <c r="Z25" s="223">
        <f t="shared" si="10"/>
        <v>3237052.7141240346</v>
      </c>
      <c r="AA25" s="223">
        <f t="shared" si="10"/>
        <v>3324189.3573587746</v>
      </c>
      <c r="AB25" s="223">
        <f t="shared" si="10"/>
        <v>1024062.7690317775</v>
      </c>
      <c r="AC25" s="223">
        <f t="shared" si="10"/>
        <v>1051550.4345775247</v>
      </c>
      <c r="AD25" s="223">
        <f t="shared" si="10"/>
        <v>1079736.9589786851</v>
      </c>
      <c r="AE25" s="223">
        <f t="shared" si="10"/>
        <v>1108639.9281847812</v>
      </c>
      <c r="AF25" s="223">
        <f t="shared" si="10"/>
        <v>1138277.3697756287</v>
      </c>
      <c r="AG25" s="223">
        <f t="shared" si="10"/>
        <v>1168667.764047374</v>
      </c>
      <c r="AH25" s="223">
        <f t="shared" si="10"/>
        <v>1199830.0553767914</v>
      </c>
      <c r="AI25" s="223">
        <f t="shared" si="10"/>
        <v>1231783.6638708361</v>
      </c>
      <c r="AJ25" s="223">
        <f t="shared" si="10"/>
        <v>1264548.4973086026</v>
      </c>
      <c r="AK25" s="223">
        <f t="shared" si="10"/>
        <v>1298144.9633830306</v>
      </c>
      <c r="AL25" s="222">
        <f t="shared" si="10"/>
        <v>0</v>
      </c>
    </row>
    <row r="27" spans="2:38" x14ac:dyDescent="0.25">
      <c r="C27" s="221"/>
      <c r="D27" s="221"/>
    </row>
    <row r="29" spans="2:38" x14ac:dyDescent="0.25">
      <c r="C29" s="220"/>
      <c r="E29" s="2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Summary</vt:lpstr>
      <vt:lpstr>Proforma I&amp;E</vt:lpstr>
      <vt:lpstr>Unit Mix &amp; RR</vt:lpstr>
      <vt:lpstr>Development Budget</vt:lpstr>
      <vt:lpstr>421(a) Abatement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Petrovic</dc:creator>
  <cp:lastModifiedBy>Ariel Taieb</cp:lastModifiedBy>
  <dcterms:created xsi:type="dcterms:W3CDTF">2024-07-01T13:40:02Z</dcterms:created>
  <dcterms:modified xsi:type="dcterms:W3CDTF">2024-09-09T16:24:51Z</dcterms:modified>
</cp:coreProperties>
</file>