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owastate-my.sharepoint.com/personal/markmw_iastate_edu/Documents/Dropbox/Research/techno-economics/GrandRiverBasin/Manuscript/Two Sites Analysis/"/>
    </mc:Choice>
  </mc:AlternateContent>
  <xr:revisionPtr revIDLastSave="83" documentId="8_{AA74A1CF-5D06-47C5-A447-3E7ABB73E992}" xr6:coauthVersionLast="47" xr6:coauthVersionMax="47" xr10:uidLastSave="{9966C845-AE98-1049-81AC-2E58FB1F03C3}"/>
  <bookViews>
    <workbookView xWindow="71520" yWindow="2780" windowWidth="42240" windowHeight="24140" tabRatio="724" activeTab="13" xr2:uid="{00000000-000D-0000-FFFF-FFFF00000000}"/>
  </bookViews>
  <sheets>
    <sheet name="Start" sheetId="22" r:id="rId1"/>
    <sheet name="LCA sce (2)" sheetId="36" r:id="rId2"/>
    <sheet name="Scenarios" sheetId="24" r:id="rId3"/>
    <sheet name="Farmgate scenarios plots" sheetId="33" r:id="rId4"/>
    <sheet name="plots Farmgate feed prices" sheetId="35" r:id="rId5"/>
    <sheet name="Base Case Analysis" sheetId="26" r:id="rId6"/>
    <sheet name="DCFROR" sheetId="10" r:id="rId7"/>
    <sheet name="Mass &amp; Energy" sheetId="7" r:id="rId8"/>
    <sheet name="Operating Costs" sheetId="11" r:id="rId9"/>
    <sheet name="Capital Cost" sheetId="8" r:id="rId10"/>
    <sheet name="Sheet1" sheetId="37" r:id="rId11"/>
    <sheet name="Assumption tables" sheetId="30" r:id="rId12"/>
    <sheet name="Sensitivity AD" sheetId="27" r:id="rId13"/>
    <sheet name="LCA sce" sheetId="31" r:id="rId14"/>
    <sheet name="LCA AD Farm" sheetId="28" r:id="rId15"/>
    <sheet name="Labor Costs" sheetId="9" r:id="rId16"/>
  </sheets>
  <externalReferences>
    <externalReference r:id="rId17"/>
    <externalReference r:id="rId18"/>
  </externalReferences>
  <definedNames>
    <definedName name="_xlnm._FilterDatabase" localSheetId="13" hidden="1">'LCA sce'!$A$30:$J$36</definedName>
    <definedName name="_xlnm._FilterDatabase" localSheetId="4" hidden="1">'plots Farmgate feed prices'!$A$3:$E$100</definedName>
    <definedName name="_xlnm._FilterDatabase" localSheetId="2" hidden="1">Scenarios!$A$1:$K$49</definedName>
    <definedName name="_xlnm._FilterDatabase" localSheetId="12" hidden="1">'Sensitivity AD'!$A$2:$J$12</definedName>
    <definedName name="CB_1e003f73fdf44213a2b93b8ba41c5d48" localSheetId="6" hidden="1">DCFROR!$F$7</definedName>
    <definedName name="CB_37740acd12bc42fab55764da07ec9b99" localSheetId="6" hidden="1">DCFROR!$B$5</definedName>
    <definedName name="CB_46eb9b6fe5ee444fa5876dac6178b837" localSheetId="6" hidden="1">DCFROR!$F$2</definedName>
    <definedName name="CB_b5888a5a03cf47fc8a59226bc4ad992d" localSheetId="6" hidden="1">DCFROR!$B$38</definedName>
    <definedName name="CB_e5b6dfaf7aa94f07bfaf42129adba750" localSheetId="6" hidden="1">DCFROR!$F$6</definedName>
    <definedName name="CBx_Sheet_Guid" localSheetId="6" hidden="1">"'95d4ef2f-584f-4037-842e-c6bb19cfcb52"</definedName>
    <definedName name="CBx_StorageType" localSheetId="6" hidden="1">1</definedName>
    <definedName name="cc_per_gal">2.54^3*231</definedName>
    <definedName name="Cost_Year_for_Analysis" localSheetId="8">[1]DCFROR!$B$34</definedName>
    <definedName name="Cost_Year_for_Analysis">DCFROR!$B$34</definedName>
    <definedName name="CTwork" localSheetId="8">#REF!</definedName>
    <definedName name="E_Co">2824</definedName>
    <definedName name="E_Cu">4000</definedName>
    <definedName name="E_Fe">3125</definedName>
    <definedName name="E_Ni">1720</definedName>
    <definedName name="k0_Co">272.3</definedName>
    <definedName name="k0_Cu">0</definedName>
    <definedName name="k0_Fe">3576</definedName>
    <definedName name="k0_Ni">59.91</definedName>
    <definedName name="kg_per_lb">0.4535924</definedName>
    <definedName name="n_Co">0.25</definedName>
    <definedName name="n_Cu">1</definedName>
    <definedName name="n_Fe">0.9</definedName>
    <definedName name="n_Ni">1.3</definedName>
    <definedName name="OPERATING_HOURS" localSheetId="8">[2]DCFROR!$B$34</definedName>
    <definedName name="OPERATINGHours">[1]DCFROR!$B$33</definedName>
    <definedName name="_xlnm.Print_Area" localSheetId="15">'Labor Costs'!#REF!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5" l="1"/>
  <c r="B15" i="35"/>
  <c r="M12" i="35"/>
  <c r="L12" i="35"/>
  <c r="K12" i="35"/>
  <c r="J12" i="35"/>
  <c r="I12" i="35"/>
  <c r="H12" i="35"/>
  <c r="M11" i="35"/>
  <c r="L11" i="35"/>
  <c r="K11" i="35"/>
  <c r="J11" i="35"/>
  <c r="I11" i="35"/>
  <c r="H11" i="35"/>
  <c r="M10" i="35"/>
  <c r="L10" i="35"/>
  <c r="K10" i="35"/>
  <c r="J10" i="35"/>
  <c r="I10" i="35"/>
  <c r="H10" i="35"/>
  <c r="M9" i="35"/>
  <c r="L9" i="35"/>
  <c r="K9" i="35"/>
  <c r="J9" i="35"/>
  <c r="I9" i="35"/>
  <c r="H9" i="35"/>
  <c r="M8" i="35"/>
  <c r="L8" i="35"/>
  <c r="K8" i="35"/>
  <c r="J8" i="35"/>
  <c r="I8" i="35"/>
  <c r="H8" i="35"/>
  <c r="M7" i="35"/>
  <c r="L7" i="35"/>
  <c r="K7" i="35"/>
  <c r="J7" i="35"/>
  <c r="I7" i="35"/>
  <c r="H7" i="35"/>
  <c r="M6" i="35"/>
  <c r="L6" i="35"/>
  <c r="K6" i="35"/>
  <c r="J6" i="35"/>
  <c r="I6" i="35"/>
  <c r="H6" i="35"/>
  <c r="M5" i="35"/>
  <c r="L5" i="35"/>
  <c r="K5" i="35"/>
  <c r="J5" i="35"/>
  <c r="I5" i="35"/>
  <c r="H5" i="35"/>
  <c r="F6" i="35"/>
  <c r="G6" i="35"/>
  <c r="F7" i="35"/>
  <c r="G7" i="35"/>
  <c r="F8" i="35"/>
  <c r="G8" i="35"/>
  <c r="F9" i="35"/>
  <c r="G9" i="35"/>
  <c r="F10" i="35"/>
  <c r="G10" i="35"/>
  <c r="F11" i="35"/>
  <c r="G11" i="35"/>
  <c r="F12" i="35"/>
  <c r="G12" i="35"/>
  <c r="G5" i="35"/>
  <c r="F5" i="35"/>
  <c r="E6" i="35"/>
  <c r="E7" i="35"/>
  <c r="E8" i="35"/>
  <c r="E9" i="35"/>
  <c r="E10" i="35"/>
  <c r="E11" i="35"/>
  <c r="E12" i="35"/>
  <c r="E5" i="35"/>
  <c r="D6" i="35"/>
  <c r="D7" i="35"/>
  <c r="D8" i="35"/>
  <c r="D9" i="35"/>
  <c r="D10" i="35"/>
  <c r="D11" i="35"/>
  <c r="D12" i="35"/>
  <c r="D5" i="35"/>
  <c r="C6" i="35"/>
  <c r="C7" i="35"/>
  <c r="C8" i="35"/>
  <c r="C9" i="35"/>
  <c r="C10" i="35"/>
  <c r="C11" i="35"/>
  <c r="C12" i="35"/>
  <c r="C5" i="35"/>
  <c r="B6" i="35"/>
  <c r="B7" i="35"/>
  <c r="B8" i="35"/>
  <c r="B9" i="35"/>
  <c r="B10" i="35"/>
  <c r="B11" i="35"/>
  <c r="B12" i="35"/>
  <c r="B5" i="35"/>
  <c r="BF86" i="7"/>
  <c r="BG86" i="7"/>
  <c r="BH86" i="7"/>
  <c r="BG84" i="7"/>
  <c r="BH84" i="7"/>
  <c r="BG85" i="7"/>
  <c r="BH85" i="7"/>
  <c r="BF85" i="7"/>
  <c r="BF84" i="7"/>
  <c r="BB84" i="7"/>
  <c r="BC84" i="7"/>
  <c r="BD84" i="7"/>
  <c r="BB85" i="7"/>
  <c r="BC85" i="7"/>
  <c r="BD85" i="7"/>
  <c r="BB86" i="7"/>
  <c r="BC86" i="7"/>
  <c r="BD86" i="7"/>
  <c r="BA85" i="7"/>
  <c r="BA86" i="7"/>
  <c r="BA84" i="7"/>
  <c r="BF55" i="7"/>
  <c r="BG55" i="7"/>
  <c r="BG56" i="7"/>
  <c r="BF56" i="7"/>
  <c r="BD79" i="7"/>
  <c r="BC79" i="7"/>
  <c r="BC80" i="7" s="1"/>
  <c r="BB79" i="7"/>
  <c r="BD78" i="7"/>
  <c r="BC78" i="7"/>
  <c r="BB78" i="7"/>
  <c r="BD67" i="7"/>
  <c r="BC67" i="7"/>
  <c r="BB67" i="7"/>
  <c r="BD66" i="7"/>
  <c r="BC66" i="7"/>
  <c r="BB66" i="7"/>
  <c r="J18" i="27"/>
  <c r="J19" i="27"/>
  <c r="J20" i="27"/>
  <c r="J21" i="27"/>
  <c r="J22" i="27"/>
  <c r="J23" i="27"/>
  <c r="J24" i="27"/>
  <c r="J25" i="27"/>
  <c r="J26" i="27"/>
  <c r="J17" i="27"/>
  <c r="D22" i="33"/>
  <c r="D23" i="33"/>
  <c r="D24" i="33"/>
  <c r="D25" i="33"/>
  <c r="D26" i="33"/>
  <c r="D27" i="33"/>
  <c r="D28" i="33"/>
  <c r="D29" i="33"/>
  <c r="D32" i="33"/>
  <c r="D33" i="33"/>
  <c r="D34" i="33"/>
  <c r="D35" i="33"/>
  <c r="D36" i="33"/>
  <c r="D37" i="33"/>
  <c r="D38" i="33"/>
  <c r="D39" i="33"/>
  <c r="D42" i="33"/>
  <c r="D43" i="33"/>
  <c r="D44" i="33"/>
  <c r="D45" i="33"/>
  <c r="D46" i="33"/>
  <c r="D47" i="33"/>
  <c r="D48" i="33"/>
  <c r="D49" i="33"/>
  <c r="D52" i="33"/>
  <c r="D53" i="33"/>
  <c r="D54" i="33"/>
  <c r="D55" i="33"/>
  <c r="D56" i="33"/>
  <c r="D57" i="33"/>
  <c r="D58" i="33"/>
  <c r="D59" i="33"/>
  <c r="D12" i="33"/>
  <c r="D13" i="33"/>
  <c r="D14" i="33"/>
  <c r="D15" i="33"/>
  <c r="D16" i="33"/>
  <c r="D17" i="33"/>
  <c r="D18" i="33"/>
  <c r="D19" i="33"/>
  <c r="D3" i="33"/>
  <c r="D4" i="33"/>
  <c r="D5" i="33"/>
  <c r="D6" i="33"/>
  <c r="D7" i="33"/>
  <c r="D8" i="33"/>
  <c r="D9" i="33"/>
  <c r="D2" i="33"/>
  <c r="AG50" i="7"/>
  <c r="AG49" i="7"/>
  <c r="AT56" i="7"/>
  <c r="AU56" i="7"/>
  <c r="AV56" i="7"/>
  <c r="AU55" i="7"/>
  <c r="AV55" i="7"/>
  <c r="AT55" i="7"/>
  <c r="BE55" i="7" s="1"/>
  <c r="AM40" i="7"/>
  <c r="F9" i="27"/>
  <c r="N3" i="27"/>
  <c r="N5" i="27"/>
  <c r="N6" i="27"/>
  <c r="N10" i="27"/>
  <c r="N4" i="27"/>
  <c r="B96" i="26"/>
  <c r="C96" i="26"/>
  <c r="D96" i="26"/>
  <c r="E96" i="26"/>
  <c r="F96" i="26"/>
  <c r="G96" i="26"/>
  <c r="B97" i="26"/>
  <c r="C97" i="26"/>
  <c r="D97" i="26"/>
  <c r="E97" i="26"/>
  <c r="F97" i="26"/>
  <c r="G97" i="26"/>
  <c r="B98" i="26"/>
  <c r="C98" i="26"/>
  <c r="D98" i="26"/>
  <c r="E98" i="26"/>
  <c r="F98" i="26"/>
  <c r="G98" i="26"/>
  <c r="B99" i="26"/>
  <c r="C99" i="26"/>
  <c r="D99" i="26"/>
  <c r="E99" i="26"/>
  <c r="F99" i="26"/>
  <c r="G99" i="26"/>
  <c r="B100" i="26"/>
  <c r="C100" i="26"/>
  <c r="D100" i="26"/>
  <c r="E100" i="26"/>
  <c r="F100" i="26"/>
  <c r="G100" i="26"/>
  <c r="C95" i="26"/>
  <c r="D95" i="26"/>
  <c r="E95" i="26"/>
  <c r="F95" i="26"/>
  <c r="G95" i="26"/>
  <c r="A11" i="8"/>
  <c r="A10" i="8"/>
  <c r="A9" i="8"/>
  <c r="A8" i="8"/>
  <c r="A7" i="8"/>
  <c r="A6" i="8"/>
  <c r="AB85" i="7"/>
  <c r="AC85" i="7"/>
  <c r="AD85" i="7"/>
  <c r="Y35" i="7"/>
  <c r="X33" i="7"/>
  <c r="W35" i="7"/>
  <c r="BG57" i="7" l="1"/>
  <c r="BB80" i="7"/>
  <c r="BD80" i="7"/>
  <c r="BF66" i="7"/>
  <c r="BE66" i="7"/>
  <c r="BE57" i="7"/>
  <c r="BF57" i="7"/>
  <c r="BE67" i="7"/>
  <c r="BF67" i="7"/>
  <c r="BF68" i="7" s="1"/>
  <c r="BE56" i="7"/>
  <c r="F101" i="26"/>
  <c r="E101" i="26"/>
  <c r="G101" i="26"/>
  <c r="D101" i="26"/>
  <c r="C101" i="26"/>
  <c r="G40" i="8"/>
  <c r="H40" i="8" s="1"/>
  <c r="B95" i="26"/>
  <c r="B101" i="26" s="1"/>
  <c r="G38" i="8"/>
  <c r="H38" i="8" s="1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76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75" i="8"/>
  <c r="J75" i="8"/>
  <c r="J76" i="8"/>
  <c r="J77" i="8"/>
  <c r="J78" i="8"/>
  <c r="J79" i="8"/>
  <c r="J81" i="8"/>
  <c r="J83" i="8"/>
  <c r="J84" i="8"/>
  <c r="J85" i="8"/>
  <c r="J86" i="8"/>
  <c r="J87" i="8"/>
  <c r="J88" i="8"/>
  <c r="J89" i="8"/>
  <c r="K76" i="8"/>
  <c r="L76" i="8"/>
  <c r="K77" i="8"/>
  <c r="L77" i="8"/>
  <c r="K78" i="8"/>
  <c r="L78" i="8"/>
  <c r="K79" i="8"/>
  <c r="L79" i="8"/>
  <c r="K80" i="8"/>
  <c r="L80" i="8"/>
  <c r="K81" i="8"/>
  <c r="L81" i="8"/>
  <c r="K82" i="8"/>
  <c r="L82" i="8"/>
  <c r="K83" i="8"/>
  <c r="L83" i="8"/>
  <c r="K84" i="8"/>
  <c r="L84" i="8"/>
  <c r="K85" i="8"/>
  <c r="L85" i="8"/>
  <c r="K86" i="8"/>
  <c r="L86" i="8"/>
  <c r="K87" i="8"/>
  <c r="L87" i="8"/>
  <c r="K88" i="8"/>
  <c r="L88" i="8"/>
  <c r="K89" i="8"/>
  <c r="L89" i="8"/>
  <c r="L75" i="8"/>
  <c r="K75" i="8"/>
  <c r="BG67" i="7" l="1"/>
  <c r="BE68" i="7"/>
  <c r="BG66" i="7"/>
  <c r="BG68" i="7" s="1"/>
  <c r="C50" i="11"/>
  <c r="C49" i="11"/>
  <c r="C48" i="11"/>
  <c r="C47" i="11"/>
  <c r="C46" i="11"/>
  <c r="C45" i="11"/>
  <c r="C42" i="11"/>
  <c r="C43" i="11"/>
  <c r="C44" i="11"/>
  <c r="C41" i="11"/>
  <c r="D42" i="11"/>
  <c r="G41" i="11"/>
  <c r="E41" i="11"/>
  <c r="AN40" i="7"/>
  <c r="AW40" i="7" s="1"/>
  <c r="D61" i="26" s="1"/>
  <c r="AO40" i="7"/>
  <c r="H61" i="26"/>
  <c r="F61" i="26"/>
  <c r="AN41" i="7"/>
  <c r="AW41" i="7" s="1"/>
  <c r="D62" i="26" s="1"/>
  <c r="AO41" i="7"/>
  <c r="H62" i="26"/>
  <c r="F62" i="26"/>
  <c r="AN42" i="7"/>
  <c r="AW42" i="7" s="1"/>
  <c r="D63" i="26" s="1"/>
  <c r="AO42" i="7"/>
  <c r="H63" i="26"/>
  <c r="F63" i="26"/>
  <c r="AN43" i="7"/>
  <c r="AW43" i="7" s="1"/>
  <c r="D64" i="26" s="1"/>
  <c r="AO43" i="7"/>
  <c r="H64" i="26"/>
  <c r="F64" i="26"/>
  <c r="AN44" i="7"/>
  <c r="AW44" i="7" s="1"/>
  <c r="D65" i="26" s="1"/>
  <c r="AO44" i="7"/>
  <c r="H65" i="26"/>
  <c r="F65" i="26"/>
  <c r="AN45" i="7"/>
  <c r="AW45" i="7" s="1"/>
  <c r="D66" i="26" s="1"/>
  <c r="AO45" i="7"/>
  <c r="H66" i="26"/>
  <c r="F66" i="26"/>
  <c r="AN46" i="7"/>
  <c r="AW46" i="7" s="1"/>
  <c r="D67" i="26" s="1"/>
  <c r="AO46" i="7"/>
  <c r="H67" i="26"/>
  <c r="F67" i="26"/>
  <c r="AN47" i="7"/>
  <c r="AW47" i="7" s="1"/>
  <c r="D68" i="26" s="1"/>
  <c r="AO47" i="7"/>
  <c r="H68" i="26"/>
  <c r="F68" i="26"/>
  <c r="AN48" i="7"/>
  <c r="AW48" i="7" s="1"/>
  <c r="D69" i="26" s="1"/>
  <c r="AO48" i="7"/>
  <c r="H69" i="26"/>
  <c r="F69" i="26"/>
  <c r="AN49" i="7"/>
  <c r="AW49" i="7" s="1"/>
  <c r="D70" i="26" s="1"/>
  <c r="AO49" i="7"/>
  <c r="F70" i="26"/>
  <c r="AV49" i="7"/>
  <c r="C70" i="26" s="1"/>
  <c r="AM44" i="7"/>
  <c r="AV44" i="7" s="1"/>
  <c r="C65" i="26" s="1"/>
  <c r="AM48" i="7"/>
  <c r="AV48" i="7" s="1"/>
  <c r="C69" i="26" s="1"/>
  <c r="AM43" i="7"/>
  <c r="AV43" i="7" s="1"/>
  <c r="C64" i="26" s="1"/>
  <c r="AM47" i="7"/>
  <c r="AV47" i="7" s="1"/>
  <c r="C68" i="26" s="1"/>
  <c r="AM42" i="7"/>
  <c r="AV42" i="7" s="1"/>
  <c r="C63" i="26" s="1"/>
  <c r="AM46" i="7"/>
  <c r="AV46" i="7" s="1"/>
  <c r="C67" i="26" s="1"/>
  <c r="AM41" i="7"/>
  <c r="AV41" i="7" s="1"/>
  <c r="C62" i="26" s="1"/>
  <c r="AM45" i="7"/>
  <c r="AV45" i="7" s="1"/>
  <c r="C66" i="26" s="1"/>
  <c r="AV40" i="7"/>
  <c r="C61" i="26" s="1"/>
  <c r="C27" i="37"/>
  <c r="E27" i="37" s="1"/>
  <c r="C28" i="37"/>
  <c r="E28" i="37" s="1"/>
  <c r="C29" i="37"/>
  <c r="E29" i="37" s="1"/>
  <c r="C30" i="37"/>
  <c r="C31" i="37"/>
  <c r="E31" i="37" s="1"/>
  <c r="C32" i="37"/>
  <c r="E32" i="37" s="1"/>
  <c r="C33" i="37"/>
  <c r="E33" i="37" s="1"/>
  <c r="C26" i="37"/>
  <c r="E26" i="37" s="1"/>
  <c r="E30" i="37"/>
  <c r="D33" i="37"/>
  <c r="D32" i="37"/>
  <c r="D31" i="37"/>
  <c r="D30" i="37"/>
  <c r="D29" i="37"/>
  <c r="D27" i="37"/>
  <c r="D28" i="37"/>
  <c r="D26" i="37"/>
  <c r="C21" i="37"/>
  <c r="S56" i="7"/>
  <c r="AU61" i="7" s="1"/>
  <c r="G13" i="26"/>
  <c r="H12" i="26"/>
  <c r="G12" i="26"/>
  <c r="H11" i="26"/>
  <c r="G11" i="26"/>
  <c r="H10" i="26"/>
  <c r="G10" i="26"/>
  <c r="H9" i="26"/>
  <c r="G9" i="26"/>
  <c r="H8" i="26"/>
  <c r="G8" i="26"/>
  <c r="H7" i="26"/>
  <c r="G7" i="26"/>
  <c r="H6" i="26"/>
  <c r="G6" i="26"/>
  <c r="H5" i="26"/>
  <c r="G5" i="26"/>
  <c r="H4" i="26"/>
  <c r="G4" i="26"/>
  <c r="F13" i="26"/>
  <c r="E13" i="26"/>
  <c r="F12" i="26"/>
  <c r="E12" i="26"/>
  <c r="F11" i="26"/>
  <c r="E11" i="26"/>
  <c r="F10" i="26"/>
  <c r="E10" i="26"/>
  <c r="F9" i="26"/>
  <c r="E9" i="26"/>
  <c r="F8" i="26"/>
  <c r="E8" i="26"/>
  <c r="F7" i="26"/>
  <c r="E7" i="26"/>
  <c r="F6" i="26"/>
  <c r="E6" i="26"/>
  <c r="F5" i="26"/>
  <c r="E5" i="26"/>
  <c r="F4" i="26"/>
  <c r="E4" i="26"/>
  <c r="D13" i="26"/>
  <c r="D12" i="26"/>
  <c r="D11" i="26"/>
  <c r="D10" i="26"/>
  <c r="D9" i="26"/>
  <c r="D8" i="26"/>
  <c r="D7" i="26"/>
  <c r="D6" i="26"/>
  <c r="D5" i="26"/>
  <c r="D4" i="26"/>
  <c r="C13" i="26"/>
  <c r="C12" i="26"/>
  <c r="C11" i="26"/>
  <c r="C10" i="26"/>
  <c r="C9" i="26"/>
  <c r="C8" i="26"/>
  <c r="C7" i="26"/>
  <c r="C6" i="26"/>
  <c r="C5" i="26"/>
  <c r="C4" i="26"/>
  <c r="G62" i="26" l="1"/>
  <c r="AX41" i="7"/>
  <c r="E62" i="26" s="1"/>
  <c r="G68" i="26"/>
  <c r="AX47" i="7"/>
  <c r="E68" i="26" s="1"/>
  <c r="G63" i="26"/>
  <c r="AX42" i="7"/>
  <c r="E63" i="26" s="1"/>
  <c r="G66" i="26"/>
  <c r="AX45" i="7"/>
  <c r="E66" i="26" s="1"/>
  <c r="G70" i="26"/>
  <c r="AX49" i="7"/>
  <c r="E70" i="26" s="1"/>
  <c r="G65" i="26"/>
  <c r="AX44" i="7"/>
  <c r="E65" i="26" s="1"/>
  <c r="G69" i="26"/>
  <c r="AX48" i="7"/>
  <c r="E69" i="26" s="1"/>
  <c r="G61" i="26"/>
  <c r="AX40" i="7"/>
  <c r="E61" i="26" s="1"/>
  <c r="G64" i="26"/>
  <c r="AX43" i="7"/>
  <c r="E64" i="26" s="1"/>
  <c r="G67" i="26"/>
  <c r="AX46" i="7"/>
  <c r="E67" i="26" s="1"/>
  <c r="AV57" i="7"/>
  <c r="AT57" i="7"/>
  <c r="AU75" i="7"/>
  <c r="AU69" i="7"/>
  <c r="AT62" i="7"/>
  <c r="AU76" i="7"/>
  <c r="AU68" i="7"/>
  <c r="AT75" i="7"/>
  <c r="AV76" i="7"/>
  <c r="AV75" i="7"/>
  <c r="BG78" i="7"/>
  <c r="AT76" i="7"/>
  <c r="AV61" i="7"/>
  <c r="AU62" i="7"/>
  <c r="AV62" i="7"/>
  <c r="AT61" i="7"/>
  <c r="I61" i="26" l="1"/>
  <c r="J61" i="26"/>
  <c r="BG79" i="7"/>
  <c r="BF78" i="7"/>
  <c r="AV81" i="7"/>
  <c r="BE79" i="7"/>
  <c r="AT69" i="7"/>
  <c r="AU81" i="7"/>
  <c r="BF79" i="7"/>
  <c r="BE78" i="7"/>
  <c r="AT81" i="7"/>
  <c r="AT68" i="7"/>
  <c r="AV68" i="7"/>
  <c r="AV69" i="7"/>
  <c r="B14" i="37"/>
  <c r="A2" i="37"/>
  <c r="D10" i="37"/>
  <c r="T3" i="37"/>
  <c r="U3" i="37"/>
  <c r="V3" i="37"/>
  <c r="Q3" i="37"/>
  <c r="R3" i="37"/>
  <c r="S3" i="37"/>
  <c r="P3" i="37"/>
  <c r="M3" i="37"/>
  <c r="N3" i="37"/>
  <c r="O3" i="37"/>
  <c r="G3" i="37"/>
  <c r="E3" i="37"/>
  <c r="F3" i="37"/>
  <c r="H3" i="37"/>
  <c r="I3" i="37"/>
  <c r="J3" i="37"/>
  <c r="K3" i="37"/>
  <c r="L3" i="37"/>
  <c r="D3" i="37"/>
  <c r="I5" i="7"/>
  <c r="L2" i="7"/>
  <c r="I39" i="31"/>
  <c r="I40" i="31"/>
  <c r="I41" i="31"/>
  <c r="I42" i="31"/>
  <c r="I43" i="31"/>
  <c r="H39" i="31"/>
  <c r="H40" i="31"/>
  <c r="H41" i="31"/>
  <c r="H42" i="31"/>
  <c r="H43" i="31"/>
  <c r="H38" i="31"/>
  <c r="I38" i="31"/>
  <c r="D32" i="31"/>
  <c r="D33" i="31"/>
  <c r="D34" i="31"/>
  <c r="D35" i="31"/>
  <c r="D31" i="31"/>
  <c r="D36" i="36"/>
  <c r="C36" i="36"/>
  <c r="D35" i="36"/>
  <c r="C35" i="36"/>
  <c r="D34" i="36"/>
  <c r="C34" i="36"/>
  <c r="D33" i="36"/>
  <c r="C33" i="36"/>
  <c r="D32" i="36"/>
  <c r="C32" i="36"/>
  <c r="B20" i="36"/>
  <c r="I18" i="36"/>
  <c r="J18" i="36" s="1"/>
  <c r="K18" i="36" s="1"/>
  <c r="D18" i="36"/>
  <c r="H18" i="36" s="1"/>
  <c r="D17" i="36"/>
  <c r="H17" i="36" s="1"/>
  <c r="D16" i="36"/>
  <c r="C16" i="36"/>
  <c r="I15" i="36"/>
  <c r="J15" i="36" s="1"/>
  <c r="K15" i="36" s="1"/>
  <c r="D15" i="36"/>
  <c r="H15" i="36" s="1"/>
  <c r="F14" i="36"/>
  <c r="C14" i="36"/>
  <c r="D14" i="36" s="1"/>
  <c r="F13" i="36"/>
  <c r="J13" i="36" s="1"/>
  <c r="K13" i="36" s="1"/>
  <c r="D13" i="36"/>
  <c r="J12" i="36"/>
  <c r="H12" i="36"/>
  <c r="D12" i="36"/>
  <c r="D4" i="36"/>
  <c r="B4" i="36"/>
  <c r="I16" i="36" s="1"/>
  <c r="D3" i="36"/>
  <c r="B3" i="36"/>
  <c r="I17" i="36" s="1"/>
  <c r="J17" i="36" s="1"/>
  <c r="K17" i="36" s="1"/>
  <c r="D13" i="31"/>
  <c r="D15" i="31"/>
  <c r="D17" i="31"/>
  <c r="D18" i="31"/>
  <c r="D12" i="31"/>
  <c r="C14" i="31"/>
  <c r="D14" i="31" s="1"/>
  <c r="B4" i="35"/>
  <c r="C4" i="35"/>
  <c r="D4" i="35"/>
  <c r="E4" i="35"/>
  <c r="F4" i="35"/>
  <c r="G4" i="35"/>
  <c r="H4" i="35"/>
  <c r="I4" i="35"/>
  <c r="J4" i="35"/>
  <c r="K4" i="35"/>
  <c r="L4" i="35"/>
  <c r="M4" i="35"/>
  <c r="AU74" i="7" l="1"/>
  <c r="AV74" i="7"/>
  <c r="AT74" i="7"/>
  <c r="J14" i="36"/>
  <c r="K14" i="36" s="1"/>
  <c r="H14" i="36"/>
  <c r="J16" i="36"/>
  <c r="K16" i="36" s="1"/>
  <c r="K12" i="36"/>
  <c r="H16" i="36"/>
  <c r="H13" i="36"/>
  <c r="B20" i="31"/>
  <c r="J18" i="31"/>
  <c r="J17" i="31"/>
  <c r="C16" i="31"/>
  <c r="D16" i="31" s="1"/>
  <c r="J15" i="31"/>
  <c r="F14" i="31"/>
  <c r="F13" i="31"/>
  <c r="L13" i="31" s="1"/>
  <c r="L12" i="31"/>
  <c r="J12" i="31"/>
  <c r="D4" i="31"/>
  <c r="B4" i="31"/>
  <c r="K15" i="31" s="1"/>
  <c r="L15" i="31" s="1"/>
  <c r="D3" i="31"/>
  <c r="B3" i="31"/>
  <c r="D13" i="27"/>
  <c r="D14" i="27" s="1"/>
  <c r="E13" i="27"/>
  <c r="K18" i="27"/>
  <c r="K19" i="27"/>
  <c r="K20" i="27"/>
  <c r="K21" i="27"/>
  <c r="K22" i="27"/>
  <c r="K23" i="27"/>
  <c r="K24" i="27"/>
  <c r="K25" i="27"/>
  <c r="K26" i="27"/>
  <c r="K17" i="27"/>
  <c r="D41" i="28"/>
  <c r="D40" i="28"/>
  <c r="E38" i="28" s="1"/>
  <c r="M13" i="31" l="1"/>
  <c r="M15" i="31"/>
  <c r="J20" i="36"/>
  <c r="K20" i="36"/>
  <c r="K17" i="31"/>
  <c r="L17" i="31" s="1"/>
  <c r="M17" i="31" s="1"/>
  <c r="L14" i="31"/>
  <c r="M14" i="31" s="1"/>
  <c r="J14" i="31"/>
  <c r="J16" i="31"/>
  <c r="K16" i="31"/>
  <c r="L16" i="31" s="1"/>
  <c r="M16" i="31" s="1"/>
  <c r="M12" i="31"/>
  <c r="K18" i="31"/>
  <c r="L18" i="31" s="1"/>
  <c r="M18" i="31" s="1"/>
  <c r="J13" i="31"/>
  <c r="E36" i="28"/>
  <c r="E35" i="28"/>
  <c r="E33" i="28"/>
  <c r="E34" i="28"/>
  <c r="E37" i="28"/>
  <c r="D17" i="28"/>
  <c r="AA85" i="7"/>
  <c r="Z85" i="7"/>
  <c r="Y85" i="7"/>
  <c r="F18" i="9"/>
  <c r="S40" i="7"/>
  <c r="C20" i="36" l="1"/>
  <c r="M20" i="31"/>
  <c r="C20" i="31" s="1"/>
  <c r="L20" i="31"/>
  <c r="E40" i="28"/>
  <c r="B41" i="28"/>
  <c r="B20" i="28"/>
  <c r="H18" i="28"/>
  <c r="E18" i="28"/>
  <c r="I16" i="28"/>
  <c r="C16" i="28"/>
  <c r="D16" i="28" s="1"/>
  <c r="I15" i="28"/>
  <c r="J15" i="28" s="1"/>
  <c r="K15" i="28" s="1"/>
  <c r="H15" i="28"/>
  <c r="E15" i="28"/>
  <c r="F14" i="28"/>
  <c r="D14" i="28"/>
  <c r="C14" i="28"/>
  <c r="F13" i="28"/>
  <c r="J13" i="28" s="1"/>
  <c r="K13" i="28" s="1"/>
  <c r="E13" i="28"/>
  <c r="J12" i="28"/>
  <c r="H12" i="28"/>
  <c r="D12" i="28"/>
  <c r="E12" i="28" s="1"/>
  <c r="D4" i="28"/>
  <c r="B4" i="28"/>
  <c r="D3" i="28"/>
  <c r="B3" i="28"/>
  <c r="I18" i="28" s="1"/>
  <c r="J18" i="28" s="1"/>
  <c r="K18" i="28" s="1"/>
  <c r="E14" i="28" l="1"/>
  <c r="H16" i="28"/>
  <c r="J16" i="28"/>
  <c r="K16" i="28" s="1"/>
  <c r="E16" i="28"/>
  <c r="J17" i="28"/>
  <c r="K17" i="28" s="1"/>
  <c r="H14" i="28"/>
  <c r="E17" i="28"/>
  <c r="H13" i="28"/>
  <c r="J14" i="28"/>
  <c r="K14" i="28" s="1"/>
  <c r="H17" i="28"/>
  <c r="I17" i="28"/>
  <c r="K12" i="28"/>
  <c r="K20" i="28" l="1"/>
  <c r="J20" i="28"/>
  <c r="C58" i="28" l="1"/>
  <c r="D16" i="26" l="1"/>
  <c r="C16" i="26"/>
  <c r="P15" i="27" l="1"/>
  <c r="P14" i="27"/>
  <c r="P13" i="27"/>
  <c r="P12" i="27"/>
  <c r="P11" i="27"/>
  <c r="P10" i="27"/>
  <c r="P7" i="27"/>
  <c r="P8" i="27"/>
  <c r="P9" i="27"/>
  <c r="P6" i="27"/>
  <c r="J8" i="27"/>
  <c r="J5" i="27"/>
  <c r="J3" i="27"/>
  <c r="J4" i="27"/>
  <c r="J7" i="27"/>
  <c r="J10" i="27"/>
  <c r="J11" i="27"/>
  <c r="J6" i="27"/>
  <c r="J12" i="27"/>
  <c r="J9" i="27"/>
  <c r="H34" i="11" l="1"/>
  <c r="X76" i="7" l="1"/>
  <c r="U81" i="7"/>
  <c r="U80" i="7"/>
  <c r="U75" i="7"/>
  <c r="W70" i="7"/>
  <c r="W69" i="7"/>
  <c r="W68" i="7"/>
  <c r="X67" i="7"/>
  <c r="X66" i="7"/>
  <c r="X65" i="7"/>
  <c r="X59" i="7"/>
  <c r="X58" i="7"/>
  <c r="U58" i="7"/>
  <c r="U57" i="7"/>
  <c r="W52" i="7"/>
  <c r="W50" i="7" s="1"/>
  <c r="W46" i="7"/>
  <c r="W43" i="7"/>
  <c r="AK25" i="7"/>
  <c r="AK24" i="7"/>
  <c r="AB37" i="7" l="1"/>
  <c r="AD37" i="7"/>
  <c r="AC37" i="7"/>
  <c r="AB36" i="7"/>
  <c r="AC36" i="7"/>
  <c r="AD36" i="7"/>
  <c r="W41" i="7"/>
  <c r="W37" i="7" s="1"/>
  <c r="B5" i="11" s="1"/>
  <c r="C71" i="7" l="1"/>
  <c r="C70" i="7" l="1"/>
  <c r="C72" i="7" s="1"/>
  <c r="B19" i="11"/>
  <c r="E19" i="11" s="1"/>
  <c r="E33" i="11"/>
  <c r="E34" i="11"/>
  <c r="K10" i="8"/>
  <c r="M3" i="8"/>
  <c r="B42" i="8"/>
  <c r="E35" i="11" l="1"/>
  <c r="K8" i="8"/>
  <c r="K12" i="8"/>
  <c r="K15" i="8"/>
  <c r="K16" i="8"/>
  <c r="K25" i="8"/>
  <c r="X35" i="7" l="1"/>
  <c r="N3" i="11" l="1"/>
  <c r="J31" i="8"/>
  <c r="K31" i="8" s="1"/>
  <c r="J32" i="8"/>
  <c r="K32" i="8" s="1"/>
  <c r="P28" i="8"/>
  <c r="S28" i="8" s="1"/>
  <c r="O23" i="8"/>
  <c r="O24" i="8" s="1"/>
  <c r="P20" i="8"/>
  <c r="S20" i="8" l="1"/>
  <c r="P26" i="8"/>
  <c r="O32" i="8" s="1"/>
  <c r="P32" i="8" s="1"/>
  <c r="O31" i="8" l="1"/>
  <c r="P31" i="8" s="1"/>
  <c r="S26" i="8"/>
  <c r="O34" i="8"/>
  <c r="P34" i="8" s="1"/>
  <c r="O33" i="8"/>
  <c r="P33" i="8" s="1"/>
  <c r="L4" i="7" l="1"/>
  <c r="C3" i="7" l="1"/>
  <c r="AB43" i="7" l="1"/>
  <c r="AB42" i="7"/>
  <c r="AD43" i="7"/>
  <c r="AC42" i="7"/>
  <c r="AC43" i="7"/>
  <c r="AD42" i="7"/>
  <c r="W31" i="7"/>
  <c r="X32" i="7"/>
  <c r="Y30" i="7"/>
  <c r="X31" i="7"/>
  <c r="Y32" i="7"/>
  <c r="W30" i="7"/>
  <c r="Y31" i="7"/>
  <c r="W32" i="7"/>
  <c r="X30" i="7"/>
  <c r="K23" i="7"/>
  <c r="K25" i="7" s="1"/>
  <c r="AG42" i="7" l="1"/>
  <c r="AD48" i="7"/>
  <c r="AF43" i="7"/>
  <c r="AC49" i="7"/>
  <c r="AE42" i="7"/>
  <c r="AB48" i="7"/>
  <c r="AF42" i="7"/>
  <c r="AC48" i="7"/>
  <c r="AG43" i="7"/>
  <c r="AD49" i="7"/>
  <c r="AE43" i="7"/>
  <c r="AB49" i="7"/>
  <c r="L10" i="7"/>
  <c r="R6" i="24"/>
  <c r="Q6" i="24"/>
  <c r="Q7" i="24"/>
  <c r="R7" i="24"/>
  <c r="P6" i="24"/>
  <c r="P7" i="24"/>
  <c r="F5" i="11" l="1"/>
  <c r="F37" i="24"/>
  <c r="F39" i="24"/>
  <c r="F47" i="24"/>
  <c r="F49" i="24"/>
  <c r="F35" i="24"/>
  <c r="F41" i="24"/>
  <c r="F43" i="24"/>
  <c r="F45" i="24"/>
  <c r="F8" i="24"/>
  <c r="F16" i="24"/>
  <c r="F10" i="24"/>
  <c r="F2" i="24"/>
  <c r="F6" i="24"/>
  <c r="F4" i="24"/>
  <c r="F12" i="24"/>
  <c r="F14" i="24"/>
  <c r="F23" i="24"/>
  <c r="F31" i="24"/>
  <c r="F25" i="24"/>
  <c r="F33" i="24"/>
  <c r="F19" i="24"/>
  <c r="F21" i="24"/>
  <c r="F27" i="24"/>
  <c r="F29" i="24"/>
  <c r="F24" i="24"/>
  <c r="F32" i="24"/>
  <c r="F26" i="24"/>
  <c r="F22" i="24"/>
  <c r="F18" i="24"/>
  <c r="F20" i="24"/>
  <c r="F28" i="24"/>
  <c r="F30" i="24"/>
  <c r="F36" i="24"/>
  <c r="F38" i="24"/>
  <c r="F48" i="24"/>
  <c r="F40" i="24"/>
  <c r="F42" i="24"/>
  <c r="F34" i="24"/>
  <c r="F44" i="24"/>
  <c r="F46" i="24"/>
  <c r="F7" i="24"/>
  <c r="F15" i="24"/>
  <c r="F9" i="24"/>
  <c r="F17" i="24"/>
  <c r="F5" i="24"/>
  <c r="F11" i="24"/>
  <c r="F3" i="24"/>
  <c r="F13" i="24"/>
  <c r="E7" i="7"/>
  <c r="O10" i="7"/>
  <c r="P10" i="7"/>
  <c r="J5" i="7"/>
  <c r="B6" i="11"/>
  <c r="E6" i="11" s="1"/>
  <c r="B7" i="11"/>
  <c r="E7" i="11" s="1"/>
  <c r="F71" i="10"/>
  <c r="Q12" i="7"/>
  <c r="B26" i="10"/>
  <c r="I5" i="8"/>
  <c r="E6" i="8"/>
  <c r="E7" i="8"/>
  <c r="E9" i="8"/>
  <c r="E13" i="8"/>
  <c r="E14" i="8"/>
  <c r="E18" i="8"/>
  <c r="E19" i="8"/>
  <c r="E20" i="8"/>
  <c r="E21" i="8"/>
  <c r="E22" i="8"/>
  <c r="E23" i="8"/>
  <c r="E24" i="8"/>
  <c r="E26" i="8"/>
  <c r="E27" i="8"/>
  <c r="G50" i="8"/>
  <c r="H50" i="8" s="1"/>
  <c r="H3" i="9"/>
  <c r="H4" i="9"/>
  <c r="H5" i="9"/>
  <c r="J5" i="9" s="1"/>
  <c r="H6" i="9"/>
  <c r="H7" i="9"/>
  <c r="H8" i="9"/>
  <c r="H9" i="9"/>
  <c r="H10" i="9"/>
  <c r="L28" i="9" s="1"/>
  <c r="L31" i="9" s="1"/>
  <c r="H11" i="9"/>
  <c r="J11" i="9" s="1"/>
  <c r="H12" i="9"/>
  <c r="H13" i="9"/>
  <c r="B29" i="10"/>
  <c r="B20" i="10"/>
  <c r="B17" i="10"/>
  <c r="B21" i="10"/>
  <c r="F62" i="10" s="1"/>
  <c r="F64" i="10" s="1"/>
  <c r="B6" i="10"/>
  <c r="B7" i="10"/>
  <c r="B8" i="10"/>
  <c r="Q45" i="10" s="1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C71" i="10"/>
  <c r="B23" i="10"/>
  <c r="D71" i="10"/>
  <c r="B24" i="10"/>
  <c r="E71" i="10"/>
  <c r="M3" i="7"/>
  <c r="L5" i="7"/>
  <c r="P5" i="7"/>
  <c r="O3" i="7"/>
  <c r="O5" i="7"/>
  <c r="N5" i="7"/>
  <c r="M5" i="7"/>
  <c r="P4" i="7"/>
  <c r="O4" i="7"/>
  <c r="N4" i="7"/>
  <c r="M4" i="7"/>
  <c r="E8" i="8"/>
  <c r="E10" i="8"/>
  <c r="E12" i="8"/>
  <c r="E15" i="8"/>
  <c r="E17" i="8"/>
  <c r="E25" i="8"/>
  <c r="S9" i="7"/>
  <c r="E8" i="11"/>
  <c r="C49" i="9"/>
  <c r="I5" i="9"/>
  <c r="I6" i="9"/>
  <c r="I7" i="9"/>
  <c r="I8" i="9"/>
  <c r="I9" i="9"/>
  <c r="E18" i="11"/>
  <c r="B22" i="10"/>
  <c r="M13" i="10"/>
  <c r="L13" i="10"/>
  <c r="K13" i="10"/>
  <c r="M12" i="10"/>
  <c r="L12" i="10"/>
  <c r="K12" i="10"/>
  <c r="M11" i="10"/>
  <c r="L11" i="10"/>
  <c r="K11" i="10"/>
  <c r="D16" i="9"/>
  <c r="F13" i="9"/>
  <c r="E13" i="9"/>
  <c r="F12" i="9"/>
  <c r="E12" i="9"/>
  <c r="F11" i="9"/>
  <c r="E11" i="9"/>
  <c r="F10" i="9"/>
  <c r="E10" i="9"/>
  <c r="F9" i="9"/>
  <c r="F3" i="9"/>
  <c r="F4" i="9"/>
  <c r="F5" i="9"/>
  <c r="F6" i="9"/>
  <c r="F7" i="9"/>
  <c r="F8" i="9"/>
  <c r="E9" i="9"/>
  <c r="E8" i="9"/>
  <c r="E7" i="9"/>
  <c r="E6" i="9"/>
  <c r="E5" i="9"/>
  <c r="E4" i="9"/>
  <c r="E3" i="9"/>
  <c r="F2" i="9"/>
  <c r="I11" i="9"/>
  <c r="E12" i="11"/>
  <c r="E4" i="11"/>
  <c r="E5" i="11"/>
  <c r="E32" i="11"/>
  <c r="E17" i="11"/>
  <c r="I4" i="9"/>
  <c r="I12" i="9"/>
  <c r="I10" i="9"/>
  <c r="I3" i="9"/>
  <c r="I13" i="9"/>
  <c r="I22" i="9"/>
  <c r="K10" i="7" l="1"/>
  <c r="B9" i="22"/>
  <c r="B27" i="7"/>
  <c r="V45" i="10"/>
  <c r="H16" i="9"/>
  <c r="H18" i="9" s="1"/>
  <c r="B25" i="10"/>
  <c r="T45" i="10"/>
  <c r="P12" i="7"/>
  <c r="X45" i="10"/>
  <c r="P45" i="10"/>
  <c r="F16" i="9"/>
  <c r="R45" i="10"/>
  <c r="M12" i="7"/>
  <c r="G16" i="9"/>
  <c r="G17" i="9" s="1"/>
  <c r="G18" i="9" s="1"/>
  <c r="Y45" i="10"/>
  <c r="W45" i="10"/>
  <c r="U45" i="10"/>
  <c r="S45" i="10"/>
  <c r="F63" i="10"/>
  <c r="F65" i="10" s="1"/>
  <c r="G62" i="10"/>
  <c r="G64" i="10" s="1"/>
  <c r="D27" i="7"/>
  <c r="F4" i="11"/>
  <c r="I4" i="11" s="1"/>
  <c r="K7" i="7"/>
  <c r="L7" i="7"/>
  <c r="L12" i="7" s="1"/>
  <c r="B33" i="10"/>
  <c r="F7" i="11"/>
  <c r="I7" i="11" s="1"/>
  <c r="I5" i="11"/>
  <c r="F6" i="11"/>
  <c r="I6" i="11" s="1"/>
  <c r="O12" i="7"/>
  <c r="C31" i="26" l="1"/>
  <c r="L27" i="9"/>
  <c r="L30" i="9" s="1"/>
  <c r="G63" i="10"/>
  <c r="G65" i="10" s="1"/>
  <c r="H62" i="10"/>
  <c r="H64" i="10" s="1"/>
  <c r="E27" i="7"/>
  <c r="D29" i="7" s="1"/>
  <c r="R7" i="7"/>
  <c r="S7" i="7"/>
  <c r="G7" i="7"/>
  <c r="G10" i="7"/>
  <c r="N9" i="7"/>
  <c r="E11" i="8" l="1"/>
  <c r="E32" i="8"/>
  <c r="E31" i="8"/>
  <c r="E29" i="8"/>
  <c r="E30" i="8"/>
  <c r="E28" i="8"/>
  <c r="H63" i="10"/>
  <c r="I62" i="10"/>
  <c r="I64" i="10" s="1"/>
  <c r="H65" i="10"/>
  <c r="I63" i="10"/>
  <c r="E28" i="7"/>
  <c r="C28" i="7" s="1"/>
  <c r="S10" i="7"/>
  <c r="E10" i="7"/>
  <c r="R10" i="7"/>
  <c r="N12" i="7"/>
  <c r="G9" i="7"/>
  <c r="E9" i="7"/>
  <c r="R9" i="7"/>
  <c r="M22" i="7" l="1"/>
  <c r="J13" i="7"/>
  <c r="F11" i="8" s="1"/>
  <c r="J14" i="7"/>
  <c r="R36" i="7"/>
  <c r="S36" i="7" s="1"/>
  <c r="F8" i="11"/>
  <c r="I8" i="11" s="1"/>
  <c r="I9" i="11" s="1"/>
  <c r="J62" i="10"/>
  <c r="J64" i="10" s="1"/>
  <c r="J63" i="10"/>
  <c r="I65" i="10"/>
  <c r="D28" i="7"/>
  <c r="I13" i="7"/>
  <c r="I21" i="7" l="1"/>
  <c r="E13" i="7"/>
  <c r="K13" i="7" s="1"/>
  <c r="J11" i="8"/>
  <c r="K11" i="8" s="1"/>
  <c r="F19" i="11"/>
  <c r="F29" i="8"/>
  <c r="J29" i="8" s="1"/>
  <c r="K29" i="8" s="1"/>
  <c r="F31" i="8"/>
  <c r="F32" i="8"/>
  <c r="F28" i="8"/>
  <c r="J28" i="8" s="1"/>
  <c r="K28" i="8" s="1"/>
  <c r="F30" i="8"/>
  <c r="J30" i="8" s="1"/>
  <c r="K30" i="8" s="1"/>
  <c r="L4" i="11"/>
  <c r="F17" i="11" s="1"/>
  <c r="C1" i="7" s="1"/>
  <c r="J21" i="7"/>
  <c r="R21" i="7" s="1"/>
  <c r="N22" i="7"/>
  <c r="K62" i="10"/>
  <c r="K64" i="10" s="1"/>
  <c r="J65" i="10"/>
  <c r="K63" i="10"/>
  <c r="K19" i="7"/>
  <c r="G39" i="8" l="1"/>
  <c r="H39" i="8" s="1"/>
  <c r="G13" i="7"/>
  <c r="R13" i="7"/>
  <c r="J17" i="11"/>
  <c r="I19" i="11"/>
  <c r="C36" i="26" s="1"/>
  <c r="I17" i="11"/>
  <c r="C34" i="26" s="1"/>
  <c r="N26" i="7"/>
  <c r="G21" i="7"/>
  <c r="B32" i="10" s="1"/>
  <c r="E21" i="7"/>
  <c r="E1" i="7"/>
  <c r="K14" i="7"/>
  <c r="L62" i="10"/>
  <c r="L64" i="10" s="1"/>
  <c r="K65" i="10"/>
  <c r="L63" i="10"/>
  <c r="S13" i="7"/>
  <c r="S19" i="7"/>
  <c r="G19" i="7"/>
  <c r="R19" i="7"/>
  <c r="E19" i="7"/>
  <c r="D34" i="26" l="1"/>
  <c r="E34" i="26" s="1"/>
  <c r="D36" i="26"/>
  <c r="E36" i="26" s="1"/>
  <c r="H19" i="11"/>
  <c r="D31" i="26"/>
  <c r="E31" i="26" s="1"/>
  <c r="C4" i="7"/>
  <c r="K26" i="7"/>
  <c r="L26" i="7" s="1"/>
  <c r="F5" i="8"/>
  <c r="J5" i="8" s="1"/>
  <c r="K5" i="8" s="1"/>
  <c r="H7" i="11"/>
  <c r="H8" i="11"/>
  <c r="H6" i="11"/>
  <c r="H4" i="11"/>
  <c r="H5" i="11"/>
  <c r="D4" i="7"/>
  <c r="B10" i="22"/>
  <c r="H17" i="11"/>
  <c r="F34" i="11"/>
  <c r="F18" i="11"/>
  <c r="H18" i="11" s="1"/>
  <c r="F35" i="11"/>
  <c r="K8" i="7"/>
  <c r="E8" i="7" s="1"/>
  <c r="S14" i="7"/>
  <c r="R14" i="7"/>
  <c r="G14" i="7"/>
  <c r="M62" i="10"/>
  <c r="M64" i="10" s="1"/>
  <c r="L65" i="10"/>
  <c r="M63" i="10"/>
  <c r="I31" i="26" l="1"/>
  <c r="H31" i="26"/>
  <c r="K31" i="26"/>
  <c r="J31" i="26"/>
  <c r="I36" i="26"/>
  <c r="H36" i="26"/>
  <c r="J36" i="26"/>
  <c r="K36" i="26"/>
  <c r="J34" i="26"/>
  <c r="K34" i="26"/>
  <c r="I34" i="26"/>
  <c r="H34" i="26"/>
  <c r="S3" i="26" s="1"/>
  <c r="G36" i="8"/>
  <c r="H36" i="8" s="1"/>
  <c r="I35" i="11"/>
  <c r="H35" i="11"/>
  <c r="H21" i="11" s="1"/>
  <c r="I34" i="11"/>
  <c r="H20" i="11"/>
  <c r="G48" i="8"/>
  <c r="H48" i="8" s="1"/>
  <c r="N62" i="10"/>
  <c r="N64" i="10" s="1"/>
  <c r="N63" i="10"/>
  <c r="M65" i="10"/>
  <c r="W48" i="10"/>
  <c r="W83" i="10" s="1"/>
  <c r="F48" i="10"/>
  <c r="F83" i="10" s="1"/>
  <c r="Y48" i="10"/>
  <c r="Y83" i="10" s="1"/>
  <c r="J48" i="10"/>
  <c r="J83" i="10" s="1"/>
  <c r="I48" i="10"/>
  <c r="I83" i="10" s="1"/>
  <c r="L48" i="10"/>
  <c r="L83" i="10" s="1"/>
  <c r="N48" i="10"/>
  <c r="N83" i="10" s="1"/>
  <c r="R48" i="10"/>
  <c r="R83" i="10" s="1"/>
  <c r="X48" i="10"/>
  <c r="X83" i="10" s="1"/>
  <c r="G48" i="10"/>
  <c r="G83" i="10" s="1"/>
  <c r="V48" i="10"/>
  <c r="V83" i="10" s="1"/>
  <c r="P48" i="10"/>
  <c r="P83" i="10" s="1"/>
  <c r="H48" i="10"/>
  <c r="H83" i="10" s="1"/>
  <c r="T48" i="10"/>
  <c r="T83" i="10" s="1"/>
  <c r="S48" i="10"/>
  <c r="S83" i="10" s="1"/>
  <c r="M48" i="10"/>
  <c r="M83" i="10" s="1"/>
  <c r="K48" i="10"/>
  <c r="K83" i="10" s="1"/>
  <c r="Q48" i="10"/>
  <c r="Q83" i="10" s="1"/>
  <c r="U48" i="10"/>
  <c r="U83" i="10" s="1"/>
  <c r="O48" i="10"/>
  <c r="O83" i="10" s="1"/>
  <c r="H9" i="11"/>
  <c r="D9" i="27" l="1"/>
  <c r="E9" i="27"/>
  <c r="C38" i="26"/>
  <c r="D38" i="26" s="1"/>
  <c r="E38" i="26" s="1"/>
  <c r="C37" i="26"/>
  <c r="D37" i="26" s="1"/>
  <c r="E37" i="26" s="1"/>
  <c r="K37" i="26" s="1"/>
  <c r="I21" i="11"/>
  <c r="I20" i="11"/>
  <c r="O62" i="10"/>
  <c r="O64" i="10"/>
  <c r="O63" i="10"/>
  <c r="N65" i="10"/>
  <c r="B83" i="10"/>
  <c r="N8" i="27" l="1"/>
  <c r="N9" i="27"/>
  <c r="J38" i="26"/>
  <c r="K38" i="26"/>
  <c r="P62" i="10"/>
  <c r="P64" i="10" s="1"/>
  <c r="O65" i="10"/>
  <c r="P63" i="10"/>
  <c r="Q62" i="10" l="1"/>
  <c r="Q64" i="10" s="1"/>
  <c r="P65" i="10"/>
  <c r="Q63" i="10"/>
  <c r="R62" i="10" l="1"/>
  <c r="R64" i="10" s="1"/>
  <c r="R63" i="10"/>
  <c r="Q65" i="10"/>
  <c r="R65" i="10" l="1"/>
  <c r="S63" i="10"/>
  <c r="S62" i="10"/>
  <c r="S64" i="10" s="1"/>
  <c r="T62" i="10" l="1"/>
  <c r="T64" i="10"/>
  <c r="S65" i="10"/>
  <c r="T63" i="10"/>
  <c r="T65" i="10" l="1"/>
  <c r="U63" i="10"/>
  <c r="U62" i="10"/>
  <c r="U64" i="10" s="1"/>
  <c r="V62" i="10" l="1"/>
  <c r="V64" i="10" s="1"/>
  <c r="U65" i="10"/>
  <c r="V63" i="10"/>
  <c r="W62" i="10" l="1"/>
  <c r="W64" i="10" s="1"/>
  <c r="V65" i="10"/>
  <c r="W63" i="10"/>
  <c r="X62" i="10" l="1"/>
  <c r="X64" i="10" s="1"/>
  <c r="W65" i="10"/>
  <c r="X63" i="10"/>
  <c r="Y62" i="10" l="1"/>
  <c r="Y64" i="10" s="1"/>
  <c r="X65" i="10"/>
  <c r="Y63" i="10"/>
  <c r="Y65" i="10" l="1"/>
  <c r="AJ65" i="10" l="1"/>
  <c r="K30" i="7" l="1"/>
  <c r="G8" i="7"/>
  <c r="S8" i="7"/>
  <c r="R8" i="7"/>
  <c r="G11" i="7"/>
  <c r="R11" i="7"/>
  <c r="S11" i="7"/>
  <c r="K12" i="7"/>
  <c r="E11" i="7"/>
  <c r="F18" i="8" l="1"/>
  <c r="F19" i="8"/>
  <c r="F27" i="8"/>
  <c r="F8" i="8"/>
  <c r="F17" i="8"/>
  <c r="F6" i="8"/>
  <c r="F12" i="8"/>
  <c r="F26" i="8"/>
  <c r="F9" i="8"/>
  <c r="F20" i="8"/>
  <c r="F21" i="8"/>
  <c r="F15" i="8"/>
  <c r="F7" i="8"/>
  <c r="F14" i="8"/>
  <c r="F22" i="8"/>
  <c r="F23" i="8"/>
  <c r="F13" i="8"/>
  <c r="F24" i="8"/>
  <c r="F25" i="8"/>
  <c r="F10" i="8"/>
  <c r="R12" i="7"/>
  <c r="I23" i="7"/>
  <c r="E12" i="7"/>
  <c r="S12" i="7"/>
  <c r="H12" i="7"/>
  <c r="K29" i="7"/>
  <c r="K31" i="7" s="1"/>
  <c r="G12" i="7"/>
  <c r="K32" i="7" l="1"/>
  <c r="K33" i="7" s="1"/>
  <c r="M31" i="7"/>
  <c r="J37" i="7" l="1"/>
  <c r="H24" i="11" l="1"/>
  <c r="I18" i="11"/>
  <c r="I24" i="11" l="1"/>
  <c r="C35" i="26"/>
  <c r="D35" i="26" s="1"/>
  <c r="E35" i="26" s="1"/>
  <c r="J35" i="26" l="1"/>
  <c r="I35" i="26"/>
  <c r="H35" i="26"/>
  <c r="K35" i="26"/>
  <c r="J6" i="8"/>
  <c r="K6" i="8" s="1"/>
  <c r="J13" i="8"/>
  <c r="K13" i="8" s="1"/>
  <c r="J18" i="8"/>
  <c r="K18" i="8" s="1"/>
  <c r="J22" i="8"/>
  <c r="K22" i="8" s="1"/>
  <c r="J14" i="8"/>
  <c r="K14" i="8" s="1"/>
  <c r="J7" i="8"/>
  <c r="K7" i="8" s="1"/>
  <c r="J20" i="8"/>
  <c r="K20" i="8" s="1"/>
  <c r="J21" i="8"/>
  <c r="K21" i="8" s="1"/>
  <c r="J19" i="8"/>
  <c r="K19" i="8" s="1"/>
  <c r="J24" i="8"/>
  <c r="K24" i="8" s="1"/>
  <c r="J9" i="8"/>
  <c r="K9" i="8" s="1"/>
  <c r="J26" i="8"/>
  <c r="K26" i="8" s="1"/>
  <c r="J27" i="8"/>
  <c r="K27" i="8" s="1"/>
  <c r="J17" i="8"/>
  <c r="K17" i="8" s="1"/>
  <c r="E15" i="7"/>
  <c r="F12" i="11" s="1"/>
  <c r="J23" i="8"/>
  <c r="K23" i="8" s="1"/>
  <c r="G37" i="8" l="1"/>
  <c r="H37" i="8" s="1"/>
  <c r="G35" i="8"/>
  <c r="G47" i="8"/>
  <c r="H12" i="11"/>
  <c r="I12" i="11"/>
  <c r="C32" i="26" s="1"/>
  <c r="E17" i="7"/>
  <c r="K17" i="7" s="1"/>
  <c r="S17" i="7" s="1"/>
  <c r="E16" i="7"/>
  <c r="F13" i="11" s="1"/>
  <c r="G49" i="8"/>
  <c r="H49" i="8" s="1"/>
  <c r="H35" i="8" l="1"/>
  <c r="G41" i="8"/>
  <c r="H41" i="8" s="1"/>
  <c r="K35" i="8"/>
  <c r="F20" i="9"/>
  <c r="F19" i="9"/>
  <c r="H19" i="9" s="1"/>
  <c r="B5" i="10"/>
  <c r="E18" i="7"/>
  <c r="Q16" i="7"/>
  <c r="K16" i="7" s="1"/>
  <c r="I13" i="11"/>
  <c r="H13" i="11"/>
  <c r="H14" i="11" s="1"/>
  <c r="H25" i="11" s="1"/>
  <c r="D32" i="26"/>
  <c r="E32" i="26" s="1"/>
  <c r="H47" i="8"/>
  <c r="G51" i="8"/>
  <c r="H51" i="8" s="1"/>
  <c r="I51" i="8" s="1"/>
  <c r="H32" i="26" l="1"/>
  <c r="J32" i="26"/>
  <c r="I32" i="26"/>
  <c r="K32" i="26"/>
  <c r="C42" i="26"/>
  <c r="D42" i="26" s="1"/>
  <c r="E42" i="26" s="1"/>
  <c r="D43" i="10"/>
  <c r="C43" i="10"/>
  <c r="B9" i="10"/>
  <c r="F46" i="10"/>
  <c r="C47" i="10"/>
  <c r="C46" i="10" s="1"/>
  <c r="E44" i="10"/>
  <c r="Y44" i="10" s="1"/>
  <c r="E43" i="10"/>
  <c r="B10" i="10"/>
  <c r="H20" i="9"/>
  <c r="H22" i="9" s="1"/>
  <c r="G20" i="9"/>
  <c r="S16" i="7"/>
  <c r="R16" i="7"/>
  <c r="G16" i="7"/>
  <c r="K20" i="7"/>
  <c r="Q20" i="7" s="1"/>
  <c r="E20" i="7" s="1"/>
  <c r="F33" i="11" s="1"/>
  <c r="I33" i="11" s="1"/>
  <c r="F32" i="11"/>
  <c r="Q18" i="7"/>
  <c r="K15" i="7" s="1"/>
  <c r="C33" i="26"/>
  <c r="I14" i="11"/>
  <c r="I25" i="11" s="1"/>
  <c r="K42" i="26" l="1"/>
  <c r="I42" i="26"/>
  <c r="J42" i="26"/>
  <c r="H42" i="26"/>
  <c r="T53" i="10"/>
  <c r="V53" i="10"/>
  <c r="W53" i="10"/>
  <c r="L53" i="10"/>
  <c r="K53" i="10"/>
  <c r="P53" i="10"/>
  <c r="G53" i="10"/>
  <c r="R53" i="10"/>
  <c r="H53" i="10"/>
  <c r="S53" i="10"/>
  <c r="X53" i="10"/>
  <c r="M53" i="10"/>
  <c r="J53" i="10"/>
  <c r="C41" i="26"/>
  <c r="D41" i="26" s="1"/>
  <c r="E41" i="26" s="1"/>
  <c r="N53" i="10"/>
  <c r="Y53" i="10"/>
  <c r="I53" i="10"/>
  <c r="U53" i="10"/>
  <c r="Q53" i="10"/>
  <c r="O53" i="10"/>
  <c r="F53" i="10"/>
  <c r="G45" i="10"/>
  <c r="H45" i="10"/>
  <c r="J45" i="10"/>
  <c r="I45" i="10"/>
  <c r="F45" i="10"/>
  <c r="F47" i="10" s="1"/>
  <c r="G46" i="10" s="1"/>
  <c r="L45" i="10"/>
  <c r="K45" i="10"/>
  <c r="M45" i="10"/>
  <c r="N45" i="10"/>
  <c r="O45" i="10"/>
  <c r="C73" i="10"/>
  <c r="D47" i="10"/>
  <c r="F58" i="10"/>
  <c r="F57" i="10"/>
  <c r="F59" i="10" s="1"/>
  <c r="G57" i="10" s="1"/>
  <c r="G59" i="10" s="1"/>
  <c r="H57" i="10" s="1"/>
  <c r="H59" i="10" s="1"/>
  <c r="I57" i="10" s="1"/>
  <c r="I59" i="10" s="1"/>
  <c r="J57" i="10" s="1"/>
  <c r="J59" i="10" s="1"/>
  <c r="K57" i="10" s="1"/>
  <c r="K59" i="10" s="1"/>
  <c r="L57" i="10" s="1"/>
  <c r="L59" i="10" s="1"/>
  <c r="K18" i="7"/>
  <c r="Q15" i="7"/>
  <c r="R15" i="7" s="1"/>
  <c r="S15" i="7"/>
  <c r="H32" i="11"/>
  <c r="I32" i="11"/>
  <c r="H33" i="11"/>
  <c r="S20" i="7"/>
  <c r="G20" i="7"/>
  <c r="R20" i="7"/>
  <c r="O52" i="10"/>
  <c r="J52" i="10"/>
  <c r="L52" i="10"/>
  <c r="P52" i="10"/>
  <c r="U52" i="10"/>
  <c r="S52" i="10"/>
  <c r="Y52" i="10"/>
  <c r="K52" i="10"/>
  <c r="I52" i="10"/>
  <c r="H52" i="10"/>
  <c r="N52" i="10"/>
  <c r="T52" i="10"/>
  <c r="V52" i="10"/>
  <c r="R52" i="10"/>
  <c r="W52" i="10"/>
  <c r="W54" i="10" s="1"/>
  <c r="G52" i="10"/>
  <c r="F52" i="10"/>
  <c r="X52" i="10"/>
  <c r="M52" i="10"/>
  <c r="Q52" i="10"/>
  <c r="D33" i="26"/>
  <c r="E33" i="26" s="1"/>
  <c r="C40" i="26"/>
  <c r="D40" i="26" s="1"/>
  <c r="E40" i="26" s="1"/>
  <c r="X54" i="10" l="1"/>
  <c r="I33" i="26"/>
  <c r="J33" i="26"/>
  <c r="K33" i="26"/>
  <c r="H33" i="26"/>
  <c r="H41" i="26"/>
  <c r="J41" i="26"/>
  <c r="K41" i="26"/>
  <c r="I41" i="26"/>
  <c r="J40" i="26"/>
  <c r="K40" i="26"/>
  <c r="I40" i="26"/>
  <c r="Q54" i="10"/>
  <c r="S54" i="10"/>
  <c r="F54" i="10"/>
  <c r="M54" i="10"/>
  <c r="L54" i="10"/>
  <c r="O54" i="10"/>
  <c r="J54" i="10"/>
  <c r="N54" i="10"/>
  <c r="K54" i="10"/>
  <c r="T54" i="10"/>
  <c r="H54" i="10"/>
  <c r="I54" i="10"/>
  <c r="P54" i="10"/>
  <c r="V54" i="10"/>
  <c r="U54" i="10"/>
  <c r="G54" i="10"/>
  <c r="R54" i="10"/>
  <c r="G58" i="10"/>
  <c r="F60" i="10"/>
  <c r="G47" i="10"/>
  <c r="H46" i="10" s="1"/>
  <c r="H47" i="10" s="1"/>
  <c r="I46" i="10" s="1"/>
  <c r="I47" i="10" s="1"/>
  <c r="J46" i="10" s="1"/>
  <c r="J47" i="10" s="1"/>
  <c r="K46" i="10" s="1"/>
  <c r="K47" i="10" s="1"/>
  <c r="L46" i="10" s="1"/>
  <c r="L47" i="10" s="1"/>
  <c r="M46" i="10" s="1"/>
  <c r="M47" i="10" s="1"/>
  <c r="N46" i="10" s="1"/>
  <c r="N47" i="10" s="1"/>
  <c r="O46" i="10" s="1"/>
  <c r="O47" i="10" s="1"/>
  <c r="P46" i="10" s="1"/>
  <c r="P47" i="10" s="1"/>
  <c r="Q46" i="10" s="1"/>
  <c r="Q47" i="10" s="1"/>
  <c r="R46" i="10" s="1"/>
  <c r="R47" i="10" s="1"/>
  <c r="S46" i="10" s="1"/>
  <c r="S47" i="10" s="1"/>
  <c r="T46" i="10" s="1"/>
  <c r="T47" i="10" s="1"/>
  <c r="U46" i="10" s="1"/>
  <c r="U47" i="10" s="1"/>
  <c r="V46" i="10" s="1"/>
  <c r="V47" i="10" s="1"/>
  <c r="W46" i="10" s="1"/>
  <c r="W47" i="10" s="1"/>
  <c r="X46" i="10" s="1"/>
  <c r="X47" i="10" s="1"/>
  <c r="Y54" i="10"/>
  <c r="D46" i="10"/>
  <c r="D73" i="10" s="1"/>
  <c r="E47" i="10"/>
  <c r="E46" i="10" s="1"/>
  <c r="E73" i="10" s="1"/>
  <c r="Q17" i="7"/>
  <c r="R17" i="7" s="1"/>
  <c r="G15" i="7"/>
  <c r="H36" i="11"/>
  <c r="O11" i="11" s="1"/>
  <c r="R18" i="7"/>
  <c r="S18" i="7"/>
  <c r="C74" i="7"/>
  <c r="G18" i="7"/>
  <c r="C39" i="26"/>
  <c r="D39" i="26" s="1"/>
  <c r="E39" i="26" s="1"/>
  <c r="I36" i="11"/>
  <c r="J39" i="26" l="1"/>
  <c r="K39" i="26"/>
  <c r="I39" i="26"/>
  <c r="Y46" i="10"/>
  <c r="Y73" i="10" s="1"/>
  <c r="G60" i="10"/>
  <c r="H58" i="10"/>
  <c r="G17" i="7"/>
  <c r="H49" i="10"/>
  <c r="H50" i="10" s="1"/>
  <c r="V49" i="10"/>
  <c r="V50" i="10" s="1"/>
  <c r="V66" i="10" s="1"/>
  <c r="T49" i="10"/>
  <c r="T50" i="10" s="1"/>
  <c r="T66" i="10" s="1"/>
  <c r="P49" i="10"/>
  <c r="P50" i="10" s="1"/>
  <c r="P66" i="10" s="1"/>
  <c r="M49" i="10"/>
  <c r="M50" i="10" s="1"/>
  <c r="M66" i="10" s="1"/>
  <c r="Q49" i="10"/>
  <c r="Q50" i="10" s="1"/>
  <c r="Q66" i="10" s="1"/>
  <c r="N49" i="10"/>
  <c r="N50" i="10" s="1"/>
  <c r="N66" i="10" s="1"/>
  <c r="U49" i="10"/>
  <c r="U50" i="10" s="1"/>
  <c r="U66" i="10" s="1"/>
  <c r="L49" i="10"/>
  <c r="L50" i="10" s="1"/>
  <c r="X49" i="10"/>
  <c r="X50" i="10" s="1"/>
  <c r="X66" i="10" s="1"/>
  <c r="S49" i="10"/>
  <c r="S50" i="10" s="1"/>
  <c r="S66" i="10" s="1"/>
  <c r="O49" i="10"/>
  <c r="O50" i="10" s="1"/>
  <c r="O66" i="10" s="1"/>
  <c r="J49" i="10"/>
  <c r="J50" i="10" s="1"/>
  <c r="W49" i="10"/>
  <c r="W50" i="10" s="1"/>
  <c r="W66" i="10" s="1"/>
  <c r="R49" i="10"/>
  <c r="R50" i="10" s="1"/>
  <c r="R66" i="10" s="1"/>
  <c r="Y49" i="10"/>
  <c r="Y50" i="10" s="1"/>
  <c r="K49" i="10"/>
  <c r="K50" i="10" s="1"/>
  <c r="I49" i="10"/>
  <c r="I50" i="10" s="1"/>
  <c r="G49" i="10"/>
  <c r="G50" i="10" s="1"/>
  <c r="F49" i="10"/>
  <c r="F50" i="10" s="1"/>
  <c r="G66" i="10" l="1"/>
  <c r="Y66" i="10"/>
  <c r="Y47" i="10"/>
  <c r="I58" i="10"/>
  <c r="H60" i="10"/>
  <c r="H66" i="10" s="1"/>
  <c r="F66" i="10"/>
  <c r="F68" i="10" s="1"/>
  <c r="I60" i="10" l="1"/>
  <c r="I66" i="10" s="1"/>
  <c r="J58" i="10"/>
  <c r="G67" i="10"/>
  <c r="G68" i="10" s="1"/>
  <c r="F69" i="10"/>
  <c r="J60" i="10" l="1"/>
  <c r="J66" i="10" s="1"/>
  <c r="K58" i="10"/>
  <c r="F82" i="10"/>
  <c r="F70" i="10"/>
  <c r="F72" i="10" s="1"/>
  <c r="G69" i="10"/>
  <c r="H67" i="10"/>
  <c r="H68" i="10" s="1"/>
  <c r="K60" i="10" l="1"/>
  <c r="K66" i="10" s="1"/>
  <c r="L58" i="10"/>
  <c r="L60" i="10" s="1"/>
  <c r="L66" i="10" s="1"/>
  <c r="G82" i="10"/>
  <c r="G70" i="10"/>
  <c r="G72" i="10" s="1"/>
  <c r="G75" i="10" s="1"/>
  <c r="F75" i="10"/>
  <c r="H69" i="10"/>
  <c r="I67" i="10"/>
  <c r="I68" i="10" s="1"/>
  <c r="J67" i="10" l="1"/>
  <c r="J68" i="10" s="1"/>
  <c r="I69" i="10"/>
  <c r="H82" i="10"/>
  <c r="H70" i="10"/>
  <c r="H72" i="10" s="1"/>
  <c r="H75" i="10" s="1"/>
  <c r="I82" i="10" l="1"/>
  <c r="I70" i="10"/>
  <c r="I72" i="10" s="1"/>
  <c r="I75" i="10" s="1"/>
  <c r="J69" i="10"/>
  <c r="K67" i="10"/>
  <c r="K68" i="10" s="1"/>
  <c r="J82" i="10" l="1"/>
  <c r="J70" i="10"/>
  <c r="J72" i="10" s="1"/>
  <c r="K69" i="10"/>
  <c r="L67" i="10"/>
  <c r="L68" i="10" s="1"/>
  <c r="J75" i="10" l="1"/>
  <c r="L69" i="10"/>
  <c r="M67" i="10"/>
  <c r="M68" i="10" s="1"/>
  <c r="K82" i="10"/>
  <c r="K70" i="10"/>
  <c r="K72" i="10" s="1"/>
  <c r="K75" i="10" s="1"/>
  <c r="M69" i="10" l="1"/>
  <c r="N67" i="10"/>
  <c r="N68" i="10" s="1"/>
  <c r="L82" i="10"/>
  <c r="L70" i="10"/>
  <c r="L72" i="10" s="1"/>
  <c r="L75" i="10" s="1"/>
  <c r="N69" i="10" l="1"/>
  <c r="O67" i="10"/>
  <c r="O68" i="10" s="1"/>
  <c r="M82" i="10"/>
  <c r="M70" i="10"/>
  <c r="M72" i="10" s="1"/>
  <c r="M75" i="10" s="1"/>
  <c r="P67" i="10" l="1"/>
  <c r="P68" i="10" s="1"/>
  <c r="O69" i="10"/>
  <c r="N82" i="10"/>
  <c r="N70" i="10"/>
  <c r="N72" i="10" s="1"/>
  <c r="N75" i="10" s="1"/>
  <c r="O82" i="10" l="1"/>
  <c r="O70" i="10"/>
  <c r="O72" i="10" s="1"/>
  <c r="O75" i="10" s="1"/>
  <c r="P69" i="10"/>
  <c r="Q67" i="10"/>
  <c r="Q68" i="10" s="1"/>
  <c r="P82" i="10" l="1"/>
  <c r="P70" i="10"/>
  <c r="P72" i="10" s="1"/>
  <c r="P75" i="10" s="1"/>
  <c r="R67" i="10"/>
  <c r="R68" i="10" s="1"/>
  <c r="Q69" i="10"/>
  <c r="S67" i="10" l="1"/>
  <c r="S68" i="10" s="1"/>
  <c r="R69" i="10"/>
  <c r="Q82" i="10"/>
  <c r="Q70" i="10"/>
  <c r="Q72" i="10" s="1"/>
  <c r="Q75" i="10" s="1"/>
  <c r="R82" i="10" l="1"/>
  <c r="R70" i="10"/>
  <c r="R72" i="10" s="1"/>
  <c r="R75" i="10" s="1"/>
  <c r="S69" i="10"/>
  <c r="T67" i="10"/>
  <c r="T68" i="10" s="1"/>
  <c r="S82" i="10" l="1"/>
  <c r="S70" i="10"/>
  <c r="S72" i="10" s="1"/>
  <c r="S75" i="10" s="1"/>
  <c r="U67" i="10"/>
  <c r="U68" i="10" s="1"/>
  <c r="T69" i="10"/>
  <c r="T82" i="10" l="1"/>
  <c r="T70" i="10"/>
  <c r="T72" i="10" s="1"/>
  <c r="T75" i="10" s="1"/>
  <c r="V67" i="10"/>
  <c r="V68" i="10" s="1"/>
  <c r="U69" i="10"/>
  <c r="U82" i="10" l="1"/>
  <c r="U70" i="10"/>
  <c r="U72" i="10" s="1"/>
  <c r="U75" i="10" s="1"/>
  <c r="W67" i="10"/>
  <c r="W68" i="10" s="1"/>
  <c r="V69" i="10"/>
  <c r="V82" i="10" l="1"/>
  <c r="V70" i="10"/>
  <c r="V72" i="10" s="1"/>
  <c r="V75" i="10" s="1"/>
  <c r="W69" i="10"/>
  <c r="X67" i="10"/>
  <c r="X68" i="10" s="1"/>
  <c r="W82" i="10" l="1"/>
  <c r="W70" i="10"/>
  <c r="W72" i="10" s="1"/>
  <c r="W75" i="10" s="1"/>
  <c r="X69" i="10"/>
  <c r="Y67" i="10"/>
  <c r="Y68" i="10" s="1"/>
  <c r="Y69" i="10" s="1"/>
  <c r="Y82" i="10" l="1"/>
  <c r="Y70" i="10"/>
  <c r="Y72" i="10" s="1"/>
  <c r="X82" i="10"/>
  <c r="X70" i="10"/>
  <c r="X72" i="10" s="1"/>
  <c r="X75" i="10" s="1"/>
  <c r="B82" i="10" l="1"/>
  <c r="C43" i="26" s="1"/>
  <c r="D43" i="26" s="1"/>
  <c r="E43" i="26" s="1"/>
  <c r="B72" i="10"/>
  <c r="E74" i="10" s="1"/>
  <c r="B38" i="10" s="1"/>
  <c r="Y75" i="10"/>
  <c r="J43" i="26" l="1"/>
  <c r="J46" i="26" s="1"/>
  <c r="K43" i="26"/>
  <c r="K46" i="26" s="1"/>
  <c r="I43" i="26"/>
  <c r="I46" i="26" s="1"/>
  <c r="H43" i="26"/>
  <c r="H46" i="26" s="1"/>
  <c r="B12" i="22"/>
  <c r="AE80" i="7"/>
  <c r="D44" i="26"/>
  <c r="H13" i="26" l="1"/>
  <c r="H70" i="26"/>
  <c r="C44" i="26"/>
  <c r="C46" i="26" s="1"/>
  <c r="E44" i="26"/>
  <c r="D46" i="26"/>
  <c r="I44" i="26" l="1"/>
  <c r="J44" i="26"/>
  <c r="K44" i="26"/>
  <c r="H44" i="26"/>
  <c r="J63" i="26"/>
  <c r="I63" i="26"/>
  <c r="D18" i="26"/>
  <c r="D19" i="26"/>
  <c r="BE80" i="7"/>
  <c r="BG80" i="7"/>
  <c r="BF8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tc={061E7F7F-4CB6-4556-8D4C-DA1DA7451F3B}</author>
    <author>Olafasakin, Olumide O [M E]</author>
  </authors>
  <commentList>
    <comment ref="E12" authorId="0" shapeId="0" xr:uid="{061E7F7F-4CB6-4556-8D4C-DA1DA7451F3B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Initially calculated by dividing C by D</t>
      </text>
    </comment>
    <comment ref="D17" authorId="1" shapeId="0" xr:uid="{BF5D2F09-1A07-4671-B5A8-14FF7B332BBC}">
      <text>
        <r>
          <rPr>
            <b/>
            <sz val="9"/>
            <color indexed="81"/>
            <rFont val="Tahoma"/>
            <family val="2"/>
          </rPr>
          <t>Olafasakin, Olumide O [M E]:</t>
        </r>
        <r>
          <rPr>
            <sz val="9"/>
            <color indexed="81"/>
            <rFont val="Tahoma"/>
            <family val="2"/>
          </rPr>
          <t xml:space="preserve">
changed distance to 24 miles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aaden</author>
    <author>mruth</author>
  </authors>
  <commentList>
    <comment ref="C43" authorId="0" shapeId="0" xr:uid="{00000000-0006-0000-0400-000001000000}">
      <text>
        <r>
          <rPr>
            <b/>
            <sz val="11"/>
            <color rgb="FF000000"/>
            <rFont val="Tahoma"/>
            <family val="2"/>
          </rPr>
          <t>aaden: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>includes non-depreciated value for land</t>
        </r>
      </text>
    </comment>
    <comment ref="B82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mruth:</t>
        </r>
        <r>
          <rPr>
            <sz val="8"/>
            <color indexed="81"/>
            <rFont val="Tahoma"/>
            <family val="2"/>
          </rPr>
          <t xml:space="preserve">
Sum of NPV of Income Tax</t>
        </r>
      </text>
    </comment>
    <comment ref="B83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jones:</t>
        </r>
        <r>
          <rPr>
            <sz val="8"/>
            <color indexed="81"/>
            <rFont val="Tahoma"/>
            <family val="2"/>
          </rPr>
          <t xml:space="preserve">
Sum of NPV of Main product Income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Mba Wright</author>
    <author>aaui AT iastate.edu</author>
    <author>Microsoft Office User</author>
    <author>Olafasakin, Olumide O [M E]</author>
    <author>Mba-Wright, Mark [M E]</author>
  </authors>
  <commentList>
    <comment ref="C1" authorId="0" shapeId="0" xr:uid="{FE7E5065-04AF-4981-AA47-74501313C525}">
      <text>
        <r>
          <rPr>
            <b/>
            <sz val="9"/>
            <color rgb="FF000000"/>
            <rFont val="Tahoma"/>
            <family val="2"/>
          </rPr>
          <t>Mark Mba Wright: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(=((J13*J3*C35)/(24*3600))*1000)
</t>
        </r>
        <r>
          <rPr>
            <sz val="9"/>
            <color rgb="FF000000"/>
            <rFont val="Tahoma"/>
            <family val="2"/>
          </rPr>
          <t xml:space="preserve">Switch CHP capacity to required for RNG cleaning. 
</t>
        </r>
      </text>
    </comment>
    <comment ref="L1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Mark Mba Wright: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IEA bioenergy Braun et al. average of LL and UL
</t>
        </r>
      </text>
    </comment>
    <comment ref="M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https://ac.els-cdn.com/S0960852417313470/1-s2.0-S0960852417313470-main.pdf?_tid=74f0cffb-295b-4736-96c3-7acc571c96a9&amp;acdnat=1520268697_e25ba17f3a71ff8fcf7a5215c8b6ba02</t>
        </r>
      </text>
    </comment>
    <comment ref="C2" authorId="2" shapeId="0" xr:uid="{E8F767E6-3DDE-A543-A74F-4D38F7A841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=J13*J3*C34/(24*3600)*1000</t>
        </r>
      </text>
    </comment>
    <comment ref="L2" authorId="1" shapeId="0" xr:uid="{00000000-0006-0000-0300-000003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60% ratio</t>
        </r>
      </text>
    </comment>
    <comment ref="M2" authorId="1" shapeId="0" xr:uid="{00000000-0006-0000-0300-000004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https://ac.els-cdn.com/S0960852417313470/1-s2.0-S0960852417313470-main.pdf?_tid=74f0cffb-295b-4736-96c3-7acc571c96a9&amp;acdnat=1520268697_e25ba17f3a71ff8fcf7a5215c8b6ba02</t>
        </r>
      </text>
    </comment>
    <comment ref="N2" authorId="1" shapeId="0" xr:uid="{00000000-0006-0000-0300-000005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https://www.sciencedirect.com/science/article/pii/S0956053X16307590</t>
        </r>
      </text>
    </comment>
    <comment ref="O2" authorId="1" shapeId="0" xr:uid="{00000000-0006-0000-0300-000006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(rye grain) http://www.biogas-info.co.uk/about/feedstocks/#agricultural</t>
        </r>
      </text>
    </comment>
    <comment ref="P2" authorId="1" shapeId="0" xr:uid="{00000000-0006-0000-0300-000007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http://www.biogas-info.co.uk/about/feedstocks/#agricultural</t>
        </r>
      </text>
    </comment>
    <comment ref="L3" authorId="1" shapeId="0" xr:uid="{00000000-0006-0000-0300-000008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ECN</t>
        </r>
      </text>
    </comment>
    <comment ref="M3" authorId="1" shapeId="0" xr:uid="{00000000-0006-0000-0300-000009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ECN</t>
        </r>
      </text>
    </comment>
    <comment ref="N3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https://www.sciencedirect.com/science/article/pii/S1540748910003342</t>
        </r>
      </text>
    </comment>
    <comment ref="O3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ECN Phyllis 2
</t>
        </r>
      </text>
    </comment>
    <comment ref="P3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https://ac.els-cdn.com/S0360544216305631/1-s2.0-S0360544216305631-main.pdf?_tid=2bc3463e-1821-11e8-bebc-00000aacb361&amp;acdnat=1519339326_d0991788c796334923e9cf94f6095d3f</t>
        </r>
      </text>
    </comment>
    <comment ref="Q3" authorId="0" shapeId="0" xr:uid="{00000000-0006-0000-0300-00000D000000}">
      <text>
        <r>
          <rPr>
            <b/>
            <sz val="9"/>
            <color rgb="FF000000"/>
            <rFont val="Tahoma"/>
            <family val="2"/>
          </rPr>
          <t>Mark Mba Wright: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http://www.sciencedirect.com/science/article/pii/S0016236110000578</t>
        </r>
      </text>
    </comment>
    <comment ref="L4" authorId="0" shapeId="0" xr:uid="{00000000-0006-0000-0300-00000E000000}">
      <text>
        <r>
          <rPr>
            <b/>
            <sz val="9"/>
            <color rgb="FF000000"/>
            <rFont val="Tahoma"/>
            <family val="2"/>
          </rPr>
          <t>Mark Mba Wright: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Manure Characteristics Lorimor et al.</t>
        </r>
      </text>
    </comment>
    <comment ref="M4" authorId="1" shapeId="0" xr:uid="{00000000-0006-0000-0300-00000F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http://www.sciencedirect.com/science/article/pii/S096085241301523X?via%3Dihub</t>
        </r>
      </text>
    </comment>
    <comment ref="N4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https://ac.els-cdn.com/S0301479710004172/1-s2.0-S0301479710004172-main.pdf?_tid=8adcaf7e-1016-11e8-9e48-00000aab0f01&amp;acdnat=1518455152_b2a44c6dc5f32cd3f6fb7f13a47c419e</t>
        </r>
      </text>
    </comment>
    <comment ref="O4" authorId="1" shapeId="0" xr:uid="{00000000-0006-0000-0300-000011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https://ac.els-cdn.com/S0956053X15002160/1-s2.0-S0956053X15002160-main.pdf?_tid=88571a0e-1035-11e8-973c-00000aacb35d&amp;acdnat=1518468454_90b517809c6762c616a0be6e446e6cc8</t>
        </r>
      </text>
    </comment>
    <comment ref="P4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https://www.sciencedirect.com/science/article/pii/S0960852411010121
(wheat straw)
</t>
        </r>
      </text>
    </comment>
    <comment ref="Q4" authorId="1" shapeId="0" xr:uid="{00000000-0006-0000-0300-000013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https://www.sciencedirect.com/science/article/pii/S096085241001672X</t>
        </r>
      </text>
    </comment>
    <comment ref="I5" authorId="2" shapeId="0" xr:uid="{6540BEB9-8638-734D-81F3-157F6C8ECF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kg/m3</t>
        </r>
      </text>
    </comment>
    <comment ref="L5" authorId="1" shapeId="0" xr:uid="{00000000-0006-0000-0300-000014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https://www.idosi.org/aejaes/jaes15(8)15/28.pdf
</t>
        </r>
      </text>
    </comment>
    <comment ref="M5" authorId="1" shapeId="0" xr:uid="{00000000-0006-0000-0300-000015000000}">
      <text>
        <r>
          <rPr>
            <b/>
            <sz val="9"/>
            <color rgb="FF000000"/>
            <rFont val="Tahoma"/>
            <family val="2"/>
          </rPr>
          <t>aaui AT iastate.edu: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http://www.sciencedirect.com/science/article/pii/S096085241301523X?via%3Dihub
</t>
        </r>
      </text>
    </comment>
    <comment ref="N5" authorId="1" shapeId="0" xr:uid="{00000000-0006-0000-0300-000016000000}">
      <text>
        <r>
          <rPr>
            <b/>
            <sz val="9"/>
            <color rgb="FF000000"/>
            <rFont val="Tahoma"/>
            <family val="2"/>
          </rPr>
          <t xml:space="preserve">aaui AT iastate.edu:
</t>
        </r>
        <r>
          <rPr>
            <b/>
            <sz val="9"/>
            <color rgb="FF000000"/>
            <rFont val="Tahoma"/>
            <family val="2"/>
          </rPr>
          <t>https://www.researchgate.net/profile/Alexandre_Santos19/publication/320474592_Study_of_Anaerobic_Co-digestion_of_Crude_Glycerol_and_Swine_Manure_for_the_Production_of_Biogas/links/59e7a2bc0f7e9bc89b5077b5/Study-of-Anaerobic-Co-digestion-of-Crude-Glycerol-and-Swine-Manure-for-the-Production-of-Biogas.pdf</t>
        </r>
      </text>
    </comment>
    <comment ref="O5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ECN Phyllis 2 database
</t>
        </r>
      </text>
    </comment>
    <comment ref="P5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https://www.sciencedirect.com/science/article/pii/S0960852411010121</t>
        </r>
      </text>
    </comment>
    <comment ref="Q5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https://www.sciencedirect.com/science/article/pii/S096085241001672X</t>
        </r>
      </text>
    </comment>
    <comment ref="L6" authorId="3" shapeId="0" xr:uid="{9E933AE5-0305-4683-B961-AFACF27334F9}">
      <text>
        <r>
          <rPr>
            <b/>
            <sz val="9"/>
            <color indexed="81"/>
            <rFont val="Tahoma"/>
            <family val="2"/>
          </rPr>
          <t>Olafasakin, Olumide O [M E]:</t>
        </r>
        <r>
          <rPr>
            <sz val="9"/>
            <color indexed="81"/>
            <rFont val="Tahoma"/>
            <family val="2"/>
          </rPr>
          <t xml:space="preserve">
Changed from manure to grass.
</t>
        </r>
      </text>
    </comment>
    <comment ref="J13" authorId="4" shapeId="0" xr:uid="{00000000-0006-0000-0300-00001A000000}">
      <text>
        <r>
          <rPr>
            <b/>
            <sz val="10"/>
            <color rgb="FF000000"/>
            <rFont val="Tahoma"/>
            <family val="2"/>
          </rPr>
          <t>Mba-Wright, Mark [M E]: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7.14kg/m^3 is the density of methane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Mba Wright</author>
    <author>Aye</author>
  </authors>
  <commentList>
    <comment ref="B4" authorId="0" shapeId="0" xr:uid="{00000000-0006-0000-0500-000001000000}">
      <text>
        <r>
          <rPr>
            <b/>
            <sz val="9"/>
            <color rgb="FF000000"/>
            <rFont val="Tahoma"/>
            <family val="2"/>
          </rPr>
          <t>Mark Mba Wright: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ISU Manure cost calculator (https://www.extension.iastate.edu/agdm/livestock/xls/b1-65manurecalculator.xlsx
</t>
        </r>
        <r>
          <rPr>
            <sz val="9"/>
            <color rgb="FF000000"/>
            <rFont val="Tahoma"/>
            <family val="2"/>
          </rPr>
          <t>)</t>
        </r>
      </text>
    </comment>
    <comment ref="B8" authorId="0" shapeId="0" xr:uid="{00000000-0006-0000-0500-000002000000}">
      <text>
        <r>
          <rPr>
            <b/>
            <sz val="9"/>
            <color rgb="FF000000"/>
            <rFont val="Tahoma"/>
            <family val="2"/>
          </rPr>
          <t>Mark Mba Wright: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110/tonne</t>
        </r>
      </text>
    </comment>
    <comment ref="A35" authorId="0" shapeId="0" xr:uid="{AEA47B47-02AA-4C91-AABD-6B7883A9BBE8}">
      <text>
        <r>
          <rPr>
            <b/>
            <sz val="9"/>
            <color indexed="81"/>
            <rFont val="Tahoma"/>
            <family val="2"/>
          </rPr>
          <t>Mark Mba Wright:</t>
        </r>
        <r>
          <rPr>
            <sz val="9"/>
            <color indexed="81"/>
            <rFont val="Tahoma"/>
            <family val="2"/>
          </rPr>
          <t xml:space="preserve">
https://www.epa.gov/fuels-registration-reporting-and-compliance-help/rin-trades-and-price-information#:~:text=D3%20RIN%20Price%20%E2%80%93%20Min.,Price%3A%20%243.50</t>
        </r>
      </text>
    </comment>
    <comment ref="C89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Aye:</t>
        </r>
        <r>
          <rPr>
            <sz val="9"/>
            <color indexed="81"/>
            <rFont val="Tahoma"/>
            <family val="2"/>
          </rPr>
          <t xml:space="preserve">
30 years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aaui AT iastate.edu</author>
    <author>Olafasakin, Olumide O [M E]</author>
  </authors>
  <commentList>
    <comment ref="E5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https://energy.gov/sites/prod/files/2016/09/f33/CHP-Steam%20Turbine.pdf
</t>
        </r>
      </text>
    </comment>
    <comment ref="K1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aaui AT iastate.edu:</t>
        </r>
        <r>
          <rPr>
            <sz val="9"/>
            <color indexed="81"/>
            <rFont val="Tahoma"/>
            <family val="2"/>
          </rPr>
          <t xml:space="preserve">
https://www.nrcs.usda.gov/Internet/FSE_DOCUMENTS/nrcs143_012400.pdf</t>
        </r>
      </text>
    </comment>
    <comment ref="N19" authorId="2" shapeId="0" xr:uid="{2A22D53A-F4EB-41B3-9EF6-C9966C41BCA7}">
      <text>
        <r>
          <rPr>
            <b/>
            <sz val="9"/>
            <color indexed="81"/>
            <rFont val="Tahoma"/>
            <family val="2"/>
          </rPr>
          <t>Olafasakin, Olumide O [M E]:</t>
        </r>
        <r>
          <rPr>
            <sz val="9"/>
            <color indexed="81"/>
            <rFont val="Tahoma"/>
            <family val="2"/>
          </rPr>
          <t xml:space="preserve">
From WSU excel sheet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tc={A90FA627-BF01-4B70-9779-AE34D1D361CB}</author>
    <author>Olafasakin, Olumide O [M E]</author>
  </authors>
  <commentList>
    <comment ref="E12" authorId="0" shapeId="0" xr:uid="{A90FA627-BF01-4B70-9779-AE34D1D361CB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Initially calculated by dividing C by D</t>
      </text>
    </comment>
    <comment ref="D17" authorId="1" shapeId="0" xr:uid="{D9468639-2249-4EA5-BDBA-AD5F74AC2315}">
      <text>
        <r>
          <rPr>
            <b/>
            <sz val="9"/>
            <color indexed="81"/>
            <rFont val="Tahoma"/>
            <family val="2"/>
          </rPr>
          <t>Olafasakin, Olumide O [M E]:</t>
        </r>
        <r>
          <rPr>
            <sz val="9"/>
            <color indexed="81"/>
            <rFont val="Tahoma"/>
            <family val="2"/>
          </rPr>
          <t xml:space="preserve">
changed distance to 24 miles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Olafasakin, Olumide O [M E]</author>
  </authors>
  <commentList>
    <comment ref="D17" authorId="0" shapeId="0" xr:uid="{BCFF5373-F518-4EE1-8A0A-46EAFCA29FA4}">
      <text>
        <r>
          <rPr>
            <b/>
            <sz val="9"/>
            <color indexed="81"/>
            <rFont val="Tahoma"/>
            <family val="2"/>
          </rPr>
          <t>Olafasakin, Olumide O [M E]:</t>
        </r>
        <r>
          <rPr>
            <sz val="9"/>
            <color indexed="81"/>
            <rFont val="Tahoma"/>
            <family val="2"/>
          </rPr>
          <t xml:space="preserve">
changed distance to 24 miles
</t>
        </r>
      </text>
    </comment>
  </commentList>
</comments>
</file>

<file path=xl/sharedStrings.xml><?xml version="1.0" encoding="utf-8"?>
<sst xmlns="http://schemas.openxmlformats.org/spreadsheetml/2006/main" count="2153" uniqueCount="796">
  <si>
    <t>Key Assumptions</t>
  </si>
  <si>
    <t>Feedstock</t>
  </si>
  <si>
    <t>Scenarios</t>
  </si>
  <si>
    <t>Corn Husk/Glycerin</t>
  </si>
  <si>
    <t>Rye/Glycerin</t>
  </si>
  <si>
    <t>Wheat/Glycerin</t>
  </si>
  <si>
    <t>Corn Husk</t>
  </si>
  <si>
    <t>Rye</t>
  </si>
  <si>
    <t>Wheat</t>
  </si>
  <si>
    <t>Cattle (heads)</t>
  </si>
  <si>
    <t>Corn Husk (tons)</t>
  </si>
  <si>
    <t>Rye (tons)</t>
  </si>
  <si>
    <t>Wheat (tons)</t>
  </si>
  <si>
    <t>Glycerin (tons)</t>
  </si>
  <si>
    <t>Manure (wet tons)</t>
  </si>
  <si>
    <t>Power Capacity</t>
  </si>
  <si>
    <t>Internal Rate of Return</t>
  </si>
  <si>
    <t>Net Present Value</t>
  </si>
  <si>
    <t>Operating Cost</t>
  </si>
  <si>
    <t>Manure</t>
  </si>
  <si>
    <t>Biomass</t>
  </si>
  <si>
    <t>Glycerin</t>
  </si>
  <si>
    <t>Solids Handling</t>
  </si>
  <si>
    <t xml:space="preserve">Renewable Tax Credit </t>
  </si>
  <si>
    <t>By-products Solid Digestate Credit</t>
  </si>
  <si>
    <t>By-products Liquid Effluent Credit</t>
  </si>
  <si>
    <t>Labor &amp; Maintenance</t>
  </si>
  <si>
    <t>Capital Depreciation</t>
  </si>
  <si>
    <t>Income Tax</t>
  </si>
  <si>
    <t>Return on Investment</t>
  </si>
  <si>
    <t>Scenarios (10% IRR; $3/mmbtu RNG)</t>
  </si>
  <si>
    <t>NPV</t>
  </si>
  <si>
    <t>Baseline</t>
  </si>
  <si>
    <t>Nutrient Credit</t>
  </si>
  <si>
    <t>LCFS Credit</t>
  </si>
  <si>
    <t>RIN Credit</t>
  </si>
  <si>
    <t>Scenario</t>
  </si>
  <si>
    <t>productivity based</t>
  </si>
  <si>
    <t>buffered</t>
  </si>
  <si>
    <t xml:space="preserve">Summary </t>
  </si>
  <si>
    <t>Capital Cost</t>
  </si>
  <si>
    <t>Data</t>
  </si>
  <si>
    <t>Cost ($)/year</t>
  </si>
  <si>
    <t>Cost ($)/mmbtu</t>
  </si>
  <si>
    <t>Digester</t>
  </si>
  <si>
    <t xml:space="preserve">Aeration Digester </t>
  </si>
  <si>
    <t>Anaerobic Basin</t>
  </si>
  <si>
    <t>Anaerobic Digester Feed Cooler</t>
  </si>
  <si>
    <t>LCFS</t>
  </si>
  <si>
    <t>Anaerobic Reactor Feed Pump</t>
  </si>
  <si>
    <t>RIN</t>
  </si>
  <si>
    <t>Anaerobic Reactor Recirculation Pump</t>
  </si>
  <si>
    <t>Caustic Feed System</t>
  </si>
  <si>
    <t>Centrifuge</t>
  </si>
  <si>
    <t>Membrane Bioreactor</t>
  </si>
  <si>
    <t>Reverse Osmosis System</t>
  </si>
  <si>
    <t>Treated Water Pump</t>
  </si>
  <si>
    <t>Waste Anaerobic Sludge Pump</t>
  </si>
  <si>
    <t>RNG Cost</t>
  </si>
  <si>
    <t>Other</t>
  </si>
  <si>
    <t>Aerobic Digester Blower</t>
  </si>
  <si>
    <t>$/year</t>
  </si>
  <si>
    <t>Aerobic Sludge Screw</t>
  </si>
  <si>
    <t>Biogas blower</t>
  </si>
  <si>
    <t>Operating Costs</t>
  </si>
  <si>
    <t>Biogas Emergency Flare</t>
  </si>
  <si>
    <t>Centrate Pump</t>
  </si>
  <si>
    <t>Centrifuge Feed Pump</t>
  </si>
  <si>
    <t>Evaporator System</t>
  </si>
  <si>
    <t>Reverse Osmosis Feed Pump</t>
  </si>
  <si>
    <t>Total</t>
  </si>
  <si>
    <t>CHP</t>
  </si>
  <si>
    <t>Power Generator</t>
  </si>
  <si>
    <t>Storage</t>
  </si>
  <si>
    <t>Sludge Holding Tank</t>
  </si>
  <si>
    <t>Lagoon</t>
  </si>
  <si>
    <t>Power Capacity (kW)</t>
  </si>
  <si>
    <t>kW/cow</t>
  </si>
  <si>
    <t>Notes: Ratio of 60% methane in biogas  for (glycerin, rye, and wheat)</t>
  </si>
  <si>
    <t>Heat Generated (kW)</t>
  </si>
  <si>
    <t>MJ</t>
  </si>
  <si>
    <t>Biogas Potential (m3/ton)</t>
  </si>
  <si>
    <t>Hours of Operation</t>
  </si>
  <si>
    <t>Higher Heating Value (MJ/ton)</t>
  </si>
  <si>
    <t>Total Power Generated(kWh/year)</t>
  </si>
  <si>
    <t>Volatile Solids (kg/kg)</t>
  </si>
  <si>
    <t>Carbon Content</t>
  </si>
  <si>
    <t>Stream No</t>
  </si>
  <si>
    <t xml:space="preserve">Stream Name </t>
  </si>
  <si>
    <t xml:space="preserve">To </t>
  </si>
  <si>
    <t>From</t>
  </si>
  <si>
    <t>Mass Flow (tons/day)</t>
  </si>
  <si>
    <t>Temperature (deg C)</t>
  </si>
  <si>
    <t>Heating Value (MJ)</t>
  </si>
  <si>
    <t>Moisture Content (%)</t>
  </si>
  <si>
    <t>Biogas (m^3)</t>
  </si>
  <si>
    <t>Methane (tons)</t>
  </si>
  <si>
    <t>Water (tons)</t>
  </si>
  <si>
    <t>Grass</t>
  </si>
  <si>
    <t>Organic Matter</t>
  </si>
  <si>
    <t>Carbon Content (tons)</t>
  </si>
  <si>
    <t>Volume Flow (L/S)</t>
  </si>
  <si>
    <t>Notes</t>
  </si>
  <si>
    <t>Raw Manure</t>
  </si>
  <si>
    <t>B5</t>
  </si>
  <si>
    <t>Recycled Hot Water Stream</t>
  </si>
  <si>
    <t>B8</t>
  </si>
  <si>
    <t>Glycerin Co-Feed</t>
  </si>
  <si>
    <t>Biomass Co-Feed</t>
  </si>
  <si>
    <t>Husk Heating Value: https://pdfs.semanticscholar.org/5ec4/254e7092ee2c1189f6c35a147ff461665f80.pdf</t>
  </si>
  <si>
    <t>Fresh Water Stream</t>
  </si>
  <si>
    <t>Digester Input</t>
  </si>
  <si>
    <t>B6</t>
  </si>
  <si>
    <t>Mesophillic temp</t>
  </si>
  <si>
    <t>B7</t>
  </si>
  <si>
    <t>Heat Generation Stream</t>
  </si>
  <si>
    <t>Digestate Separation</t>
  </si>
  <si>
    <t>B10</t>
  </si>
  <si>
    <t>Ref: Holm-Nielsen (1997)</t>
  </si>
  <si>
    <t>Liquid Effluent Collection</t>
  </si>
  <si>
    <t>B11</t>
  </si>
  <si>
    <t>Liquid Effluent Recycle</t>
  </si>
  <si>
    <t>Solid Digestate Collection</t>
  </si>
  <si>
    <t xml:space="preserve">Knockoff Water </t>
  </si>
  <si>
    <t>Biogas Water Cleanup https://www.parker.com/literature/United%20Kingdom/PAR6841_Whitepaper_v3.pdf</t>
  </si>
  <si>
    <t>Liquid Effluent Discharge</t>
  </si>
  <si>
    <t>RNG</t>
  </si>
  <si>
    <t>Tonnes of biomass available for the year</t>
  </si>
  <si>
    <t>Total Input ( dry basis - kg)</t>
  </si>
  <si>
    <t>3 tons/ac</t>
  </si>
  <si>
    <t>6 tons/ac</t>
  </si>
  <si>
    <t>9 tons/ac</t>
  </si>
  <si>
    <t>Component Mass Balance</t>
  </si>
  <si>
    <t>Parasitic Load Factor (kW/kg)</t>
  </si>
  <si>
    <t>https://www.sciencedirect.com/science/article/pii/S0956053X18301673</t>
  </si>
  <si>
    <t>Parasitic Load (kW)</t>
  </si>
  <si>
    <t xml:space="preserve">productivity based </t>
  </si>
  <si>
    <t>Corn</t>
  </si>
  <si>
    <t xml:space="preserve">Water </t>
  </si>
  <si>
    <t>Sum</t>
  </si>
  <si>
    <t>Source</t>
  </si>
  <si>
    <t>Assumption</t>
  </si>
  <si>
    <t>Net Power Capacity (kW)</t>
  </si>
  <si>
    <t>-</t>
  </si>
  <si>
    <t>a</t>
  </si>
  <si>
    <t>Corn moisture content assumed to be 60%</t>
  </si>
  <si>
    <t>Heat load</t>
  </si>
  <si>
    <t>Tonnes available per day all year round</t>
  </si>
  <si>
    <t>Feedstock Moisture (kW)</t>
  </si>
  <si>
    <t>Recycled Hot Water (kW)</t>
  </si>
  <si>
    <t>Assumptions</t>
  </si>
  <si>
    <t>tons to kg conversion</t>
  </si>
  <si>
    <t>Total Heat load (kW)</t>
  </si>
  <si>
    <t>Digester Feed Moisture Content</t>
  </si>
  <si>
    <t>Net Heat generated (kW)</t>
  </si>
  <si>
    <t>Waste Generated per Cattle</t>
  </si>
  <si>
    <t>tons/cattle/day</t>
  </si>
  <si>
    <t>Specific Heat (kJ/kg-K)</t>
  </si>
  <si>
    <t>Net Heat generated (kWh)</t>
  </si>
  <si>
    <t>Heat Efficiency</t>
  </si>
  <si>
    <t>L</t>
  </si>
  <si>
    <t>Average</t>
  </si>
  <si>
    <t>U</t>
  </si>
  <si>
    <t>Methane Power Efficiency</t>
  </si>
  <si>
    <t>Energy to Raise Steam (220 F)</t>
  </si>
  <si>
    <t>Total Power after inclusion of parasitic and heat load</t>
  </si>
  <si>
    <t>Biogas Density</t>
  </si>
  <si>
    <t>MJ/kg</t>
  </si>
  <si>
    <t>kWh</t>
  </si>
  <si>
    <t>Feedstock Plant Gate Cost</t>
  </si>
  <si>
    <t>Digestate Solid Content</t>
  </si>
  <si>
    <t>GWh</t>
  </si>
  <si>
    <t>Feedstock Farm Gate Cost</t>
  </si>
  <si>
    <t>Solids Content Liquid Recycle</t>
  </si>
  <si>
    <t>Feedstock Yield</t>
  </si>
  <si>
    <t>tons/acre</t>
  </si>
  <si>
    <t>https://bioenergy.inl.gov/Reports/Feedstock%20Supply%20System%20Design%20and%20Analysis.pdf</t>
  </si>
  <si>
    <t>Solids Content Solid Digestate</t>
  </si>
  <si>
    <t>DANETV (2010)</t>
  </si>
  <si>
    <t>Feedstock Collection  Costs</t>
  </si>
  <si>
    <t>https://link.springer.com/content/pdf/10.1007/s12010-007-9085-8.pdf</t>
  </si>
  <si>
    <t>Moisture Content of Corn</t>
  </si>
  <si>
    <t>Feedstock Transportation Costs</t>
  </si>
  <si>
    <t>$/t</t>
  </si>
  <si>
    <t xml:space="preserve">Digester Recycle </t>
  </si>
  <si>
    <t>Distance Fixed Costs</t>
  </si>
  <si>
    <t xml:space="preserve">Biogas to RNG Methane yield </t>
  </si>
  <si>
    <t>Distance Variable Costs</t>
  </si>
  <si>
    <t>$/t/mile</t>
  </si>
  <si>
    <t>Block List</t>
  </si>
  <si>
    <t>Description</t>
  </si>
  <si>
    <t>Tortuosity</t>
  </si>
  <si>
    <t>B1</t>
  </si>
  <si>
    <t>Collection Radius</t>
  </si>
  <si>
    <t>miles</t>
  </si>
  <si>
    <t>B2</t>
  </si>
  <si>
    <t xml:space="preserve">Addition of co-feed: Corn Stover </t>
  </si>
  <si>
    <t>tons/mile^2</t>
  </si>
  <si>
    <t>B3</t>
  </si>
  <si>
    <t>Addition of co-feed: Glycerin</t>
  </si>
  <si>
    <t>Availability Factor</t>
  </si>
  <si>
    <t>B4</t>
  </si>
  <si>
    <t>Fresh Water stream</t>
  </si>
  <si>
    <t>Mixing of manure, co-feeds and water</t>
  </si>
  <si>
    <t>Biogas Transport Cost</t>
  </si>
  <si>
    <t>Anaerobic Digester</t>
  </si>
  <si>
    <t>Heated Recycled Water via CHP</t>
  </si>
  <si>
    <t>Biogas Travel Distance</t>
  </si>
  <si>
    <t>B9</t>
  </si>
  <si>
    <t>Knockoff Water</t>
  </si>
  <si>
    <t>Solid-Liquid Digestate Separation</t>
  </si>
  <si>
    <t>Solid Digestate collection</t>
  </si>
  <si>
    <t>Digestate Characteristics</t>
  </si>
  <si>
    <t>LCA of anaerobic digestion: Emission allocation for energy and digestate - ScienceDirect</t>
  </si>
  <si>
    <t>TS (%)</t>
  </si>
  <si>
    <t>VS (%)</t>
  </si>
  <si>
    <t>N (g/kg)</t>
  </si>
  <si>
    <r>
      <t>NH</t>
    </r>
    <r>
      <rPr>
        <b/>
        <sz val="11"/>
        <color rgb="FF2E2E2E"/>
        <rFont val="Georgia"/>
        <family val="1"/>
      </rPr>
      <t>4</t>
    </r>
    <r>
      <rPr>
        <b/>
        <sz val="14"/>
        <color rgb="FF2E2E2E"/>
        <rFont val="Georgia"/>
        <family val="1"/>
      </rPr>
      <t>–N (g/kg)</t>
    </r>
  </si>
  <si>
    <t>P (g/kg)</t>
  </si>
  <si>
    <t>K (g/kg)</t>
  </si>
  <si>
    <r>
      <t>BMP (m</t>
    </r>
    <r>
      <rPr>
        <b/>
        <sz val="11"/>
        <color rgb="FF2E2E2E"/>
        <rFont val="Georgia"/>
        <family val="1"/>
      </rPr>
      <t>3</t>
    </r>
    <r>
      <rPr>
        <b/>
        <sz val="14"/>
        <color rgb="FF2E2E2E"/>
        <rFont val="Georgia"/>
        <family val="1"/>
      </rPr>
      <t>/tVS)</t>
    </r>
  </si>
  <si>
    <t>Commercial Fertilizer</t>
  </si>
  <si>
    <t>kg CO2eq/kg N</t>
  </si>
  <si>
    <t xml:space="preserve">Avoided Emissions </t>
  </si>
  <si>
    <t>kg CO2eq/kg dry feed</t>
  </si>
  <si>
    <t>Greet AD Feed</t>
  </si>
  <si>
    <t>Greet AD Avoided Emissions</t>
  </si>
  <si>
    <t xml:space="preserve">kg CO2eq </t>
  </si>
  <si>
    <t>Value</t>
  </si>
  <si>
    <t>Sensitivity Analysis</t>
  </si>
  <si>
    <t>Fixed Capital Investment</t>
  </si>
  <si>
    <t>Factor</t>
  </si>
  <si>
    <t>Optimistic</t>
  </si>
  <si>
    <t>Pessimistic</t>
  </si>
  <si>
    <t>Base Case</t>
  </si>
  <si>
    <t>Equity</t>
  </si>
  <si>
    <t>Indirect Cost Factor</t>
  </si>
  <si>
    <t xml:space="preserve">   Loan Interest</t>
  </si>
  <si>
    <t>Feedstock Cost ($/MT)</t>
  </si>
  <si>
    <t xml:space="preserve">   Loan Term, years</t>
  </si>
  <si>
    <t>Sugars Price ($/MT)</t>
  </si>
  <si>
    <t xml:space="preserve">   Annual Loan Payment</t>
  </si>
  <si>
    <t xml:space="preserve">   General Plant</t>
  </si>
  <si>
    <t xml:space="preserve">   Steam Plant</t>
  </si>
  <si>
    <t>Indirect Cost Factor (1.5x, 1x, 0.5x)</t>
  </si>
  <si>
    <t>Working Capital (% of FCI)</t>
  </si>
  <si>
    <t>Price of Sugars ($300, $385, $500/MT)</t>
  </si>
  <si>
    <t>Salvage Value</t>
  </si>
  <si>
    <t>Feedstock Cost ($65, $41, -$33/MT)</t>
  </si>
  <si>
    <t>P&amp;T</t>
  </si>
  <si>
    <t>Type of Depreciation</t>
  </si>
  <si>
    <t>DDB</t>
  </si>
  <si>
    <t>Short et. al</t>
  </si>
  <si>
    <t>Depreciation Period (Years)</t>
  </si>
  <si>
    <t xml:space="preserve">   Steam/Electricity System</t>
  </si>
  <si>
    <t>Construction Period (Years)</t>
  </si>
  <si>
    <t xml:space="preserve">   % Spent in Year -3</t>
  </si>
  <si>
    <t xml:space="preserve">   % Spent in Year -2</t>
  </si>
  <si>
    <t xml:space="preserve">   % Spent in Year -1</t>
  </si>
  <si>
    <t>Start-up Time (Years)</t>
  </si>
  <si>
    <t xml:space="preserve">   Revenues (% of Normal)</t>
  </si>
  <si>
    <t xml:space="preserve">  Variable Costs (% of Normal)</t>
  </si>
  <si>
    <t xml:space="preserve">  Fixed Cost (% of Normal)</t>
  </si>
  <si>
    <t>Income Tax Rate</t>
  </si>
  <si>
    <t>RNG Production Per Year (MMBTU)</t>
  </si>
  <si>
    <t>Operating Hours per Year</t>
  </si>
  <si>
    <t>Cost Year for Analysis</t>
  </si>
  <si>
    <t>Cost Year Increment</t>
  </si>
  <si>
    <t>annual average</t>
  </si>
  <si>
    <t>Minimum Product Selling Price ($/MMBTU)</t>
  </si>
  <si>
    <t>Manipulated Value</t>
  </si>
  <si>
    <t>Net Present Worth</t>
  </si>
  <si>
    <t>Targeted Value</t>
  </si>
  <si>
    <t>DCFROR Worksheet</t>
  </si>
  <si>
    <t>Calculations adapted from NREL Mixed Alcohol Design Report 2007</t>
  </si>
  <si>
    <t>Year</t>
  </si>
  <si>
    <t>Working Capital</t>
  </si>
  <si>
    <t xml:space="preserve"> </t>
  </si>
  <si>
    <t>Loan Payment</t>
  </si>
  <si>
    <t xml:space="preserve">   Loan Interest Payment</t>
  </si>
  <si>
    <t xml:space="preserve">   Loan Principal</t>
  </si>
  <si>
    <t xml:space="preserve">   Product Sales</t>
  </si>
  <si>
    <t xml:space="preserve">   By-Product Credit</t>
  </si>
  <si>
    <t>Total Annual Sales</t>
  </si>
  <si>
    <t>Annual Manufacturing Cost</t>
  </si>
  <si>
    <t xml:space="preserve">    Variable Costs</t>
  </si>
  <si>
    <t xml:space="preserve">  </t>
  </si>
  <si>
    <t xml:space="preserve">    Fixed Operating Costs</t>
  </si>
  <si>
    <t>Total Product Cost</t>
  </si>
  <si>
    <t>Annual Depreciation</t>
  </si>
  <si>
    <t xml:space="preserve">     DDB</t>
  </si>
  <si>
    <t xml:space="preserve">     SL</t>
  </si>
  <si>
    <t xml:space="preserve">     Remaining Value</t>
  </si>
  <si>
    <t xml:space="preserve">     Actual</t>
  </si>
  <si>
    <t xml:space="preserve">    SL</t>
  </si>
  <si>
    <t>Net Revenue</t>
  </si>
  <si>
    <t>Losses Forward</t>
  </si>
  <si>
    <t>Taxable Income</t>
  </si>
  <si>
    <t>Annual Cash Income</t>
  </si>
  <si>
    <t>Discount Factor</t>
  </si>
  <si>
    <t>Annual Present Value</t>
  </si>
  <si>
    <t>Total Capital Investment + Interest</t>
  </si>
  <si>
    <t>If income taxable income &lt; 0, tax = $0</t>
  </si>
  <si>
    <t>Loan Interest subtracted from taxable income.</t>
  </si>
  <si>
    <t>Loan payment subtracted from annual cash income</t>
  </si>
  <si>
    <t>Interest on construction loan added to investment</t>
  </si>
  <si>
    <t>NPV of Income Tax</t>
  </si>
  <si>
    <t>NPV of Product Income</t>
  </si>
  <si>
    <t>Raw Material and Utility Cost, US ¢/gal</t>
  </si>
  <si>
    <t xml:space="preserve">Quote Year Cost </t>
  </si>
  <si>
    <t>Year of Price Quote</t>
  </si>
  <si>
    <t>Current Price (2011)</t>
  </si>
  <si>
    <t>Consumption Per Year</t>
  </si>
  <si>
    <t>$/MMBTU</t>
  </si>
  <si>
    <t>Raw Materials</t>
  </si>
  <si>
    <t>RNG Cleaning</t>
  </si>
  <si>
    <t>kWh/SCM/year</t>
  </si>
  <si>
    <t>$/metric ton</t>
  </si>
  <si>
    <t>metric tonne</t>
  </si>
  <si>
    <t>Gross Raw Material Cost</t>
  </si>
  <si>
    <t>Waste Disposal</t>
  </si>
  <si>
    <t>Solids handling</t>
  </si>
  <si>
    <t xml:space="preserve">Liquid Effluent Handling </t>
  </si>
  <si>
    <t>Utilities/Tax Credits</t>
  </si>
  <si>
    <t>Gas Cleaning</t>
  </si>
  <si>
    <t>¢/kwh</t>
  </si>
  <si>
    <t>Pipeline Injection</t>
  </si>
  <si>
    <t>$/mmbtu</t>
  </si>
  <si>
    <t>mmbtu</t>
  </si>
  <si>
    <t>Gas Transportation</t>
  </si>
  <si>
    <t>$/ton</t>
  </si>
  <si>
    <t>ton</t>
  </si>
  <si>
    <t>LCFS Transaction Cost</t>
  </si>
  <si>
    <t>RIN Transaction Cost</t>
  </si>
  <si>
    <t>Total Variable Operating Costs</t>
  </si>
  <si>
    <t>Total Utilities Cost</t>
  </si>
  <si>
    <t>COST YEAR =</t>
  </si>
  <si>
    <t>* Selling Price is plant gate + ROI before taxes</t>
  </si>
  <si>
    <t>By-product credits:</t>
  </si>
  <si>
    <t xml:space="preserve">Baseline Prices </t>
  </si>
  <si>
    <t>Solids Digestate</t>
  </si>
  <si>
    <t xml:space="preserve">Liquid Effluent Credit </t>
  </si>
  <si>
    <t>Assumes CI score of 11 (biomass AD); $195 LCFS credit price</t>
  </si>
  <si>
    <t>RINs</t>
  </si>
  <si>
    <t>$/RIN</t>
  </si>
  <si>
    <t>Total by-product credits</t>
  </si>
  <si>
    <t xml:space="preserve">Chemical Price Escalation for all calculations </t>
  </si>
  <si>
    <t>Source: SRI CEH Producer Price Index</t>
  </si>
  <si>
    <t>Extracted from B2A program</t>
  </si>
  <si>
    <t>INDEX</t>
  </si>
  <si>
    <t>Digester Input Mass Flow</t>
  </si>
  <si>
    <t>tons/day</t>
  </si>
  <si>
    <t xml:space="preserve">Lang Factor </t>
  </si>
  <si>
    <t>CEPCI</t>
  </si>
  <si>
    <t>#</t>
  </si>
  <si>
    <t>Group</t>
  </si>
  <si>
    <t>Ref Eq. No</t>
  </si>
  <si>
    <t>Equipment Title</t>
  </si>
  <si>
    <t>Baseline Flow</t>
  </si>
  <si>
    <t>Scaled Flow</t>
  </si>
  <si>
    <t>Units</t>
  </si>
  <si>
    <t>Scaling Exponent</t>
  </si>
  <si>
    <t>Base Cost</t>
  </si>
  <si>
    <t>Scaled Cost</t>
  </si>
  <si>
    <t>Installed Capital Cost</t>
  </si>
  <si>
    <t>kW</t>
  </si>
  <si>
    <t>T-606</t>
  </si>
  <si>
    <t>P-602</t>
  </si>
  <si>
    <t>P-606</t>
  </si>
  <si>
    <t>Included</t>
  </si>
  <si>
    <t>P-607</t>
  </si>
  <si>
    <t>P-616</t>
  </si>
  <si>
    <t>Auxiliary Units (Heat Exchangers, Tanks, Panels)</t>
  </si>
  <si>
    <t>m^3/year</t>
  </si>
  <si>
    <t>B-606</t>
  </si>
  <si>
    <t>C-614</t>
  </si>
  <si>
    <t>M-606</t>
  </si>
  <si>
    <t>T-609</t>
  </si>
  <si>
    <t xml:space="preserve">Liquid Effluent Storage </t>
  </si>
  <si>
    <t>T-608</t>
  </si>
  <si>
    <t>H-602</t>
  </si>
  <si>
    <t>M-632</t>
  </si>
  <si>
    <t>Gas cleaning</t>
  </si>
  <si>
    <t xml:space="preserve">Comments </t>
  </si>
  <si>
    <t>CEPC</t>
  </si>
  <si>
    <t xml:space="preserve">Adjusted cost </t>
  </si>
  <si>
    <t>R-609</t>
  </si>
  <si>
    <t>Gas Cleaning Equipment</t>
  </si>
  <si>
    <t>RIMU???</t>
  </si>
  <si>
    <t>R-610</t>
  </si>
  <si>
    <t>AD_methaneOut</t>
  </si>
  <si>
    <t>S-611</t>
  </si>
  <si>
    <t>Construction &amp; Installation</t>
  </si>
  <si>
    <t>B-608</t>
  </si>
  <si>
    <t>Notes 10% to 20%</t>
  </si>
  <si>
    <t>M-640</t>
  </si>
  <si>
    <t>Mobilization and Insurance (4%)</t>
  </si>
  <si>
    <t>P-610</t>
  </si>
  <si>
    <t>On-site assistance</t>
  </si>
  <si>
    <t>P-611</t>
  </si>
  <si>
    <t>P-612</t>
  </si>
  <si>
    <t>Spare parts</t>
  </si>
  <si>
    <t>RNG storage</t>
  </si>
  <si>
    <t>Spare Parts</t>
  </si>
  <si>
    <t>Injection Point</t>
  </si>
  <si>
    <t>Project Management 4%</t>
  </si>
  <si>
    <t>Pipeline Delivery</t>
  </si>
  <si>
    <t>Sales Tax</t>
  </si>
  <si>
    <t>Design Allowance (5%)</t>
  </si>
  <si>
    <t>Cost Summary</t>
  </si>
  <si>
    <t>Contingency (10%)</t>
  </si>
  <si>
    <t>Equipment</t>
  </si>
  <si>
    <t>Cost</t>
  </si>
  <si>
    <t>Outlook WA</t>
  </si>
  <si>
    <t>State sales tax</t>
  </si>
  <si>
    <t>Local</t>
  </si>
  <si>
    <t>New</t>
  </si>
  <si>
    <t>Total Sales Tax</t>
  </si>
  <si>
    <t xml:space="preserve">digester </t>
  </si>
  <si>
    <t>chp</t>
  </si>
  <si>
    <t>other</t>
  </si>
  <si>
    <t>storage</t>
  </si>
  <si>
    <t xml:space="preserve">Total </t>
  </si>
  <si>
    <t>LABOR COSTS</t>
  </si>
  <si>
    <t>Base salary year=</t>
  </si>
  <si>
    <t>Fixed Operating Costs</t>
  </si>
  <si>
    <t># workers</t>
  </si>
  <si>
    <t>base yr $/hr</t>
  </si>
  <si>
    <t>$/y per worker in 2011$</t>
  </si>
  <si>
    <t>$/y total in 2011$</t>
  </si>
  <si>
    <t>$/hr in 2011$</t>
  </si>
  <si>
    <t>Plant Manager</t>
  </si>
  <si>
    <t>Plant Engineer</t>
  </si>
  <si>
    <t>Maintenance Supr</t>
  </si>
  <si>
    <t>Lab Manager</t>
  </si>
  <si>
    <t>Shift Supervisor</t>
  </si>
  <si>
    <t>Lab Technician</t>
  </si>
  <si>
    <t>Maintenance Tech</t>
  </si>
  <si>
    <t>Shift Operators</t>
  </si>
  <si>
    <t>Yard Employees</t>
  </si>
  <si>
    <t>General Manager</t>
  </si>
  <si>
    <t>Clerks &amp; Secretaries</t>
  </si>
  <si>
    <t>MM$/yr (2011)</t>
  </si>
  <si>
    <t>Cents/gal (2011)</t>
  </si>
  <si>
    <t>Total Salaries</t>
  </si>
  <si>
    <t>Overhead/Maint</t>
  </si>
  <si>
    <t>of Labor &amp; Supervison</t>
  </si>
  <si>
    <t>Maintenance</t>
  </si>
  <si>
    <t>of FCI</t>
  </si>
  <si>
    <t>Insurance &amp; Taxes</t>
  </si>
  <si>
    <t>Total Fixed Operating Costs</t>
  </si>
  <si>
    <t>Labor Index</t>
  </si>
  <si>
    <t>Labor Cost Comparison with SRI PEP Yearbook Data:</t>
  </si>
  <si>
    <t>Source:</t>
  </si>
  <si>
    <t>Bureau of Labor Statistics</t>
  </si>
  <si>
    <t>avg salary (w/ benefits)</t>
  </si>
  <si>
    <t>Series ID:</t>
  </si>
  <si>
    <r>
      <t>CEU32</t>
    </r>
    <r>
      <rPr>
        <b/>
        <sz val="10"/>
        <rFont val="Arial"/>
        <family val="2"/>
      </rPr>
      <t>325000</t>
    </r>
    <r>
      <rPr>
        <sz val="10"/>
        <rFont val="Arial"/>
        <family val="2"/>
      </rPr>
      <t>08</t>
    </r>
  </si>
  <si>
    <t>http://data.bls.gov/cgi-bin/srgate</t>
  </si>
  <si>
    <t>op labor (w/benefits)</t>
  </si>
  <si>
    <t>Chemicals</t>
  </si>
  <si>
    <t>Average Hourly Earnings of Production Workers</t>
  </si>
  <si>
    <t xml:space="preserve">$/h burdened avg labor </t>
  </si>
  <si>
    <t>Current indices @</t>
  </si>
  <si>
    <t>$/h burdened op labor w 10% shift overlap</t>
  </si>
  <si>
    <t xml:space="preserve">SRI 2007, $/h op labor </t>
  </si>
  <si>
    <t>burdened &amp; 10% shift overlap</t>
  </si>
  <si>
    <t>Reported</t>
  </si>
  <si>
    <t>jan</t>
  </si>
  <si>
    <t>p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</si>
  <si>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</si>
  <si>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</si>
  <si>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</si>
  <si>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</si>
  <si>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</si>
  <si>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</si>
  <si>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</si>
  <si>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</si>
  <si>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</si>
  <si>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</si>
  <si>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</si>
  <si>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to date=</t>
  </si>
  <si>
    <t>p : Preliminary. All indexes are subject to revision four months after original publication</t>
  </si>
  <si>
    <t>Sheet</t>
  </si>
  <si>
    <t>Range</t>
  </si>
  <si>
    <t>Variable</t>
  </si>
  <si>
    <t>Lower</t>
  </si>
  <si>
    <t>Upper</t>
  </si>
  <si>
    <t>Base Value</t>
  </si>
  <si>
    <t>B17</t>
  </si>
  <si>
    <t>Solids Digestate Price (-$35.25/ton)</t>
  </si>
  <si>
    <t>B18</t>
  </si>
  <si>
    <t>Liquid Effluent Price (-$2.64/ton)</t>
  </si>
  <si>
    <t>DCFROR</t>
  </si>
  <si>
    <t>Mass &amp; Energy</t>
  </si>
  <si>
    <t>C33</t>
  </si>
  <si>
    <t>Unit</t>
  </si>
  <si>
    <t>As given by Ellen Audia</t>
  </si>
  <si>
    <t>Tons/Acre</t>
  </si>
  <si>
    <t>Tons/Hactre</t>
  </si>
  <si>
    <t>Area (ha)</t>
  </si>
  <si>
    <t>Productivity-based</t>
  </si>
  <si>
    <t>Buffered</t>
  </si>
  <si>
    <t>Site</t>
  </si>
  <si>
    <t>40 km</t>
  </si>
  <si>
    <t>80 km</t>
  </si>
  <si>
    <t>A</t>
  </si>
  <si>
    <t>B</t>
  </si>
  <si>
    <t>C</t>
  </si>
  <si>
    <t>D</t>
  </si>
  <si>
    <t>E</t>
  </si>
  <si>
    <t>F</t>
  </si>
  <si>
    <t>Available biomass per year at 60% availability</t>
  </si>
  <si>
    <t>Biomass  (Tons/year)</t>
  </si>
  <si>
    <t>40km</t>
  </si>
  <si>
    <t>6.5 Mg/ha</t>
  </si>
  <si>
    <t>13.5 Mg/ha</t>
  </si>
  <si>
    <t>Biomass  (Tons/day)</t>
  </si>
  <si>
    <t>6.7 Mg/ha</t>
  </si>
  <si>
    <t xml:space="preserve">NPV (MM USD) </t>
  </si>
  <si>
    <t>7.41315 tons/ha</t>
  </si>
  <si>
    <t>14.8263 tons/ha</t>
  </si>
  <si>
    <t>NPV (MM USD) Digestate credits only</t>
  </si>
  <si>
    <t>NPV (MM USD) Digestate + RIN</t>
  </si>
  <si>
    <t>NPV (MM USD) Digestate + LCFS</t>
  </si>
  <si>
    <t>NPV (MM USD) Digestate + LCFS +RIN</t>
  </si>
  <si>
    <t>Km</t>
  </si>
  <si>
    <t>Miles</t>
  </si>
  <si>
    <t>MT/ha</t>
  </si>
  <si>
    <t>ton/acre</t>
  </si>
  <si>
    <t>tonne (Mg)</t>
  </si>
  <si>
    <t>$/tonne</t>
  </si>
  <si>
    <t>MMBTU</t>
  </si>
  <si>
    <t>Cubic m</t>
  </si>
  <si>
    <t xml:space="preserve">No credits </t>
  </si>
  <si>
    <t>Solid and Liquid
Digestates Credit</t>
  </si>
  <si>
    <t xml:space="preserve">Solid and Liquid
Digestates + RINs  Credit
</t>
  </si>
  <si>
    <t>Liquid Handling</t>
  </si>
  <si>
    <t>Solid and Liquid
Digestates + RINs + LCFS Credit</t>
  </si>
  <si>
    <t>Capacity</t>
  </si>
  <si>
    <t>835 tons/day</t>
  </si>
  <si>
    <t>Radius</t>
  </si>
  <si>
    <t xml:space="preserve">AD to upgrading </t>
  </si>
  <si>
    <t>64.4 Km</t>
  </si>
  <si>
    <t>80 Km</t>
  </si>
  <si>
    <t>Feedstock collection cost</t>
  </si>
  <si>
    <t>22.2$/ton</t>
  </si>
  <si>
    <t>24.47 $/tonne</t>
  </si>
  <si>
    <t>40 miles</t>
  </si>
  <si>
    <t>49.7 miles</t>
  </si>
  <si>
    <t>757.5 tonnes/day</t>
  </si>
  <si>
    <t>Operating cost</t>
  </si>
  <si>
    <t>$53.267 MM</t>
  </si>
  <si>
    <t>Biogas Yield</t>
  </si>
  <si>
    <t>RIN Credit price</t>
  </si>
  <si>
    <t>LCFS Credit price</t>
  </si>
  <si>
    <t>Total Capital Investment</t>
  </si>
  <si>
    <t>Farm Gate Feed Price</t>
  </si>
  <si>
    <t>Gas Cleaning Power Use</t>
  </si>
  <si>
    <t>Operating Capacity</t>
  </si>
  <si>
    <t>L3</t>
  </si>
  <si>
    <t>RNG Price ( 3 $/mmbtu)</t>
  </si>
  <si>
    <t>B32</t>
  </si>
  <si>
    <t>K33</t>
  </si>
  <si>
    <t>B34</t>
  </si>
  <si>
    <t>B35</t>
  </si>
  <si>
    <t>L1</t>
  </si>
  <si>
    <t>W38</t>
  </si>
  <si>
    <t>NPV (MM USD)</t>
  </si>
  <si>
    <t>B33</t>
  </si>
  <si>
    <t>B36</t>
  </si>
  <si>
    <t>Operating Capacity (70%, 100%, 85%)</t>
  </si>
  <si>
    <t>RIN Credit Price (1.05,1.95,1.5 $/RIN)</t>
  </si>
  <si>
    <t>LCFS Credit Price (11.7,21.7,16.7 $/mmbtu)</t>
  </si>
  <si>
    <t>Total Capital Investment(37.3,69.2,53.3 $ MM)</t>
  </si>
  <si>
    <t>Farm Gate Feed Price (11,-11,0 $/Mg)</t>
  </si>
  <si>
    <t>Gas Cleaning Power Use (0.238,0.442,0.34 kwh/m^3)</t>
  </si>
  <si>
    <t>RNG Price (2.5,3.5, 3 $/mmbtu)</t>
  </si>
  <si>
    <r>
      <t>Biogas Yield (328,515, 421.6 m^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 CH4/Mg)</t>
    </r>
  </si>
  <si>
    <t>Solids Digestate Price (27.2,50.5,38.9 $/Mg)</t>
  </si>
  <si>
    <t>Liquid Effluent Price (2.04,3.78,2.91 $/Mg)</t>
  </si>
  <si>
    <t>Scenario2</t>
  </si>
  <si>
    <t>Scenario (Radii)</t>
  </si>
  <si>
    <t>Scenario3</t>
  </si>
  <si>
    <t>3 acres/ton</t>
  </si>
  <si>
    <t>6 acres/ton</t>
  </si>
  <si>
    <t>No Credits</t>
  </si>
  <si>
    <t>Digestate Credits</t>
  </si>
  <si>
    <t>Digestate + RIN</t>
  </si>
  <si>
    <t>Digestate + LCFS</t>
  </si>
  <si>
    <t>LCFS + RIN + Digestate Credits</t>
  </si>
  <si>
    <t>baseline</t>
  </si>
  <si>
    <t>NPV (MM)</t>
  </si>
  <si>
    <t>Productivity Based</t>
  </si>
  <si>
    <t>Digestate credits only</t>
  </si>
  <si>
    <t>Digestate &amp; RIN only</t>
  </si>
  <si>
    <t>Digestate &amp; LCFS only</t>
  </si>
  <si>
    <t>All credits</t>
  </si>
  <si>
    <t>RNG Transportation</t>
  </si>
  <si>
    <t>Digestate Displacement (kg N)</t>
  </si>
  <si>
    <t>Grass Production</t>
  </si>
  <si>
    <t>Grass Transportation</t>
  </si>
  <si>
    <t>RNG Loss</t>
  </si>
  <si>
    <t>Parameter</t>
  </si>
  <si>
    <t>Conversion Factors</t>
  </si>
  <si>
    <t>kg Grass</t>
  </si>
  <si>
    <t>Biogas</t>
  </si>
  <si>
    <t>kg Biogas/kg Grass</t>
  </si>
  <si>
    <t>kg RNG/kg Biogas</t>
  </si>
  <si>
    <t>RNG Loss Factor</t>
  </si>
  <si>
    <t>Commercial Fertilizer Emissions</t>
  </si>
  <si>
    <t>Digestate Fertilizer Equivalent</t>
  </si>
  <si>
    <t>gm N/kg Digestate</t>
  </si>
  <si>
    <t>Section</t>
  </si>
  <si>
    <t>Material</t>
  </si>
  <si>
    <t>Quantity</t>
  </si>
  <si>
    <t>Emissions (kg CO2eq)</t>
  </si>
  <si>
    <t>Emissions (kg CO2eq/kg input)</t>
  </si>
  <si>
    <t>Output Basis (kg of Product)</t>
  </si>
  <si>
    <t>Emissions (kg CO2eq/kg Output)</t>
  </si>
  <si>
    <t>Conversion (kg RNG/kg)</t>
  </si>
  <si>
    <t>Emissions (kg CO2eq/kg RNG)</t>
  </si>
  <si>
    <t>Emissions (gram CO2eq/MJ RNG)</t>
  </si>
  <si>
    <t>REF</t>
  </si>
  <si>
    <t>Transportation</t>
  </si>
  <si>
    <t>Upgrading</t>
  </si>
  <si>
    <t>Upgrading Electricity (kWh)</t>
  </si>
  <si>
    <t>Anaerobic Digestion</t>
  </si>
  <si>
    <t>Digester Electricity (kWh)</t>
  </si>
  <si>
    <t>Switchgrass</t>
  </si>
  <si>
    <t>Farming</t>
  </si>
  <si>
    <t>RNG LHV (MJ/kg)</t>
  </si>
  <si>
    <t>Credit Value ($/mmbtu of RNG)</t>
  </si>
  <si>
    <t>https://www.anl.gov/sites/www/files/2020-11/RNG_for_Transportation_FAQs.pdf</t>
  </si>
  <si>
    <t>https://onlinelibrary.wiley.com/doi/full/10.1002/ghg.1506?casa_token=ugRmsxDlXagAAAAA%3Aw1rskZEtQSRES-N_TSIANBP-53mFtkcMFaBAskgYuiE0Z18k5-_4ZNCm_8Nc_-qp0xSXrhJRa58tUwA</t>
  </si>
  <si>
    <t>Carbon intesity score</t>
  </si>
  <si>
    <t>fossil CNG</t>
  </si>
  <si>
    <t>Landfill Gas</t>
  </si>
  <si>
    <t>Livestock: Pasture/Solid Storage</t>
  </si>
  <si>
    <t>Livestock: Deep pit</t>
  </si>
  <si>
    <t>Livestock: Open Lagoon</t>
  </si>
  <si>
    <t>WRRF Sludge</t>
  </si>
  <si>
    <t>Food Waste</t>
  </si>
  <si>
    <t>Biocrops to RNG</t>
  </si>
  <si>
    <t>Tons</t>
  </si>
  <si>
    <t>tonnes</t>
  </si>
  <si>
    <t>Parameters </t>
  </si>
  <si>
    <t>Feedstock farm gate price</t>
  </si>
  <si>
    <t>Feedstock yield</t>
  </si>
  <si>
    <t>Tons/acre</t>
  </si>
  <si>
    <t>Feedstock availability factor</t>
  </si>
  <si>
    <t>Biogas loading cost</t>
  </si>
  <si>
    <t>Biogas transport cost</t>
  </si>
  <si>
    <t>$/ton/mile</t>
  </si>
  <si>
    <t>Biogas travel distance</t>
  </si>
  <si>
    <t>Utilities/tax credits:</t>
  </si>
  <si>
    <t>Electricity cost</t>
  </si>
  <si>
    <t>Pipeline injection</t>
  </si>
  <si>
    <t>LCFS transaction cost</t>
  </si>
  <si>
    <t>RIN transaction cost</t>
  </si>
  <si>
    <t>By-product handling:</t>
  </si>
  <si>
    <t>Liquid effluent handling </t>
  </si>
  <si>
    <t>Solids digestate</t>
  </si>
  <si>
    <t>Liquid effluent credit </t>
  </si>
  <si>
    <t>Low carbon fuel standard credits</t>
  </si>
  <si>
    <t>Renewable identification number credits</t>
  </si>
  <si>
    <t>$/rin</t>
  </si>
  <si>
    <t>Renewable natural gas</t>
  </si>
  <si>
    <t>Others</t>
  </si>
  <si>
    <t>Annual salaries</t>
  </si>
  <si>
    <t>Fixed Operating Cost</t>
  </si>
  <si>
    <t>Overhead</t>
  </si>
  <si>
    <t>Insurance and taxes</t>
  </si>
  <si>
    <t>1% of FCI</t>
  </si>
  <si>
    <t>2% of FCI</t>
  </si>
  <si>
    <t>5% of Total salaries</t>
  </si>
  <si>
    <t>0.26 MM</t>
  </si>
  <si>
    <t>$</t>
  </si>
  <si>
    <t>Loan</t>
  </si>
  <si>
    <t>Debt financing interest rate</t>
  </si>
  <si>
    <t>Term for financing debt</t>
  </si>
  <si>
    <t>Construction period</t>
  </si>
  <si>
    <t>Startup time</t>
  </si>
  <si>
    <t>Plant life</t>
  </si>
  <si>
    <t>Revenue during startup</t>
  </si>
  <si>
    <t>Variable cost during startup</t>
  </si>
  <si>
    <t>Fixed Cost during startup</t>
  </si>
  <si>
    <t>On-stream factor</t>
  </si>
  <si>
    <t>40% of TCI</t>
  </si>
  <si>
    <t>60% of TCI</t>
  </si>
  <si>
    <t>10 years</t>
  </si>
  <si>
    <t>20 years</t>
  </si>
  <si>
    <t>3 years</t>
  </si>
  <si>
    <t>6 months</t>
  </si>
  <si>
    <t>50% of total revenue</t>
  </si>
  <si>
    <t>75% of variable cost</t>
  </si>
  <si>
    <t>100% of normal fixed cost</t>
  </si>
  <si>
    <t>tonne</t>
  </si>
  <si>
    <t>min all credits</t>
  </si>
  <si>
    <t>max all credits</t>
  </si>
  <si>
    <t>% contribution/MJ RNG)</t>
  </si>
  <si>
    <t>Emission sources</t>
  </si>
  <si>
    <t>Title</t>
  </si>
  <si>
    <t>Scenario 3(Mg/ha)</t>
  </si>
  <si>
    <t>Farmgate Price</t>
  </si>
  <si>
    <t>All Credits</t>
  </si>
  <si>
    <t>C13</t>
  </si>
  <si>
    <t>Digestate Fertilizer Equivalent (gm N/kg Digestate)</t>
  </si>
  <si>
    <t>RNG Transportation EF (kg CO2eq)</t>
  </si>
  <si>
    <t>GHG (gram CO2eq/MJ RNG)</t>
  </si>
  <si>
    <t>Grass Transportation EF (kg CO2eq)</t>
  </si>
  <si>
    <t>Grass Production EF (kg CO2eq)</t>
  </si>
  <si>
    <t>E12</t>
  </si>
  <si>
    <t>E17</t>
  </si>
  <si>
    <t>E18</t>
  </si>
  <si>
    <t>RNG Transportation EF</t>
  </si>
  <si>
    <t>Grass Transportation EF</t>
  </si>
  <si>
    <t>kg CO2eq</t>
  </si>
  <si>
    <t>RNG Loss (1%,2%,5% )</t>
  </si>
  <si>
    <t>Upgrading Electricity</t>
  </si>
  <si>
    <t xml:space="preserve">Digester Electricity </t>
  </si>
  <si>
    <t>Digestate Displacement</t>
  </si>
  <si>
    <t xml:space="preserve">Grass Production EF </t>
  </si>
  <si>
    <t>Gas To RNG</t>
  </si>
  <si>
    <t>MG</t>
  </si>
  <si>
    <t>m3/ton</t>
  </si>
  <si>
    <t>m3/MG</t>
  </si>
  <si>
    <t>$/MG</t>
  </si>
  <si>
    <t xml:space="preserve">RNG produced (MMBtu) </t>
  </si>
  <si>
    <t>Land Use Scenario</t>
  </si>
  <si>
    <t>Biomass
Production
Scenario</t>
  </si>
  <si>
    <t>Credit Scenario</t>
  </si>
  <si>
    <t>min</t>
  </si>
  <si>
    <t>max</t>
  </si>
  <si>
    <t>Annual RNG (MMBTU)</t>
  </si>
  <si>
    <t>RNG produced (MMBtu)  Digestate credits only</t>
  </si>
  <si>
    <t>RNG produced (MMBtu)  Digestate + RIN</t>
  </si>
  <si>
    <t>RNG produced (MMBtu)  Digestate + LCFS</t>
  </si>
  <si>
    <t>RNG produced (MMBtu)  Digestate + LCFS +RIN</t>
  </si>
  <si>
    <t>MMBtu</t>
  </si>
  <si>
    <t>Kilowatt</t>
  </si>
  <si>
    <t xml:space="preserve"> Energy (Million KWh) </t>
  </si>
  <si>
    <t>Annual RNG Production (10^6 MJ)
Land Use Scenario</t>
  </si>
  <si>
    <t>Min</t>
  </si>
  <si>
    <t>Max</t>
  </si>
  <si>
    <t>6.7 Mg/Ha</t>
  </si>
  <si>
    <t>$/MMBtu</t>
  </si>
  <si>
    <t>$/kWh</t>
  </si>
  <si>
    <t>cents/MJ</t>
  </si>
  <si>
    <t>LCFS credits</t>
  </si>
  <si>
    <t>no credits scemario OC</t>
  </si>
  <si>
    <t>digestate only OC</t>
  </si>
  <si>
    <t>digestate and RINs</t>
  </si>
  <si>
    <t xml:space="preserve">RNG produced (Million MJ) </t>
  </si>
  <si>
    <t>$/GJ</t>
  </si>
  <si>
    <t>RNG price</t>
  </si>
  <si>
    <t>Plastic Waste</t>
  </si>
  <si>
    <t>Cost ($)/GJ</t>
  </si>
  <si>
    <t>GJ</t>
  </si>
  <si>
    <t>Injection and Pipeline delivery</t>
  </si>
  <si>
    <t>Digesters</t>
  </si>
  <si>
    <t>Injection and pipeline delivery</t>
  </si>
  <si>
    <t>Grass Methane yield m3 per tonne VS</t>
  </si>
  <si>
    <t>Grass Methane yield m3 per ton VS</t>
  </si>
  <si>
    <t>no of digesters</t>
  </si>
  <si>
    <t>Volatile solids of Biomass  (Tons/day)</t>
  </si>
  <si>
    <t>VS/Biomass</t>
  </si>
  <si>
    <t>Methane Potential (m3/ton of VS)</t>
  </si>
  <si>
    <t>Biomass (VS /ton/day)</t>
  </si>
  <si>
    <t>Baseline, 6.7 t/ha</t>
  </si>
  <si>
    <t>Baseline, 13.5 t/ha</t>
  </si>
  <si>
    <t>Buffered, 6.7 t/ha</t>
  </si>
  <si>
    <t>Buffered, 13.5 t/ha</t>
  </si>
  <si>
    <t>Productivity-Based, 6.7 t/ha</t>
  </si>
  <si>
    <t>Productivity-Based, 13.5 t/ha</t>
  </si>
  <si>
    <t>Biomass  (tonnes/day)</t>
  </si>
  <si>
    <t>total</t>
  </si>
  <si>
    <t>Min NPV</t>
  </si>
  <si>
    <t>MaxNPV</t>
  </si>
  <si>
    <t>Total Capital Investment(13.7,25.4,19.5 $ MM)</t>
  </si>
  <si>
    <t>Amount of RNG Produced (Million GJ)  (x;y --&gt;  6.7 t/ha scenario; 13.5 t/ha scenario)</t>
  </si>
  <si>
    <t>Amount of RNG Produced (Million MJ) 13.5 t/ha</t>
  </si>
  <si>
    <t>Amount of RNG Produced (Million MJ) 6.7 t/ha</t>
  </si>
  <si>
    <t>Biomass yield scenario (t/ha)</t>
  </si>
  <si>
    <t>6.7 13.5</t>
  </si>
  <si>
    <t>RNG produced (million GJ)</t>
  </si>
  <si>
    <t>Baseline;6.5 t/ha</t>
  </si>
  <si>
    <t>Baseline;13.5 Mg/ha</t>
  </si>
  <si>
    <t>Productivity-based; 6.75 t/ha</t>
  </si>
  <si>
    <t>Productivity-based;13.5 t/ha</t>
  </si>
  <si>
    <t>Buffered;6.5 t/ha</t>
  </si>
  <si>
    <t>Buffered;13.5 t/ha</t>
  </si>
  <si>
    <t>Biomass (VS tonnnes/day)</t>
  </si>
  <si>
    <t>6.5 t/ha</t>
  </si>
  <si>
    <t>13.5 t/ha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</si>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</sst>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General_)"/>
    <numFmt numFmtId="167" formatCode="&quot;$&quot;#,##0"/>
    <numFmt numFmtId="168" formatCode="0.0"/>
    <numFmt numFmtId="169" formatCode="&quot;$&quot;#,##0.00"/>
    <numFmt numFmtId="170" formatCode="#,##0.000"/>
    <numFmt numFmtId="171" formatCode="&quot;$&quot;#,##0.0_);\(&quot;$&quot;#,##0.0\)"/>
    <numFmt numFmtId="172" formatCode="&quot;$&quot;#,##0.0000"/>
    <numFmt numFmtId="173" formatCode="#,##0.0"/>
    <numFmt numFmtId="174" formatCode="0.000"/>
    <numFmt numFmtId="175" formatCode="_(* #,##0_);_(* \(#,##0\);_(* &quot;-&quot;??_);_(@_)"/>
    <numFmt numFmtId="176" formatCode="_(&quot;$&quot;* #,##0_);_(&quot;$&quot;* \(#,##0\);_(&quot;$&quot;* &quot;-&quot;??_);_(@_)"/>
    <numFmt numFmtId="177" formatCode="&quot;$&quot;#,##0.000"/>
    <numFmt numFmtId="178" formatCode="_(* #,##0.0000_);_(* \(#,##0.0000\);_(* &quot;-&quot;??_);_(@_)"/>
    <numFmt numFmtId="179" formatCode="0.00000"/>
    <numFmt numFmtId="180" formatCode="_(* #,##0.000_);_(* \(#,##0.000\);_(* &quot;-&quot;??_);_(@_)"/>
    <numFmt numFmtId="181" formatCode="_(* #,##0.00000_);_(* \(#,##0.00000\);_(* &quot;-&quot;??_);_(@_)"/>
    <numFmt numFmtId="182" formatCode="0.0000"/>
    <numFmt numFmtId="183" formatCode="0.000000"/>
  </numFmts>
  <fonts count="88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 Narrow"/>
      <family val="2"/>
    </font>
    <font>
      <sz val="10"/>
      <name val="Verdana"/>
      <family val="2"/>
    </font>
    <font>
      <sz val="8"/>
      <name val="Arial Narrow"/>
      <family val="2"/>
    </font>
    <font>
      <sz val="8"/>
      <name val="Arial"/>
      <family val="2"/>
    </font>
    <font>
      <sz val="12"/>
      <color theme="1"/>
      <name val="Times New Roman"/>
      <family val="2"/>
    </font>
    <font>
      <b/>
      <sz val="8"/>
      <name val="Arial"/>
      <family val="2"/>
    </font>
    <font>
      <i/>
      <sz val="10"/>
      <name val="Arial"/>
      <family val="2"/>
    </font>
    <font>
      <sz val="8"/>
      <name val="Verdana"/>
      <family val="2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0"/>
      <name val="Verdana"/>
      <family val="2"/>
    </font>
    <font>
      <u/>
      <sz val="11.5"/>
      <color indexed="12"/>
      <name val="Courier"/>
      <family val="3"/>
    </font>
    <font>
      <b/>
      <sz val="10"/>
      <color indexed="10"/>
      <name val="Arial"/>
      <family val="2"/>
    </font>
    <font>
      <sz val="10"/>
      <color indexed="10"/>
      <name val="Verdana"/>
      <family val="2"/>
    </font>
    <font>
      <i/>
      <sz val="10"/>
      <name val="Verdana"/>
      <family val="2"/>
    </font>
    <font>
      <sz val="10"/>
      <name val="Arial Unicode MS"/>
      <family val="2"/>
    </font>
    <font>
      <sz val="10"/>
      <color indexed="14"/>
      <name val="Lucida Sans Unicode"/>
      <family val="2"/>
    </font>
    <font>
      <sz val="8"/>
      <name val="Lucida Sans Unicode"/>
      <family val="2"/>
    </font>
    <font>
      <b/>
      <sz val="8"/>
      <name val="Lucida Sans Unicode"/>
      <family val="2"/>
    </font>
    <font>
      <b/>
      <sz val="10"/>
      <color indexed="10"/>
      <name val="Lucida Sans Unicode"/>
      <family val="2"/>
    </font>
    <font>
      <sz val="10"/>
      <color indexed="10"/>
      <name val="Lucida Sans Unicode"/>
      <family val="2"/>
    </font>
    <font>
      <sz val="10"/>
      <color indexed="12"/>
      <name val="Lucida Sans Unicode"/>
      <family val="2"/>
    </font>
    <font>
      <b/>
      <sz val="10"/>
      <color indexed="12"/>
      <name val="Lucida Sans Unicode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0"/>
      <name val="Arial"/>
      <family val="2"/>
    </font>
    <font>
      <i/>
      <sz val="8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8"/>
      <color indexed="12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1"/>
      <color rgb="FF3F3F76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Times New Roman"/>
      <family val="1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7"/>
      <color rgb="FF000000"/>
      <name val="Times New Roman"/>
      <family val="1"/>
    </font>
    <font>
      <sz val="14"/>
      <color rgb="FF2E2E2E"/>
      <name val="Georgia"/>
      <family val="1"/>
    </font>
    <font>
      <b/>
      <sz val="14"/>
      <color rgb="FF2E2E2E"/>
      <name val="Georgia"/>
      <family val="1"/>
    </font>
    <font>
      <b/>
      <sz val="11"/>
      <color rgb="FF2E2E2E"/>
      <name val="Georgia"/>
      <family val="1"/>
    </font>
    <font>
      <sz val="10"/>
      <color rgb="FF000000"/>
      <name val="Arial Narrow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000000"/>
      <name val="Arial"/>
      <family val="2"/>
    </font>
    <font>
      <vertAlign val="superscript"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68">
    <xf numFmtId="0" fontId="0" fillId="0" borderId="0"/>
    <xf numFmtId="0" fontId="20" fillId="2" borderId="1" applyNumberFormat="0" applyAlignment="0" applyProtection="0"/>
    <xf numFmtId="166" fontId="24" fillId="0" borderId="0" applyBorder="0"/>
    <xf numFmtId="43" fontId="18" fillId="0" borderId="0" applyFont="0" applyFill="0" applyBorder="0" applyAlignment="0" applyProtection="0"/>
    <xf numFmtId="0" fontId="14" fillId="0" borderId="0"/>
    <xf numFmtId="0" fontId="28" fillId="0" borderId="0"/>
    <xf numFmtId="44" fontId="18" fillId="0" borderId="0" applyFont="0" applyFill="0" applyBorder="0" applyAlignment="0" applyProtection="0"/>
    <xf numFmtId="0" fontId="32" fillId="0" borderId="0"/>
    <xf numFmtId="0" fontId="13" fillId="5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43" fontId="3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5" fillId="0" borderId="0"/>
    <xf numFmtId="43" fontId="1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/>
    <xf numFmtId="44" fontId="65" fillId="0" borderId="0" applyFont="0" applyFill="0" applyBorder="0" applyAlignment="0" applyProtection="0"/>
    <xf numFmtId="0" fontId="66" fillId="0" borderId="0" applyNumberFormat="0" applyFill="0" applyBorder="0" applyAlignment="0" applyProtection="0"/>
    <xf numFmtId="9" fontId="67" fillId="0" borderId="0" applyFont="0" applyFill="0" applyBorder="0" applyAlignment="0" applyProtection="0"/>
    <xf numFmtId="0" fontId="8" fillId="0" borderId="0"/>
    <xf numFmtId="0" fontId="8" fillId="0" borderId="0"/>
  </cellStyleXfs>
  <cellXfs count="716">
    <xf numFmtId="0" fontId="0" fillId="0" borderId="0" xfId="0"/>
    <xf numFmtId="0" fontId="19" fillId="0" borderId="0" xfId="0" applyFont="1"/>
    <xf numFmtId="166" fontId="29" fillId="0" borderId="0" xfId="2" applyFont="1" applyBorder="1" applyAlignment="1">
      <alignment horizontal="center" wrapText="1"/>
    </xf>
    <xf numFmtId="166" fontId="27" fillId="0" borderId="0" xfId="2" applyFont="1" applyBorder="1" applyAlignment="1">
      <alignment horizontal="right"/>
    </xf>
    <xf numFmtId="166" fontId="29" fillId="0" borderId="0" xfId="2" applyFont="1" applyBorder="1" applyAlignment="1">
      <alignment horizontal="center" vertical="center" wrapText="1"/>
    </xf>
    <xf numFmtId="166" fontId="27" fillId="0" borderId="0" xfId="2" applyFont="1" applyBorder="1"/>
    <xf numFmtId="166" fontId="29" fillId="0" borderId="0" xfId="2" applyFont="1" applyBorder="1" applyAlignment="1">
      <alignment horizontal="right" wrapText="1"/>
    </xf>
    <xf numFmtId="166" fontId="29" fillId="0" borderId="0" xfId="2" applyFont="1" applyBorder="1"/>
    <xf numFmtId="166" fontId="25" fillId="0" borderId="0" xfId="2" applyFont="1" applyBorder="1"/>
    <xf numFmtId="166" fontId="31" fillId="0" borderId="0" xfId="2" applyFont="1" applyBorder="1" applyAlignment="1">
      <alignment horizontal="left"/>
    </xf>
    <xf numFmtId="0" fontId="13" fillId="0" borderId="0" xfId="9"/>
    <xf numFmtId="0" fontId="19" fillId="0" borderId="0" xfId="9" applyFont="1"/>
    <xf numFmtId="164" fontId="0" fillId="0" borderId="0" xfId="10" applyNumberFormat="1" applyFont="1" applyAlignment="1"/>
    <xf numFmtId="0" fontId="33" fillId="0" borderId="0" xfId="9" applyFont="1"/>
    <xf numFmtId="43" fontId="21" fillId="3" borderId="2" xfId="10" applyFont="1" applyFill="1" applyBorder="1" applyAlignment="1"/>
    <xf numFmtId="0" fontId="13" fillId="0" borderId="2" xfId="9" applyBorder="1"/>
    <xf numFmtId="0" fontId="13" fillId="5" borderId="1" xfId="8" applyBorder="1" applyAlignment="1"/>
    <xf numFmtId="0" fontId="13" fillId="5" borderId="2" xfId="8" applyBorder="1" applyAlignment="1"/>
    <xf numFmtId="9" fontId="13" fillId="5" borderId="2" xfId="8" applyNumberFormat="1" applyBorder="1" applyAlignment="1"/>
    <xf numFmtId="9" fontId="13" fillId="5" borderId="1" xfId="8" applyNumberFormat="1" applyBorder="1" applyAlignment="1"/>
    <xf numFmtId="165" fontId="13" fillId="5" borderId="1" xfId="8" applyNumberFormat="1" applyBorder="1" applyAlignment="1"/>
    <xf numFmtId="0" fontId="20" fillId="6" borderId="2" xfId="1" applyFill="1" applyBorder="1" applyAlignment="1"/>
    <xf numFmtId="0" fontId="0" fillId="0" borderId="2" xfId="0" applyBorder="1"/>
    <xf numFmtId="0" fontId="15" fillId="0" borderId="2" xfId="9" applyFont="1" applyBorder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69" fontId="0" fillId="4" borderId="0" xfId="0" applyNumberFormat="1" applyFill="1" applyAlignment="1">
      <alignment horizontal="center"/>
    </xf>
    <xf numFmtId="169" fontId="19" fillId="0" borderId="0" xfId="0" applyNumberFormat="1" applyFont="1" applyAlignment="1">
      <alignment horizontal="center"/>
    </xf>
    <xf numFmtId="0" fontId="15" fillId="0" borderId="0" xfId="15" applyAlignment="1">
      <alignment wrapText="1"/>
    </xf>
    <xf numFmtId="0" fontId="16" fillId="0" borderId="0" xfId="15" applyFont="1" applyAlignment="1">
      <alignment wrapText="1"/>
    </xf>
    <xf numFmtId="0" fontId="16" fillId="0" borderId="0" xfId="15" applyFont="1" applyAlignment="1">
      <alignment horizontal="right" wrapText="1"/>
    </xf>
    <xf numFmtId="1" fontId="16" fillId="0" borderId="0" xfId="15" applyNumberFormat="1" applyFont="1"/>
    <xf numFmtId="2" fontId="36" fillId="0" borderId="0" xfId="15" applyNumberFormat="1" applyFont="1" applyAlignment="1">
      <alignment wrapText="1"/>
    </xf>
    <xf numFmtId="3" fontId="15" fillId="0" borderId="0" xfId="15" applyNumberFormat="1" applyAlignment="1">
      <alignment wrapText="1"/>
    </xf>
    <xf numFmtId="2" fontId="15" fillId="0" borderId="0" xfId="15" applyNumberFormat="1" applyAlignment="1">
      <alignment wrapText="1"/>
    </xf>
    <xf numFmtId="0" fontId="36" fillId="0" borderId="0" xfId="15" applyFont="1" applyAlignment="1">
      <alignment wrapText="1"/>
    </xf>
    <xf numFmtId="0" fontId="16" fillId="0" borderId="2" xfId="15" applyFont="1" applyBorder="1" applyAlignment="1">
      <alignment wrapText="1"/>
    </xf>
    <xf numFmtId="3" fontId="15" fillId="0" borderId="2" xfId="15" applyNumberFormat="1" applyBorder="1" applyAlignment="1">
      <alignment horizontal="right" wrapText="1"/>
    </xf>
    <xf numFmtId="3" fontId="15" fillId="0" borderId="2" xfId="15" applyNumberFormat="1" applyBorder="1" applyAlignment="1">
      <alignment horizontal="center" wrapText="1"/>
    </xf>
    <xf numFmtId="2" fontId="36" fillId="0" borderId="2" xfId="15" applyNumberFormat="1" applyFont="1" applyBorder="1" applyAlignment="1">
      <alignment wrapText="1"/>
    </xf>
    <xf numFmtId="2" fontId="15" fillId="0" borderId="2" xfId="15" quotePrefix="1" applyNumberFormat="1" applyBorder="1" applyAlignment="1">
      <alignment horizontal="center" wrapText="1"/>
    </xf>
    <xf numFmtId="0" fontId="15" fillId="0" borderId="2" xfId="15" applyBorder="1" applyAlignment="1">
      <alignment wrapText="1"/>
    </xf>
    <xf numFmtId="3" fontId="15" fillId="0" borderId="2" xfId="15" applyNumberFormat="1" applyBorder="1" applyAlignment="1">
      <alignment wrapText="1"/>
    </xf>
    <xf numFmtId="3" fontId="15" fillId="0" borderId="2" xfId="15" applyNumberFormat="1" applyBorder="1"/>
    <xf numFmtId="0" fontId="15" fillId="0" borderId="0" xfId="15"/>
    <xf numFmtId="1" fontId="36" fillId="0" borderId="0" xfId="15" applyNumberFormat="1" applyFont="1" applyAlignment="1">
      <alignment wrapText="1"/>
    </xf>
    <xf numFmtId="1" fontId="15" fillId="0" borderId="0" xfId="15" applyNumberFormat="1" applyAlignment="1">
      <alignment wrapText="1"/>
    </xf>
    <xf numFmtId="3" fontId="16" fillId="0" borderId="2" xfId="15" applyNumberFormat="1" applyFont="1" applyBorder="1" applyAlignment="1">
      <alignment wrapText="1"/>
    </xf>
    <xf numFmtId="2" fontId="37" fillId="0" borderId="2" xfId="15" applyNumberFormat="1" applyFont="1" applyBorder="1" applyAlignment="1">
      <alignment wrapText="1"/>
    </xf>
    <xf numFmtId="3" fontId="16" fillId="0" borderId="2" xfId="15" applyNumberFormat="1" applyFont="1" applyBorder="1"/>
    <xf numFmtId="166" fontId="15" fillId="0" borderId="0" xfId="2" applyFont="1"/>
    <xf numFmtId="166" fontId="25" fillId="0" borderId="0" xfId="2" applyFont="1"/>
    <xf numFmtId="1" fontId="25" fillId="0" borderId="0" xfId="2" applyNumberFormat="1" applyFont="1"/>
    <xf numFmtId="166" fontId="38" fillId="0" borderId="0" xfId="2" applyFont="1"/>
    <xf numFmtId="1" fontId="38" fillId="0" borderId="0" xfId="2" applyNumberFormat="1" applyFont="1"/>
    <xf numFmtId="170" fontId="15" fillId="0" borderId="0" xfId="15" applyNumberFormat="1" applyAlignment="1">
      <alignment wrapText="1"/>
    </xf>
    <xf numFmtId="2" fontId="16" fillId="0" borderId="0" xfId="15" quotePrefix="1" applyNumberFormat="1" applyFont="1" applyAlignment="1">
      <alignment horizontal="center" wrapText="1"/>
    </xf>
    <xf numFmtId="2" fontId="16" fillId="0" borderId="0" xfId="15" applyNumberFormat="1" applyFont="1" applyAlignment="1">
      <alignment wrapText="1"/>
    </xf>
    <xf numFmtId="9" fontId="15" fillId="0" borderId="0" xfId="16" applyFont="1" applyFill="1" applyAlignment="1">
      <alignment wrapText="1"/>
    </xf>
    <xf numFmtId="0" fontId="15" fillId="0" borderId="0" xfId="15" applyAlignment="1">
      <alignment horizontal="left" wrapText="1"/>
    </xf>
    <xf numFmtId="165" fontId="15" fillId="0" borderId="0" xfId="16" applyNumberFormat="1" applyFont="1" applyFill="1" applyAlignment="1">
      <alignment wrapText="1"/>
    </xf>
    <xf numFmtId="10" fontId="15" fillId="0" borderId="0" xfId="15" applyNumberFormat="1" applyAlignment="1">
      <alignment wrapText="1"/>
    </xf>
    <xf numFmtId="166" fontId="16" fillId="0" borderId="0" xfId="2" applyFont="1" applyAlignment="1">
      <alignment horizontal="center"/>
    </xf>
    <xf numFmtId="166" fontId="16" fillId="0" borderId="0" xfId="2" applyFont="1"/>
    <xf numFmtId="167" fontId="15" fillId="0" borderId="0" xfId="15" applyNumberFormat="1" applyAlignment="1">
      <alignment wrapText="1"/>
    </xf>
    <xf numFmtId="166" fontId="15" fillId="0" borderId="0" xfId="2" applyFont="1" applyAlignment="1">
      <alignment horizontal="right"/>
    </xf>
    <xf numFmtId="2" fontId="40" fillId="0" borderId="0" xfId="15" applyNumberFormat="1" applyFont="1" applyAlignment="1">
      <alignment wrapText="1"/>
    </xf>
    <xf numFmtId="166" fontId="41" fillId="0" borderId="0" xfId="2" applyFont="1"/>
    <xf numFmtId="2" fontId="15" fillId="0" borderId="0" xfId="2" applyNumberFormat="1" applyFont="1"/>
    <xf numFmtId="166" fontId="16" fillId="0" borderId="0" xfId="2" applyFont="1" applyAlignment="1">
      <alignment horizontal="right"/>
    </xf>
    <xf numFmtId="166" fontId="15" fillId="0" borderId="0" xfId="2" applyFont="1" applyBorder="1" applyAlignment="1">
      <alignment horizontal="right"/>
    </xf>
    <xf numFmtId="4" fontId="15" fillId="0" borderId="0" xfId="2" applyNumberFormat="1" applyFont="1" applyAlignment="1">
      <alignment horizontal="right"/>
    </xf>
    <xf numFmtId="4" fontId="15" fillId="0" borderId="0" xfId="2" applyNumberFormat="1" applyFont="1"/>
    <xf numFmtId="166" fontId="15" fillId="0" borderId="0" xfId="2" applyFont="1" applyAlignment="1">
      <alignment horizontal="center"/>
    </xf>
    <xf numFmtId="2" fontId="15" fillId="0" borderId="0" xfId="2" applyNumberFormat="1" applyFont="1" applyAlignment="1">
      <alignment horizontal="right"/>
    </xf>
    <xf numFmtId="168" fontId="15" fillId="0" borderId="0" xfId="2" applyNumberFormat="1" applyFont="1"/>
    <xf numFmtId="4" fontId="15" fillId="0" borderId="0" xfId="2" applyNumberFormat="1" applyFont="1" applyBorder="1"/>
    <xf numFmtId="166" fontId="38" fillId="0" borderId="0" xfId="2" applyFont="1" applyBorder="1" applyAlignment="1">
      <alignment horizontal="center" vertical="center" wrapText="1"/>
    </xf>
    <xf numFmtId="166" fontId="15" fillId="0" borderId="0" xfId="2" applyFont="1" applyBorder="1"/>
    <xf numFmtId="166" fontId="42" fillId="0" borderId="0" xfId="2" applyFont="1"/>
    <xf numFmtId="4" fontId="30" fillId="0" borderId="0" xfId="2" applyNumberFormat="1" applyFont="1"/>
    <xf numFmtId="166" fontId="24" fillId="0" borderId="0" xfId="2" applyBorder="1"/>
    <xf numFmtId="166" fontId="24" fillId="0" borderId="0" xfId="2"/>
    <xf numFmtId="2" fontId="30" fillId="0" borderId="0" xfId="2" applyNumberFormat="1" applyFont="1"/>
    <xf numFmtId="0" fontId="27" fillId="0" borderId="0" xfId="18" applyFont="1"/>
    <xf numFmtId="166" fontId="31" fillId="0" borderId="0" xfId="2" applyFont="1" applyBorder="1" applyAlignment="1">
      <alignment wrapText="1"/>
    </xf>
    <xf numFmtId="166" fontId="30" fillId="0" borderId="0" xfId="2" applyFont="1" applyBorder="1"/>
    <xf numFmtId="166" fontId="43" fillId="0" borderId="0" xfId="2" applyFont="1"/>
    <xf numFmtId="3" fontId="36" fillId="0" borderId="0" xfId="15" applyNumberFormat="1" applyFont="1" applyAlignment="1">
      <alignment wrapText="1"/>
    </xf>
    <xf numFmtId="0" fontId="37" fillId="0" borderId="0" xfId="19" applyFont="1"/>
    <xf numFmtId="0" fontId="36" fillId="0" borderId="0" xfId="19" applyFont="1"/>
    <xf numFmtId="39" fontId="36" fillId="0" borderId="0" xfId="19" applyNumberFormat="1" applyFont="1"/>
    <xf numFmtId="7" fontId="36" fillId="0" borderId="0" xfId="19" applyNumberFormat="1" applyFont="1"/>
    <xf numFmtId="5" fontId="36" fillId="0" borderId="0" xfId="19" applyNumberFormat="1" applyFont="1"/>
    <xf numFmtId="171" fontId="36" fillId="0" borderId="0" xfId="19" applyNumberFormat="1" applyFont="1"/>
    <xf numFmtId="9" fontId="36" fillId="0" borderId="0" xfId="19" applyNumberFormat="1" applyFont="1"/>
    <xf numFmtId="9" fontId="36" fillId="0" borderId="0" xfId="16" applyFont="1" applyFill="1"/>
    <xf numFmtId="164" fontId="36" fillId="0" borderId="0" xfId="20" applyNumberFormat="1" applyFont="1" applyFill="1"/>
    <xf numFmtId="10" fontId="36" fillId="0" borderId="0" xfId="16" applyNumberFormat="1" applyFont="1" applyFill="1"/>
    <xf numFmtId="3" fontId="36" fillId="0" borderId="0" xfId="19" applyNumberFormat="1" applyFont="1"/>
    <xf numFmtId="10" fontId="36" fillId="0" borderId="0" xfId="16" quotePrefix="1" applyNumberFormat="1" applyFont="1" applyFill="1"/>
    <xf numFmtId="43" fontId="36" fillId="0" borderId="0" xfId="20" applyFont="1" applyFill="1"/>
    <xf numFmtId="10" fontId="36" fillId="0" borderId="0" xfId="20" applyNumberFormat="1" applyFont="1" applyFill="1"/>
    <xf numFmtId="0" fontId="36" fillId="0" borderId="0" xfId="19" quotePrefix="1" applyFont="1" applyAlignment="1">
      <alignment horizontal="left"/>
    </xf>
    <xf numFmtId="168" fontId="25" fillId="0" borderId="0" xfId="2" applyNumberFormat="1" applyFont="1" applyBorder="1"/>
    <xf numFmtId="169" fontId="36" fillId="0" borderId="0" xfId="19" applyNumberFormat="1" applyFont="1" applyAlignment="1">
      <alignment horizontal="right"/>
    </xf>
    <xf numFmtId="172" fontId="36" fillId="0" borderId="0" xfId="19" applyNumberFormat="1" applyFont="1" applyAlignment="1">
      <alignment horizontal="right"/>
    </xf>
    <xf numFmtId="168" fontId="15" fillId="0" borderId="0" xfId="15" applyNumberFormat="1"/>
    <xf numFmtId="4" fontId="36" fillId="0" borderId="0" xfId="19" applyNumberFormat="1" applyFont="1"/>
    <xf numFmtId="0" fontId="36" fillId="0" borderId="0" xfId="19" applyFont="1" applyAlignment="1">
      <alignment horizontal="center"/>
    </xf>
    <xf numFmtId="0" fontId="45" fillId="0" borderId="0" xfId="19" applyFont="1" applyAlignment="1">
      <alignment horizontal="left"/>
    </xf>
    <xf numFmtId="0" fontId="44" fillId="0" borderId="0" xfId="19" applyFont="1"/>
    <xf numFmtId="166" fontId="26" fillId="0" borderId="0" xfId="2" applyFont="1" applyBorder="1" applyAlignment="1">
      <alignment horizontal="left"/>
    </xf>
    <xf numFmtId="0" fontId="46" fillId="0" borderId="0" xfId="19" applyFont="1" applyAlignment="1">
      <alignment horizontal="left"/>
    </xf>
    <xf numFmtId="0" fontId="36" fillId="0" borderId="0" xfId="19" applyFont="1" applyAlignment="1">
      <alignment horizontal="right"/>
    </xf>
    <xf numFmtId="0" fontId="48" fillId="0" borderId="0" xfId="19" applyFont="1"/>
    <xf numFmtId="4" fontId="36" fillId="0" borderId="0" xfId="19" applyNumberFormat="1" applyFont="1" applyAlignment="1">
      <alignment horizontal="right"/>
    </xf>
    <xf numFmtId="0" fontId="49" fillId="0" borderId="0" xfId="19" applyFont="1"/>
    <xf numFmtId="0" fontId="50" fillId="0" borderId="0" xfId="19" applyFont="1"/>
    <xf numFmtId="0" fontId="37" fillId="0" borderId="0" xfId="19" quotePrefix="1" applyFont="1" applyAlignment="1">
      <alignment horizontal="left"/>
    </xf>
    <xf numFmtId="5" fontId="44" fillId="0" borderId="0" xfId="19" applyNumberFormat="1" applyFont="1"/>
    <xf numFmtId="0" fontId="36" fillId="0" borderId="3" xfId="19" applyFont="1" applyBorder="1"/>
    <xf numFmtId="5" fontId="36" fillId="0" borderId="3" xfId="19" applyNumberFormat="1" applyFont="1" applyBorder="1"/>
    <xf numFmtId="167" fontId="36" fillId="0" borderId="0" xfId="19" applyNumberFormat="1" applyFont="1"/>
    <xf numFmtId="167" fontId="36" fillId="0" borderId="3" xfId="19" applyNumberFormat="1" applyFont="1" applyBorder="1"/>
    <xf numFmtId="5" fontId="49" fillId="0" borderId="0" xfId="19" applyNumberFormat="1" applyFont="1"/>
    <xf numFmtId="0" fontId="29" fillId="0" borderId="4" xfId="18" applyFont="1" applyBorder="1"/>
    <xf numFmtId="0" fontId="27" fillId="0" borderId="5" xfId="18" applyFont="1" applyBorder="1"/>
    <xf numFmtId="0" fontId="27" fillId="0" borderId="6" xfId="18" applyFont="1" applyBorder="1"/>
    <xf numFmtId="0" fontId="29" fillId="0" borderId="7" xfId="15" applyFont="1" applyBorder="1" applyAlignment="1">
      <alignment horizontal="center" wrapText="1"/>
    </xf>
    <xf numFmtId="0" fontId="29" fillId="0" borderId="7" xfId="18" applyFont="1" applyBorder="1" applyAlignment="1">
      <alignment wrapText="1"/>
    </xf>
    <xf numFmtId="0" fontId="29" fillId="0" borderId="7" xfId="18" applyFont="1" applyBorder="1" applyAlignment="1">
      <alignment horizontal="center"/>
    </xf>
    <xf numFmtId="2" fontId="29" fillId="0" borderId="7" xfId="15" quotePrefix="1" applyNumberFormat="1" applyFont="1" applyBorder="1" applyAlignment="1">
      <alignment horizontal="center" wrapText="1"/>
    </xf>
    <xf numFmtId="0" fontId="29" fillId="0" borderId="0" xfId="18" applyFont="1"/>
    <xf numFmtId="0" fontId="29" fillId="0" borderId="6" xfId="18" applyFont="1" applyBorder="1" applyAlignment="1">
      <alignment horizontal="left"/>
    </xf>
    <xf numFmtId="3" fontId="27" fillId="0" borderId="0" xfId="15" applyNumberFormat="1" applyFont="1" applyAlignment="1">
      <alignment horizontal="center" wrapText="1"/>
    </xf>
    <xf numFmtId="168" fontId="27" fillId="0" borderId="0" xfId="18" applyNumberFormat="1" applyFont="1"/>
    <xf numFmtId="0" fontId="27" fillId="0" borderId="6" xfId="18" applyFont="1" applyBorder="1" applyAlignment="1">
      <alignment horizontal="right"/>
    </xf>
    <xf numFmtId="0" fontId="27" fillId="0" borderId="0" xfId="18" applyFont="1" applyAlignment="1">
      <alignment horizontal="left"/>
    </xf>
    <xf numFmtId="0" fontId="27" fillId="0" borderId="0" xfId="15" applyFont="1" applyAlignment="1">
      <alignment horizontal="center" wrapText="1"/>
    </xf>
    <xf numFmtId="39" fontId="27" fillId="0" borderId="0" xfId="15" applyNumberFormat="1" applyFont="1" applyAlignment="1">
      <alignment horizontal="right" wrapText="1"/>
    </xf>
    <xf numFmtId="174" fontId="27" fillId="0" borderId="0" xfId="18" applyNumberFormat="1" applyFont="1"/>
    <xf numFmtId="0" fontId="27" fillId="0" borderId="0" xfId="18" applyFont="1" applyAlignment="1">
      <alignment horizontal="center"/>
    </xf>
    <xf numFmtId="7" fontId="27" fillId="0" borderId="0" xfId="15" applyNumberFormat="1" applyFont="1" applyAlignment="1">
      <alignment horizontal="center" wrapText="1"/>
    </xf>
    <xf numFmtId="0" fontId="29" fillId="0" borderId="0" xfId="18" applyFont="1" applyAlignment="1">
      <alignment horizontal="right"/>
    </xf>
    <xf numFmtId="0" fontId="29" fillId="0" borderId="6" xfId="18" applyFont="1" applyBorder="1"/>
    <xf numFmtId="0" fontId="27" fillId="0" borderId="0" xfId="18" applyFont="1" applyAlignment="1">
      <alignment horizontal="right"/>
    </xf>
    <xf numFmtId="2" fontId="27" fillId="0" borderId="0" xfId="18" applyNumberFormat="1" applyFont="1"/>
    <xf numFmtId="0" fontId="27" fillId="0" borderId="0" xfId="15" applyFont="1" applyAlignment="1">
      <alignment horizontal="right" wrapText="1"/>
    </xf>
    <xf numFmtId="2" fontId="29" fillId="0" borderId="0" xfId="18" applyNumberFormat="1" applyFont="1"/>
    <xf numFmtId="43" fontId="27" fillId="0" borderId="0" xfId="20" applyFont="1" applyFill="1" applyBorder="1"/>
    <xf numFmtId="173" fontId="27" fillId="0" borderId="0" xfId="18" applyNumberFormat="1" applyFont="1"/>
    <xf numFmtId="170" fontId="27" fillId="0" borderId="0" xfId="18" applyNumberFormat="1" applyFont="1"/>
    <xf numFmtId="0" fontId="29" fillId="0" borderId="7" xfId="18" applyFont="1" applyBorder="1" applyAlignment="1">
      <alignment horizontal="right"/>
    </xf>
    <xf numFmtId="1" fontId="27" fillId="0" borderId="0" xfId="18" applyNumberFormat="1" applyFont="1"/>
    <xf numFmtId="1" fontId="29" fillId="0" borderId="0" xfId="18" applyNumberFormat="1" applyFont="1" applyAlignment="1">
      <alignment horizontal="right"/>
    </xf>
    <xf numFmtId="0" fontId="27" fillId="0" borderId="0" xfId="18" quotePrefix="1" applyFont="1" applyAlignment="1">
      <alignment horizontal="left"/>
    </xf>
    <xf numFmtId="0" fontId="53" fillId="0" borderId="0" xfId="18" applyFont="1"/>
    <xf numFmtId="1" fontId="53" fillId="0" borderId="0" xfId="18" applyNumberFormat="1" applyFont="1"/>
    <xf numFmtId="4" fontId="27" fillId="0" borderId="0" xfId="18" applyNumberFormat="1" applyFont="1"/>
    <xf numFmtId="0" fontId="54" fillId="0" borderId="0" xfId="18" applyFont="1"/>
    <xf numFmtId="9" fontId="27" fillId="0" borderId="0" xfId="18" applyNumberFormat="1" applyFont="1"/>
    <xf numFmtId="2" fontId="27" fillId="0" borderId="0" xfId="18" quotePrefix="1" applyNumberFormat="1" applyFont="1"/>
    <xf numFmtId="10" fontId="27" fillId="0" borderId="0" xfId="2" applyNumberFormat="1" applyFont="1" applyBorder="1"/>
    <xf numFmtId="168" fontId="27" fillId="0" borderId="0" xfId="18" applyNumberFormat="1" applyFont="1" applyAlignment="1">
      <alignment horizontal="right"/>
    </xf>
    <xf numFmtId="10" fontId="29" fillId="0" borderId="0" xfId="2" applyNumberFormat="1" applyFont="1" applyBorder="1"/>
    <xf numFmtId="9" fontId="27" fillId="0" borderId="0" xfId="2" applyNumberFormat="1" applyFont="1" applyBorder="1"/>
    <xf numFmtId="10" fontId="27" fillId="0" borderId="0" xfId="18" applyNumberFormat="1" applyFont="1"/>
    <xf numFmtId="0" fontId="27" fillId="0" borderId="0" xfId="18" quotePrefix="1" applyFont="1"/>
    <xf numFmtId="0" fontId="15" fillId="6" borderId="2" xfId="9" applyFont="1" applyFill="1" applyBorder="1"/>
    <xf numFmtId="0" fontId="56" fillId="0" borderId="0" xfId="0" applyFont="1"/>
    <xf numFmtId="0" fontId="57" fillId="0" borderId="11" xfId="18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55" fillId="0" borderId="13" xfId="0" applyFont="1" applyBorder="1" applyAlignment="1">
      <alignment horizontal="center"/>
    </xf>
    <xf numFmtId="0" fontId="55" fillId="0" borderId="9" xfId="0" applyFont="1" applyBorder="1" applyAlignment="1">
      <alignment horizontal="center"/>
    </xf>
    <xf numFmtId="43" fontId="20" fillId="7" borderId="1" xfId="1" applyNumberFormat="1" applyFill="1" applyAlignment="1"/>
    <xf numFmtId="0" fontId="19" fillId="0" borderId="0" xfId="0" applyFont="1" applyAlignment="1">
      <alignment horizontal="center"/>
    </xf>
    <xf numFmtId="0" fontId="17" fillId="0" borderId="0" xfId="0" applyFont="1"/>
    <xf numFmtId="43" fontId="0" fillId="0" borderId="0" xfId="14" applyFont="1" applyFill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/>
    <xf numFmtId="176" fontId="27" fillId="0" borderId="0" xfId="15" applyNumberFormat="1" applyFont="1" applyAlignment="1">
      <alignment wrapText="1"/>
    </xf>
    <xf numFmtId="176" fontId="27" fillId="0" borderId="5" xfId="15" applyNumberFormat="1" applyFont="1" applyBorder="1" applyAlignment="1">
      <alignment wrapText="1"/>
    </xf>
    <xf numFmtId="176" fontId="29" fillId="0" borderId="0" xfId="15" applyNumberFormat="1" applyFont="1" applyAlignment="1">
      <alignment wrapText="1"/>
    </xf>
    <xf numFmtId="176" fontId="29" fillId="0" borderId="7" xfId="15" quotePrefix="1" applyNumberFormat="1" applyFont="1" applyBorder="1" applyAlignment="1">
      <alignment horizontal="center" wrapText="1"/>
    </xf>
    <xf numFmtId="176" fontId="29" fillId="0" borderId="8" xfId="15" applyNumberFormat="1" applyFont="1" applyBorder="1" applyAlignment="1">
      <alignment wrapText="1"/>
    </xf>
    <xf numFmtId="0" fontId="55" fillId="0" borderId="14" xfId="0" applyFont="1" applyBorder="1" applyAlignment="1">
      <alignment horizontal="center"/>
    </xf>
    <xf numFmtId="167" fontId="55" fillId="0" borderId="2" xfId="0" applyNumberFormat="1" applyFont="1" applyBorder="1" applyAlignment="1">
      <alignment horizontal="right"/>
    </xf>
    <xf numFmtId="177" fontId="55" fillId="0" borderId="10" xfId="14" applyNumberFormat="1" applyFont="1" applyBorder="1" applyAlignment="1">
      <alignment horizontal="center"/>
    </xf>
    <xf numFmtId="43" fontId="13" fillId="0" borderId="0" xfId="9" applyNumberFormat="1"/>
    <xf numFmtId="174" fontId="0" fillId="0" borderId="0" xfId="0" applyNumberFormat="1"/>
    <xf numFmtId="166" fontId="27" fillId="0" borderId="0" xfId="2" applyFont="1"/>
    <xf numFmtId="166" fontId="29" fillId="0" borderId="0" xfId="2" applyFont="1" applyAlignment="1">
      <alignment horizontal="left"/>
    </xf>
    <xf numFmtId="166" fontId="29" fillId="0" borderId="0" xfId="2" applyFont="1" applyBorder="1" applyAlignment="1">
      <alignment horizontal="center" vertical="top" wrapText="1"/>
    </xf>
    <xf numFmtId="166" fontId="27" fillId="0" borderId="0" xfId="2" applyFont="1" applyBorder="1" applyAlignment="1">
      <alignment wrapText="1"/>
    </xf>
    <xf numFmtId="168" fontId="27" fillId="0" borderId="0" xfId="2" applyNumberFormat="1" applyFont="1" applyBorder="1" applyAlignment="1">
      <alignment wrapText="1"/>
    </xf>
    <xf numFmtId="166" fontId="27" fillId="0" borderId="0" xfId="2" applyFont="1" applyBorder="1" applyAlignment="1">
      <alignment horizontal="left"/>
    </xf>
    <xf numFmtId="0" fontId="29" fillId="0" borderId="0" xfId="15" applyFont="1" applyAlignment="1">
      <alignment horizontal="center" wrapText="1"/>
    </xf>
    <xf numFmtId="0" fontId="27" fillId="0" borderId="0" xfId="15" applyFont="1" applyAlignment="1">
      <alignment wrapText="1"/>
    </xf>
    <xf numFmtId="4" fontId="27" fillId="0" borderId="0" xfId="15" applyNumberFormat="1" applyFont="1" applyAlignment="1">
      <alignment wrapText="1"/>
    </xf>
    <xf numFmtId="0" fontId="29" fillId="0" borderId="0" xfId="15" applyFont="1" applyAlignment="1">
      <alignment wrapText="1"/>
    </xf>
    <xf numFmtId="0" fontId="29" fillId="0" borderId="0" xfId="15" applyFont="1"/>
    <xf numFmtId="0" fontId="63" fillId="0" borderId="0" xfId="17" applyFont="1" applyFill="1" applyAlignment="1" applyProtection="1"/>
    <xf numFmtId="4" fontId="29" fillId="0" borderId="0" xfId="15" applyNumberFormat="1" applyFont="1" applyAlignment="1">
      <alignment wrapText="1"/>
    </xf>
    <xf numFmtId="166" fontId="29" fillId="0" borderId="0" xfId="2" applyFont="1"/>
    <xf numFmtId="168" fontId="27" fillId="0" borderId="0" xfId="2" applyNumberFormat="1" applyFont="1"/>
    <xf numFmtId="166" fontId="27" fillId="0" borderId="0" xfId="2" applyFont="1" applyAlignment="1">
      <alignment horizontal="left"/>
    </xf>
    <xf numFmtId="166" fontId="27" fillId="0" borderId="0" xfId="2" applyFont="1" applyAlignment="1">
      <alignment horizontal="right"/>
    </xf>
    <xf numFmtId="168" fontId="27" fillId="0" borderId="0" xfId="2" applyNumberFormat="1" applyFont="1" applyBorder="1" applyAlignment="1">
      <alignment horizontal="right"/>
    </xf>
    <xf numFmtId="2" fontId="27" fillId="0" borderId="0" xfId="2" applyNumberFormat="1" applyFont="1"/>
    <xf numFmtId="177" fontId="55" fillId="0" borderId="4" xfId="0" applyNumberFormat="1" applyFont="1" applyBorder="1" applyAlignment="1">
      <alignment horizontal="center"/>
    </xf>
    <xf numFmtId="0" fontId="16" fillId="0" borderId="2" xfId="9" applyFont="1" applyBorder="1" applyAlignment="1">
      <alignment wrapText="1"/>
    </xf>
    <xf numFmtId="0" fontId="16" fillId="0" borderId="2" xfId="9" applyFont="1" applyBorder="1"/>
    <xf numFmtId="0" fontId="15" fillId="0" borderId="0" xfId="0" applyFont="1"/>
    <xf numFmtId="43" fontId="15" fillId="0" borderId="0" xfId="0" applyNumberFormat="1" applyFont="1"/>
    <xf numFmtId="0" fontId="13" fillId="7" borderId="0" xfId="9" applyFill="1"/>
    <xf numFmtId="43" fontId="64" fillId="9" borderId="0" xfId="8" applyNumberFormat="1" applyFont="1" applyFill="1" applyBorder="1" applyAlignment="1"/>
    <xf numFmtId="0" fontId="66" fillId="0" borderId="0" xfId="64" applyFill="1"/>
    <xf numFmtId="0" fontId="0" fillId="10" borderId="0" xfId="0" applyFill="1"/>
    <xf numFmtId="0" fontId="19" fillId="10" borderId="0" xfId="0" applyFont="1" applyFill="1"/>
    <xf numFmtId="0" fontId="15" fillId="10" borderId="0" xfId="0" applyFont="1" applyFill="1"/>
    <xf numFmtId="169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/>
    <xf numFmtId="0" fontId="19" fillId="7" borderId="0" xfId="0" applyFont="1" applyFill="1"/>
    <xf numFmtId="0" fontId="15" fillId="7" borderId="0" xfId="0" applyFont="1" applyFill="1"/>
    <xf numFmtId="43" fontId="15" fillId="7" borderId="0" xfId="0" applyNumberFormat="1" applyFont="1" applyFill="1"/>
    <xf numFmtId="0" fontId="15" fillId="7" borderId="0" xfId="0" applyFont="1" applyFill="1" applyAlignment="1">
      <alignment horizontal="center"/>
    </xf>
    <xf numFmtId="169" fontId="15" fillId="7" borderId="0" xfId="0" applyNumberFormat="1" applyFont="1" applyFill="1" applyAlignment="1">
      <alignment horizontal="center"/>
    </xf>
    <xf numFmtId="16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43" fontId="0" fillId="10" borderId="0" xfId="0" applyNumberFormat="1" applyFill="1"/>
    <xf numFmtId="0" fontId="0" fillId="11" borderId="0" xfId="0" applyFill="1"/>
    <xf numFmtId="0" fontId="19" fillId="11" borderId="0" xfId="0" applyFont="1" applyFill="1"/>
    <xf numFmtId="0" fontId="15" fillId="11" borderId="0" xfId="0" applyFont="1" applyFill="1"/>
    <xf numFmtId="0" fontId="0" fillId="11" borderId="0" xfId="0" applyFill="1" applyAlignment="1">
      <alignment horizontal="center"/>
    </xf>
    <xf numFmtId="169" fontId="0" fillId="11" borderId="0" xfId="0" applyNumberFormat="1" applyFill="1" applyAlignment="1">
      <alignment horizontal="center"/>
    </xf>
    <xf numFmtId="0" fontId="0" fillId="12" borderId="0" xfId="0" applyFill="1"/>
    <xf numFmtId="0" fontId="19" fillId="12" borderId="0" xfId="0" applyFont="1" applyFill="1"/>
    <xf numFmtId="0" fontId="15" fillId="12" borderId="0" xfId="0" applyFont="1" applyFill="1"/>
    <xf numFmtId="43" fontId="15" fillId="12" borderId="0" xfId="0" applyNumberFormat="1" applyFont="1" applyFill="1"/>
    <xf numFmtId="0" fontId="0" fillId="12" borderId="0" xfId="0" applyFill="1" applyAlignment="1">
      <alignment horizontal="center"/>
    </xf>
    <xf numFmtId="169" fontId="0" fillId="12" borderId="0" xfId="0" applyNumberFormat="1" applyFill="1" applyAlignment="1">
      <alignment horizontal="center"/>
    </xf>
    <xf numFmtId="43" fontId="0" fillId="12" borderId="0" xfId="0" applyNumberFormat="1" applyFill="1"/>
    <xf numFmtId="43" fontId="0" fillId="0" borderId="0" xfId="0" applyNumberFormat="1" applyAlignment="1">
      <alignment horizontal="center"/>
    </xf>
    <xf numFmtId="166" fontId="66" fillId="0" borderId="0" xfId="64" applyNumberFormat="1" applyFill="1" applyAlignment="1" applyProtection="1"/>
    <xf numFmtId="2" fontId="13" fillId="7" borderId="0" xfId="9" applyNumberFormat="1" applyFill="1"/>
    <xf numFmtId="0" fontId="16" fillId="0" borderId="0" xfId="9" applyFont="1" applyAlignment="1">
      <alignment wrapText="1"/>
    </xf>
    <xf numFmtId="43" fontId="0" fillId="0" borderId="0" xfId="0" applyNumberFormat="1"/>
    <xf numFmtId="10" fontId="0" fillId="0" borderId="0" xfId="0" applyNumberFormat="1"/>
    <xf numFmtId="5" fontId="0" fillId="0" borderId="0" xfId="0" applyNumberFormat="1"/>
    <xf numFmtId="43" fontId="68" fillId="7" borderId="1" xfId="1" applyNumberFormat="1" applyFont="1" applyFill="1" applyAlignment="1"/>
    <xf numFmtId="0" fontId="15" fillId="0" borderId="0" xfId="9" applyFont="1"/>
    <xf numFmtId="0" fontId="20" fillId="7" borderId="1" xfId="1" applyFill="1" applyAlignment="1"/>
    <xf numFmtId="0" fontId="19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78" fontId="0" fillId="0" borderId="0" xfId="0" applyNumberFormat="1"/>
    <xf numFmtId="169" fontId="0" fillId="0" borderId="0" xfId="0" applyNumberFormat="1"/>
    <xf numFmtId="43" fontId="0" fillId="0" borderId="2" xfId="0" applyNumberFormat="1" applyBorder="1"/>
    <xf numFmtId="0" fontId="19" fillId="0" borderId="2" xfId="0" applyFont="1" applyBorder="1"/>
    <xf numFmtId="0" fontId="19" fillId="11" borderId="2" xfId="0" applyFont="1" applyFill="1" applyBorder="1"/>
    <xf numFmtId="10" fontId="0" fillId="11" borderId="2" xfId="65" applyNumberFormat="1" applyFont="1" applyFill="1" applyBorder="1" applyAlignment="1"/>
    <xf numFmtId="10" fontId="19" fillId="11" borderId="2" xfId="65" applyNumberFormat="1" applyFont="1" applyFill="1" applyBorder="1" applyAlignment="1"/>
    <xf numFmtId="43" fontId="20" fillId="7" borderId="2" xfId="1" applyNumberFormat="1" applyFill="1" applyBorder="1" applyAlignment="1"/>
    <xf numFmtId="0" fontId="37" fillId="0" borderId="2" xfId="19" applyFont="1" applyBorder="1" applyAlignment="1">
      <alignment horizontal="center"/>
    </xf>
    <xf numFmtId="0" fontId="36" fillId="0" borderId="2" xfId="19" applyFont="1" applyBorder="1" applyAlignment="1">
      <alignment horizontal="left"/>
    </xf>
    <xf numFmtId="5" fontId="36" fillId="0" borderId="2" xfId="19" applyNumberFormat="1" applyFont="1" applyBorder="1" applyAlignment="1">
      <alignment horizontal="right"/>
    </xf>
    <xf numFmtId="9" fontId="36" fillId="0" borderId="2" xfId="19" applyNumberFormat="1" applyFont="1" applyBorder="1" applyAlignment="1">
      <alignment horizontal="right"/>
    </xf>
    <xf numFmtId="165" fontId="36" fillId="0" borderId="2" xfId="19" applyNumberFormat="1" applyFont="1" applyBorder="1" applyAlignment="1">
      <alignment horizontal="right"/>
    </xf>
    <xf numFmtId="37" fontId="36" fillId="0" borderId="2" xfId="19" applyNumberFormat="1" applyFont="1" applyBorder="1" applyAlignment="1">
      <alignment horizontal="right"/>
    </xf>
    <xf numFmtId="0" fontId="44" fillId="0" borderId="2" xfId="19" applyFont="1" applyBorder="1" applyAlignment="1">
      <alignment horizontal="left"/>
    </xf>
    <xf numFmtId="9" fontId="36" fillId="0" borderId="2" xfId="16" applyFont="1" applyFill="1" applyBorder="1" applyAlignment="1">
      <alignment horizontal="right"/>
    </xf>
    <xf numFmtId="0" fontId="36" fillId="0" borderId="2" xfId="19" applyFont="1" applyBorder="1"/>
    <xf numFmtId="0" fontId="36" fillId="13" borderId="2" xfId="19" applyFont="1" applyFill="1" applyBorder="1"/>
    <xf numFmtId="10" fontId="36" fillId="0" borderId="2" xfId="19" applyNumberFormat="1" applyFont="1" applyBorder="1"/>
    <xf numFmtId="0" fontId="47" fillId="0" borderId="2" xfId="19" applyFont="1" applyBorder="1"/>
    <xf numFmtId="173" fontId="36" fillId="0" borderId="2" xfId="19" applyNumberFormat="1" applyFont="1" applyBorder="1"/>
    <xf numFmtId="3" fontId="36" fillId="0" borderId="2" xfId="19" applyNumberFormat="1" applyFont="1" applyBorder="1"/>
    <xf numFmtId="10" fontId="36" fillId="0" borderId="2" xfId="16" applyNumberFormat="1" applyFont="1" applyFill="1" applyBorder="1"/>
    <xf numFmtId="1" fontId="36" fillId="0" borderId="2" xfId="19" applyNumberFormat="1" applyFont="1" applyBorder="1"/>
    <xf numFmtId="1" fontId="36" fillId="0" borderId="2" xfId="19" applyNumberFormat="1" applyFont="1" applyBorder="1" applyAlignment="1">
      <alignment horizontal="right"/>
    </xf>
    <xf numFmtId="0" fontId="37" fillId="0" borderId="2" xfId="19" applyFont="1" applyBorder="1" applyAlignment="1">
      <alignment horizontal="left"/>
    </xf>
    <xf numFmtId="0" fontId="37" fillId="0" borderId="2" xfId="19" applyFont="1" applyBorder="1"/>
    <xf numFmtId="0" fontId="47" fillId="0" borderId="2" xfId="19" quotePrefix="1" applyFont="1" applyBorder="1" applyAlignment="1">
      <alignment horizontal="left"/>
    </xf>
    <xf numFmtId="7" fontId="47" fillId="0" borderId="2" xfId="19" applyNumberFormat="1" applyFont="1" applyBorder="1" applyAlignment="1">
      <alignment horizontal="right"/>
    </xf>
    <xf numFmtId="5" fontId="36" fillId="0" borderId="2" xfId="19" applyNumberFormat="1" applyFont="1" applyBorder="1"/>
    <xf numFmtId="0" fontId="36" fillId="0" borderId="4" xfId="19" quotePrefix="1" applyFont="1" applyBorder="1" applyAlignment="1">
      <alignment horizontal="left"/>
    </xf>
    <xf numFmtId="0" fontId="36" fillId="0" borderId="14" xfId="19" applyFont="1" applyBorder="1"/>
    <xf numFmtId="0" fontId="36" fillId="0" borderId="6" xfId="19" applyFont="1" applyBorder="1"/>
    <xf numFmtId="0" fontId="36" fillId="0" borderId="17" xfId="19" applyFont="1" applyBorder="1"/>
    <xf numFmtId="0" fontId="36" fillId="0" borderId="13" xfId="19" applyFont="1" applyBorder="1"/>
    <xf numFmtId="0" fontId="36" fillId="0" borderId="11" xfId="19" applyFont="1" applyBorder="1"/>
    <xf numFmtId="0" fontId="36" fillId="0" borderId="4" xfId="19" applyFont="1" applyBorder="1"/>
    <xf numFmtId="0" fontId="36" fillId="0" borderId="13" xfId="19" applyFont="1" applyBorder="1" applyAlignment="1">
      <alignment horizontal="left"/>
    </xf>
    <xf numFmtId="0" fontId="36" fillId="13" borderId="6" xfId="19" applyFont="1" applyFill="1" applyBorder="1"/>
    <xf numFmtId="0" fontId="36" fillId="0" borderId="15" xfId="19" quotePrefix="1" applyFont="1" applyBorder="1" applyAlignment="1">
      <alignment horizontal="left"/>
    </xf>
    <xf numFmtId="0" fontId="36" fillId="0" borderId="16" xfId="19" applyFont="1" applyBorder="1"/>
    <xf numFmtId="0" fontId="36" fillId="0" borderId="12" xfId="19" applyFont="1" applyBorder="1"/>
    <xf numFmtId="0" fontId="36" fillId="0" borderId="15" xfId="19" applyFont="1" applyBorder="1"/>
    <xf numFmtId="0" fontId="36" fillId="0" borderId="16" xfId="19" quotePrefix="1" applyFont="1" applyBorder="1" applyAlignment="1">
      <alignment horizontal="left"/>
    </xf>
    <xf numFmtId="0" fontId="36" fillId="0" borderId="12" xfId="19" quotePrefix="1" applyFont="1" applyBorder="1" applyAlignment="1">
      <alignment horizontal="left"/>
    </xf>
    <xf numFmtId="10" fontId="36" fillId="0" borderId="16" xfId="19" applyNumberFormat="1" applyFont="1" applyBorder="1"/>
    <xf numFmtId="10" fontId="36" fillId="0" borderId="12" xfId="19" applyNumberFormat="1" applyFont="1" applyBorder="1"/>
    <xf numFmtId="9" fontId="36" fillId="0" borderId="17" xfId="19" applyNumberFormat="1" applyFont="1" applyBorder="1"/>
    <xf numFmtId="9" fontId="36" fillId="0" borderId="11" xfId="19" applyNumberFormat="1" applyFont="1" applyBorder="1"/>
    <xf numFmtId="10" fontId="47" fillId="0" borderId="9" xfId="19" applyNumberFormat="1" applyFont="1" applyBorder="1"/>
    <xf numFmtId="0" fontId="36" fillId="0" borderId="15" xfId="19" applyFont="1" applyBorder="1" applyAlignment="1">
      <alignment horizontal="left"/>
    </xf>
    <xf numFmtId="43" fontId="13" fillId="0" borderId="2" xfId="9" applyNumberFormat="1" applyBorder="1"/>
    <xf numFmtId="43" fontId="13" fillId="0" borderId="2" xfId="9" applyNumberFormat="1" applyBorder="1" applyAlignment="1">
      <alignment wrapText="1"/>
    </xf>
    <xf numFmtId="0" fontId="33" fillId="11" borderId="2" xfId="9" applyFont="1" applyFill="1" applyBorder="1" applyAlignment="1">
      <alignment wrapText="1"/>
    </xf>
    <xf numFmtId="0" fontId="33" fillId="14" borderId="2" xfId="9" applyFont="1" applyFill="1" applyBorder="1"/>
    <xf numFmtId="43" fontId="13" fillId="14" borderId="2" xfId="9" applyNumberFormat="1" applyFill="1" applyBorder="1"/>
    <xf numFmtId="0" fontId="17" fillId="0" borderId="2" xfId="9" applyFont="1" applyBorder="1"/>
    <xf numFmtId="0" fontId="33" fillId="0" borderId="2" xfId="9" applyFont="1" applyBorder="1"/>
    <xf numFmtId="0" fontId="17" fillId="0" borderId="2" xfId="0" applyFont="1" applyBorder="1"/>
    <xf numFmtId="0" fontId="19" fillId="0" borderId="2" xfId="0" applyFont="1" applyBorder="1" applyAlignment="1">
      <alignment wrapText="1"/>
    </xf>
    <xf numFmtId="0" fontId="33" fillId="14" borderId="15" xfId="9" applyFont="1" applyFill="1" applyBorder="1" applyAlignment="1">
      <alignment wrapText="1"/>
    </xf>
    <xf numFmtId="0" fontId="66" fillId="0" borderId="0" xfId="64"/>
    <xf numFmtId="44" fontId="0" fillId="0" borderId="0" xfId="63" applyFont="1" applyAlignment="1"/>
    <xf numFmtId="9" fontId="0" fillId="0" borderId="0" xfId="0" applyNumberFormat="1"/>
    <xf numFmtId="43" fontId="33" fillId="14" borderId="2" xfId="9" applyNumberFormat="1" applyFont="1" applyFill="1" applyBorder="1"/>
    <xf numFmtId="43" fontId="33" fillId="13" borderId="2" xfId="9" applyNumberFormat="1" applyFont="1" applyFill="1" applyBorder="1"/>
    <xf numFmtId="11" fontId="0" fillId="0" borderId="0" xfId="0" applyNumberFormat="1"/>
    <xf numFmtId="164" fontId="0" fillId="0" borderId="2" xfId="14" applyNumberFormat="1" applyFont="1" applyBorder="1" applyAlignment="1"/>
    <xf numFmtId="175" fontId="0" fillId="0" borderId="2" xfId="14" applyNumberFormat="1" applyFont="1" applyBorder="1" applyAlignment="1"/>
    <xf numFmtId="175" fontId="0" fillId="0" borderId="2" xfId="14" applyNumberFormat="1" applyFont="1" applyFill="1" applyBorder="1" applyAlignment="1"/>
    <xf numFmtId="176" fontId="73" fillId="0" borderId="0" xfId="63" applyNumberFormat="1" applyFont="1" applyBorder="1" applyAlignment="1">
      <alignment horizontal="center" vertical="center" wrapText="1"/>
    </xf>
    <xf numFmtId="176" fontId="0" fillId="0" borderId="0" xfId="63" applyNumberFormat="1" applyFont="1" applyAlignment="1"/>
    <xf numFmtId="176" fontId="0" fillId="0" borderId="0" xfId="63" applyNumberFormat="1" applyFont="1" applyFill="1" applyBorder="1" applyAlignment="1"/>
    <xf numFmtId="176" fontId="19" fillId="0" borderId="0" xfId="63" applyNumberFormat="1" applyFont="1" applyFill="1" applyBorder="1" applyAlignment="1"/>
    <xf numFmtId="176" fontId="0" fillId="0" borderId="0" xfId="63" applyNumberFormat="1" applyFont="1" applyBorder="1" applyAlignment="1"/>
    <xf numFmtId="7" fontId="36" fillId="0" borderId="3" xfId="19" applyNumberFormat="1" applyFont="1" applyBorder="1"/>
    <xf numFmtId="0" fontId="13" fillId="5" borderId="0" xfId="8" applyBorder="1" applyAlignment="1"/>
    <xf numFmtId="0" fontId="15" fillId="6" borderId="0" xfId="9" applyFont="1" applyFill="1"/>
    <xf numFmtId="44" fontId="0" fillId="0" borderId="0" xfId="63" applyFont="1" applyBorder="1" applyAlignment="1"/>
    <xf numFmtId="44" fontId="0" fillId="0" borderId="0" xfId="0" applyNumberFormat="1"/>
    <xf numFmtId="0" fontId="0" fillId="0" borderId="18" xfId="0" applyBorder="1"/>
    <xf numFmtId="0" fontId="0" fillId="0" borderId="19" xfId="0" applyBorder="1"/>
    <xf numFmtId="0" fontId="19" fillId="0" borderId="20" xfId="0" applyFont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43" fontId="0" fillId="0" borderId="0" xfId="14" applyFont="1" applyAlignment="1"/>
    <xf numFmtId="2" fontId="74" fillId="4" borderId="0" xfId="15" applyNumberFormat="1" applyFont="1" applyFill="1" applyAlignment="1">
      <alignment wrapText="1"/>
    </xf>
    <xf numFmtId="43" fontId="27" fillId="0" borderId="0" xfId="18" applyNumberFormat="1" applyFont="1"/>
    <xf numFmtId="0" fontId="19" fillId="15" borderId="0" xfId="9" applyFont="1" applyFill="1"/>
    <xf numFmtId="0" fontId="13" fillId="0" borderId="21" xfId="9" applyBorder="1"/>
    <xf numFmtId="0" fontId="13" fillId="0" borderId="26" xfId="9" applyBorder="1"/>
    <xf numFmtId="0" fontId="13" fillId="0" borderId="23" xfId="9" applyBorder="1"/>
    <xf numFmtId="0" fontId="13" fillId="0" borderId="18" xfId="9" applyBorder="1"/>
    <xf numFmtId="0" fontId="13" fillId="0" borderId="25" xfId="9" applyBorder="1"/>
    <xf numFmtId="0" fontId="13" fillId="0" borderId="19" xfId="9" applyBorder="1"/>
    <xf numFmtId="0" fontId="13" fillId="0" borderId="20" xfId="9" applyBorder="1"/>
    <xf numFmtId="0" fontId="13" fillId="0" borderId="22" xfId="9" applyBorder="1"/>
    <xf numFmtId="0" fontId="13" fillId="0" borderId="27" xfId="9" applyBorder="1"/>
    <xf numFmtId="0" fontId="13" fillId="0" borderId="28" xfId="9" applyBorder="1"/>
    <xf numFmtId="0" fontId="13" fillId="0" borderId="29" xfId="9" applyBorder="1"/>
    <xf numFmtId="0" fontId="13" fillId="0" borderId="30" xfId="9" applyBorder="1"/>
    <xf numFmtId="0" fontId="13" fillId="0" borderId="31" xfId="9" applyBorder="1"/>
    <xf numFmtId="0" fontId="13" fillId="0" borderId="32" xfId="9" applyBorder="1"/>
    <xf numFmtId="0" fontId="13" fillId="0" borderId="24" xfId="9" applyBorder="1"/>
    <xf numFmtId="43" fontId="27" fillId="0" borderId="0" xfId="14" applyFont="1" applyFill="1" applyBorder="1"/>
    <xf numFmtId="175" fontId="27" fillId="0" borderId="0" xfId="14" applyNumberFormat="1" applyFont="1" applyFill="1" applyBorder="1"/>
    <xf numFmtId="43" fontId="27" fillId="0" borderId="5" xfId="14" applyFont="1" applyFill="1" applyBorder="1" applyAlignment="1">
      <alignment horizontal="right"/>
    </xf>
    <xf numFmtId="43" fontId="29" fillId="0" borderId="0" xfId="14" applyFont="1" applyFill="1" applyBorder="1"/>
    <xf numFmtId="43" fontId="29" fillId="0" borderId="7" xfId="14" applyFont="1" applyFill="1" applyBorder="1" applyAlignment="1">
      <alignment horizontal="center"/>
    </xf>
    <xf numFmtId="43" fontId="27" fillId="0" borderId="0" xfId="14" applyFont="1" applyFill="1"/>
    <xf numFmtId="43" fontId="29" fillId="0" borderId="8" xfId="14" applyFont="1" applyFill="1" applyBorder="1" applyAlignment="1">
      <alignment wrapText="1"/>
    </xf>
    <xf numFmtId="0" fontId="76" fillId="0" borderId="0" xfId="0" applyFont="1"/>
    <xf numFmtId="167" fontId="55" fillId="0" borderId="2" xfId="0" applyNumberFormat="1" applyFont="1" applyBorder="1" applyAlignment="1">
      <alignment horizontal="center"/>
    </xf>
    <xf numFmtId="167" fontId="19" fillId="0" borderId="0" xfId="0" applyNumberFormat="1" applyFont="1" applyAlignment="1">
      <alignment horizontal="center"/>
    </xf>
    <xf numFmtId="0" fontId="75" fillId="8" borderId="2" xfId="0" applyFont="1" applyFill="1" applyBorder="1" applyAlignment="1">
      <alignment horizontal="center"/>
    </xf>
    <xf numFmtId="0" fontId="75" fillId="0" borderId="2" xfId="0" applyFont="1" applyBorder="1" applyAlignment="1">
      <alignment horizontal="center"/>
    </xf>
    <xf numFmtId="0" fontId="12" fillId="0" borderId="0" xfId="9" applyFont="1"/>
    <xf numFmtId="179" fontId="27" fillId="0" borderId="0" xfId="18" applyNumberFormat="1" applyFont="1"/>
    <xf numFmtId="0" fontId="74" fillId="0" borderId="0" xfId="0" applyFont="1"/>
    <xf numFmtId="0" fontId="66" fillId="0" borderId="0" xfId="64" applyAlignment="1"/>
    <xf numFmtId="0" fontId="77" fillId="0" borderId="0" xfId="0" applyFont="1"/>
    <xf numFmtId="0" fontId="78" fillId="0" borderId="0" xfId="0" applyFont="1"/>
    <xf numFmtId="43" fontId="12" fillId="0" borderId="0" xfId="9" applyNumberFormat="1" applyFont="1"/>
    <xf numFmtId="0" fontId="12" fillId="5" borderId="1" xfId="8" applyFont="1" applyBorder="1" applyAlignment="1"/>
    <xf numFmtId="0" fontId="12" fillId="7" borderId="2" xfId="9" applyFont="1" applyFill="1" applyBorder="1"/>
    <xf numFmtId="0" fontId="12" fillId="7" borderId="1" xfId="8" applyFont="1" applyFill="1" applyBorder="1" applyAlignment="1"/>
    <xf numFmtId="175" fontId="12" fillId="7" borderId="2" xfId="14" applyNumberFormat="1" applyFont="1" applyFill="1" applyBorder="1" applyAlignment="1"/>
    <xf numFmtId="43" fontId="12" fillId="13" borderId="2" xfId="9" applyNumberFormat="1" applyFont="1" applyFill="1" applyBorder="1"/>
    <xf numFmtId="2" fontId="12" fillId="7" borderId="0" xfId="9" applyNumberFormat="1" applyFont="1" applyFill="1"/>
    <xf numFmtId="174" fontId="12" fillId="7" borderId="0" xfId="9" applyNumberFormat="1" applyFont="1" applyFill="1"/>
    <xf numFmtId="0" fontId="12" fillId="15" borderId="0" xfId="9" applyFont="1" applyFill="1"/>
    <xf numFmtId="0" fontId="16" fillId="0" borderId="2" xfId="9" applyFont="1" applyBorder="1" applyAlignment="1">
      <alignment wrapText="1" shrinkToFit="1"/>
    </xf>
    <xf numFmtId="164" fontId="16" fillId="0" borderId="2" xfId="10" applyNumberFormat="1" applyFont="1" applyBorder="1" applyAlignment="1">
      <alignment wrapText="1"/>
    </xf>
    <xf numFmtId="0" fontId="12" fillId="6" borderId="2" xfId="9" applyFont="1" applyFill="1" applyBorder="1"/>
    <xf numFmtId="9" fontId="15" fillId="0" borderId="2" xfId="11" applyFont="1" applyBorder="1" applyAlignment="1"/>
    <xf numFmtId="43" fontId="15" fillId="0" borderId="2" xfId="14" applyFont="1" applyBorder="1" applyAlignment="1"/>
    <xf numFmtId="0" fontId="12" fillId="0" borderId="2" xfId="9" applyFont="1" applyBorder="1"/>
    <xf numFmtId="9" fontId="15" fillId="0" borderId="2" xfId="11" applyFont="1" applyFill="1" applyBorder="1"/>
    <xf numFmtId="164" fontId="15" fillId="0" borderId="2" xfId="10" applyNumberFormat="1" applyFont="1" applyBorder="1" applyAlignment="1"/>
    <xf numFmtId="9" fontId="15" fillId="0" borderId="2" xfId="11" applyFont="1" applyFill="1" applyBorder="1" applyAlignment="1"/>
    <xf numFmtId="43" fontId="12" fillId="0" borderId="2" xfId="9" applyNumberFormat="1" applyFont="1" applyBorder="1"/>
    <xf numFmtId="0" fontId="12" fillId="6" borderId="0" xfId="9" applyFont="1" applyFill="1"/>
    <xf numFmtId="43" fontId="15" fillId="0" borderId="0" xfId="14" applyFont="1" applyBorder="1" applyAlignment="1"/>
    <xf numFmtId="0" fontId="12" fillId="0" borderId="24" xfId="9" applyFont="1" applyBorder="1"/>
    <xf numFmtId="0" fontId="12" fillId="0" borderId="33" xfId="9" applyFont="1" applyBorder="1"/>
    <xf numFmtId="0" fontId="12" fillId="0" borderId="34" xfId="9" applyFont="1" applyBorder="1"/>
    <xf numFmtId="0" fontId="12" fillId="0" borderId="35" xfId="9" applyFont="1" applyBorder="1"/>
    <xf numFmtId="0" fontId="16" fillId="0" borderId="0" xfId="9" applyFont="1"/>
    <xf numFmtId="0" fontId="12" fillId="0" borderId="36" xfId="9" applyFont="1" applyBorder="1"/>
    <xf numFmtId="0" fontId="12" fillId="0" borderId="37" xfId="9" applyFont="1" applyBorder="1"/>
    <xf numFmtId="43" fontId="12" fillId="0" borderId="0" xfId="9" applyNumberFormat="1" applyFont="1" applyAlignment="1">
      <alignment horizontal="center"/>
    </xf>
    <xf numFmtId="9" fontId="12" fillId="5" borderId="0" xfId="8" applyNumberFormat="1" applyFont="1" applyBorder="1" applyAlignment="1"/>
    <xf numFmtId="0" fontId="27" fillId="0" borderId="0" xfId="18" applyFont="1" applyAlignment="1">
      <alignment vertical="center"/>
    </xf>
    <xf numFmtId="168" fontId="27" fillId="0" borderId="0" xfId="18" applyNumberFormat="1" applyFont="1" applyAlignment="1">
      <alignment vertical="center"/>
    </xf>
    <xf numFmtId="0" fontId="27" fillId="0" borderId="0" xfId="18" applyFont="1" applyAlignment="1">
      <alignment wrapText="1"/>
    </xf>
    <xf numFmtId="0" fontId="17" fillId="0" borderId="0" xfId="0" applyFont="1" applyAlignment="1">
      <alignment horizontal="center"/>
    </xf>
    <xf numFmtId="0" fontId="11" fillId="0" borderId="0" xfId="9" applyFont="1"/>
    <xf numFmtId="0" fontId="11" fillId="0" borderId="24" xfId="9" applyFont="1" applyBorder="1"/>
    <xf numFmtId="0" fontId="11" fillId="0" borderId="38" xfId="9" applyFont="1" applyBorder="1"/>
    <xf numFmtId="0" fontId="81" fillId="0" borderId="24" xfId="0" applyFont="1" applyBorder="1" applyAlignment="1">
      <alignment vertical="center"/>
    </xf>
    <xf numFmtId="0" fontId="13" fillId="0" borderId="41" xfId="9" applyBorder="1"/>
    <xf numFmtId="0" fontId="13" fillId="0" borderId="42" xfId="9" applyBorder="1"/>
    <xf numFmtId="0" fontId="81" fillId="0" borderId="43" xfId="0" applyFont="1" applyBorder="1" applyAlignment="1">
      <alignment vertical="center"/>
    </xf>
    <xf numFmtId="0" fontId="82" fillId="0" borderId="43" xfId="0" applyFont="1" applyBorder="1" applyAlignment="1">
      <alignment vertical="center"/>
    </xf>
    <xf numFmtId="0" fontId="82" fillId="0" borderId="44" xfId="0" applyFont="1" applyBorder="1" applyAlignment="1">
      <alignment vertical="center"/>
    </xf>
    <xf numFmtId="3" fontId="81" fillId="0" borderId="44" xfId="0" applyNumberFormat="1" applyFont="1" applyBorder="1" applyAlignment="1">
      <alignment vertical="center"/>
    </xf>
    <xf numFmtId="0" fontId="11" fillId="0" borderId="41" xfId="9" applyFont="1" applyBorder="1"/>
    <xf numFmtId="0" fontId="11" fillId="0" borderId="48" xfId="9" applyFont="1" applyBorder="1"/>
    <xf numFmtId="3" fontId="13" fillId="0" borderId="49" xfId="9" applyNumberFormat="1" applyBorder="1"/>
    <xf numFmtId="0" fontId="11" fillId="0" borderId="22" xfId="9" applyFont="1" applyBorder="1"/>
    <xf numFmtId="0" fontId="11" fillId="0" borderId="50" xfId="9" applyFont="1" applyBorder="1"/>
    <xf numFmtId="3" fontId="13" fillId="0" borderId="0" xfId="9" applyNumberFormat="1"/>
    <xf numFmtId="3" fontId="13" fillId="0" borderId="51" xfId="9" applyNumberFormat="1" applyBorder="1"/>
    <xf numFmtId="3" fontId="13" fillId="0" borderId="45" xfId="9" applyNumberFormat="1" applyBorder="1"/>
    <xf numFmtId="3" fontId="13" fillId="0" borderId="38" xfId="9" applyNumberFormat="1" applyBorder="1"/>
    <xf numFmtId="0" fontId="11" fillId="0" borderId="42" xfId="9" applyFont="1" applyBorder="1"/>
    <xf numFmtId="0" fontId="11" fillId="0" borderId="23" xfId="9" applyFont="1" applyBorder="1"/>
    <xf numFmtId="0" fontId="11" fillId="0" borderId="53" xfId="9" applyFont="1" applyBorder="1"/>
    <xf numFmtId="0" fontId="11" fillId="0" borderId="54" xfId="9" applyFont="1" applyBorder="1"/>
    <xf numFmtId="6" fontId="13" fillId="0" borderId="2" xfId="9" applyNumberFormat="1" applyBorder="1"/>
    <xf numFmtId="44" fontId="11" fillId="0" borderId="2" xfId="63" applyFont="1" applyBorder="1"/>
    <xf numFmtId="43" fontId="11" fillId="0" borderId="2" xfId="14" applyFont="1" applyBorder="1"/>
    <xf numFmtId="44" fontId="13" fillId="0" borderId="2" xfId="9" applyNumberFormat="1" applyBorder="1"/>
    <xf numFmtId="0" fontId="11" fillId="0" borderId="18" xfId="9" applyFont="1" applyBorder="1"/>
    <xf numFmtId="8" fontId="13" fillId="0" borderId="25" xfId="9" applyNumberFormat="1" applyBorder="1"/>
    <xf numFmtId="0" fontId="11" fillId="0" borderId="20" xfId="9" applyFont="1" applyBorder="1"/>
    <xf numFmtId="0" fontId="11" fillId="0" borderId="21" xfId="9" applyFont="1" applyBorder="1"/>
    <xf numFmtId="11" fontId="36" fillId="0" borderId="2" xfId="19" applyNumberFormat="1" applyFont="1" applyBorder="1"/>
    <xf numFmtId="11" fontId="13" fillId="0" borderId="0" xfId="9" applyNumberFormat="1"/>
    <xf numFmtId="0" fontId="0" fillId="0" borderId="0" xfId="0" applyAlignment="1">
      <alignment wrapText="1"/>
    </xf>
    <xf numFmtId="44" fontId="0" fillId="0" borderId="0" xfId="63" applyFont="1" applyAlignment="1">
      <alignment wrapText="1"/>
    </xf>
    <xf numFmtId="0" fontId="83" fillId="0" borderId="9" xfId="0" applyFont="1" applyBorder="1" applyAlignment="1">
      <alignment horizontal="center"/>
    </xf>
    <xf numFmtId="177" fontId="27" fillId="0" borderId="5" xfId="63" applyNumberFormat="1" applyFont="1" applyFill="1" applyBorder="1" applyAlignment="1">
      <alignment horizontal="right"/>
    </xf>
    <xf numFmtId="2" fontId="0" fillId="0" borderId="0" xfId="0" applyNumberFormat="1"/>
    <xf numFmtId="2" fontId="60" fillId="0" borderId="0" xfId="0" applyNumberFormat="1" applyFont="1"/>
    <xf numFmtId="2" fontId="13" fillId="0" borderId="0" xfId="9" applyNumberFormat="1"/>
    <xf numFmtId="0" fontId="60" fillId="0" borderId="0" xfId="0" applyFont="1"/>
    <xf numFmtId="168" fontId="27" fillId="0" borderId="2" xfId="2" applyNumberFormat="1" applyFont="1" applyBorder="1" applyAlignment="1">
      <alignment horizontal="right"/>
    </xf>
    <xf numFmtId="0" fontId="10" fillId="0" borderId="0" xfId="9" applyFont="1"/>
    <xf numFmtId="0" fontId="0" fillId="0" borderId="52" xfId="0" applyBorder="1"/>
    <xf numFmtId="0" fontId="0" fillId="0" borderId="47" xfId="0" applyBorder="1"/>
    <xf numFmtId="0" fontId="0" fillId="0" borderId="46" xfId="0" applyBorder="1"/>
    <xf numFmtId="0" fontId="0" fillId="0" borderId="51" xfId="0" applyBorder="1"/>
    <xf numFmtId="176" fontId="13" fillId="0" borderId="11" xfId="9" applyNumberFormat="1" applyBorder="1"/>
    <xf numFmtId="0" fontId="0" fillId="0" borderId="58" xfId="0" applyBorder="1"/>
    <xf numFmtId="176" fontId="0" fillId="0" borderId="9" xfId="0" applyNumberFormat="1" applyBorder="1"/>
    <xf numFmtId="0" fontId="0" fillId="0" borderId="59" xfId="0" applyBorder="1"/>
    <xf numFmtId="176" fontId="0" fillId="0" borderId="60" xfId="0" applyNumberFormat="1" applyBorder="1"/>
    <xf numFmtId="0" fontId="0" fillId="0" borderId="61" xfId="0" applyBorder="1"/>
    <xf numFmtId="176" fontId="0" fillId="0" borderId="11" xfId="0" applyNumberFormat="1" applyBorder="1"/>
    <xf numFmtId="176" fontId="13" fillId="0" borderId="9" xfId="9" applyNumberFormat="1" applyBorder="1"/>
    <xf numFmtId="10" fontId="0" fillId="4" borderId="0" xfId="65" applyNumberFormat="1" applyFont="1" applyFill="1" applyAlignment="1"/>
    <xf numFmtId="0" fontId="9" fillId="0" borderId="0" xfId="9" applyFont="1"/>
    <xf numFmtId="0" fontId="19" fillId="0" borderId="0" xfId="0" applyFont="1" applyAlignment="1">
      <alignment wrapText="1"/>
    </xf>
    <xf numFmtId="180" fontId="0" fillId="0" borderId="0" xfId="14" applyNumberFormat="1" applyFont="1" applyAlignment="1"/>
    <xf numFmtId="181" fontId="0" fillId="0" borderId="0" xfId="14" applyNumberFormat="1" applyFont="1" applyAlignment="1"/>
    <xf numFmtId="43" fontId="19" fillId="0" borderId="0" xfId="14" applyFont="1" applyAlignment="1"/>
    <xf numFmtId="182" fontId="0" fillId="0" borderId="0" xfId="0" applyNumberFormat="1"/>
    <xf numFmtId="183" fontId="0" fillId="0" borderId="0" xfId="0" applyNumberFormat="1"/>
    <xf numFmtId="180" fontId="19" fillId="0" borderId="0" xfId="14" applyNumberFormat="1" applyFont="1" applyAlignment="1"/>
    <xf numFmtId="169" fontId="0" fillId="0" borderId="0" xfId="63" applyNumberFormat="1" applyFont="1" applyAlignment="1"/>
    <xf numFmtId="0" fontId="0" fillId="0" borderId="8" xfId="0" applyBorder="1"/>
    <xf numFmtId="0" fontId="19" fillId="0" borderId="8" xfId="0" applyFont="1" applyBorder="1"/>
    <xf numFmtId="0" fontId="0" fillId="0" borderId="7" xfId="0" applyBorder="1"/>
    <xf numFmtId="0" fontId="19" fillId="0" borderId="7" xfId="0" applyFont="1" applyBorder="1"/>
    <xf numFmtId="0" fontId="0" fillId="0" borderId="3" xfId="0" applyBorder="1"/>
    <xf numFmtId="0" fontId="19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9" fontId="15" fillId="0" borderId="0" xfId="16" applyFont="1" applyFill="1" applyAlignment="1">
      <alignment horizontal="left" wrapText="1"/>
    </xf>
    <xf numFmtId="165" fontId="15" fillId="0" borderId="0" xfId="16" applyNumberFormat="1" applyFont="1" applyFill="1" applyAlignment="1">
      <alignment horizontal="left" wrapText="1"/>
    </xf>
    <xf numFmtId="0" fontId="0" fillId="0" borderId="3" xfId="0" applyBorder="1" applyAlignment="1">
      <alignment horizontal="left"/>
    </xf>
    <xf numFmtId="9" fontId="19" fillId="0" borderId="0" xfId="0" applyNumberFormat="1" applyFont="1"/>
    <xf numFmtId="10" fontId="0" fillId="0" borderId="0" xfId="0" applyNumberFormat="1" applyAlignment="1">
      <alignment horizontal="left"/>
    </xf>
    <xf numFmtId="9" fontId="0" fillId="0" borderId="7" xfId="0" applyNumberFormat="1" applyBorder="1" applyAlignment="1">
      <alignment horizontal="left"/>
    </xf>
    <xf numFmtId="0" fontId="85" fillId="0" borderId="5" xfId="0" applyFont="1" applyBorder="1"/>
    <xf numFmtId="0" fontId="85" fillId="0" borderId="0" xfId="0" applyFont="1"/>
    <xf numFmtId="176" fontId="0" fillId="0" borderId="0" xfId="0" applyNumberFormat="1"/>
    <xf numFmtId="9" fontId="0" fillId="0" borderId="0" xfId="65" applyFont="1"/>
    <xf numFmtId="0" fontId="8" fillId="0" borderId="0" xfId="66"/>
    <xf numFmtId="0" fontId="8" fillId="0" borderId="0" xfId="67"/>
    <xf numFmtId="0" fontId="8" fillId="0" borderId="50" xfId="66" applyBorder="1"/>
    <xf numFmtId="0" fontId="8" fillId="0" borderId="21" xfId="66" applyBorder="1"/>
    <xf numFmtId="0" fontId="8" fillId="0" borderId="2" xfId="66" applyBorder="1"/>
    <xf numFmtId="0" fontId="8" fillId="0" borderId="9" xfId="66" applyBorder="1"/>
    <xf numFmtId="0" fontId="8" fillId="0" borderId="62" xfId="66" applyBorder="1"/>
    <xf numFmtId="0" fontId="8" fillId="0" borderId="62" xfId="67" applyBorder="1"/>
    <xf numFmtId="0" fontId="19" fillId="0" borderId="62" xfId="66" applyFont="1" applyBorder="1"/>
    <xf numFmtId="0" fontId="8" fillId="0" borderId="63" xfId="66" applyBorder="1"/>
    <xf numFmtId="180" fontId="0" fillId="0" borderId="0" xfId="0" applyNumberFormat="1"/>
    <xf numFmtId="0" fontId="7" fillId="0" borderId="0" xfId="9" applyFont="1"/>
    <xf numFmtId="0" fontId="19" fillId="0" borderId="12" xfId="67" applyFont="1" applyBorder="1"/>
    <xf numFmtId="0" fontId="0" fillId="16" borderId="0" xfId="0" applyFill="1"/>
    <xf numFmtId="0" fontId="13" fillId="16" borderId="0" xfId="9" applyFill="1"/>
    <xf numFmtId="0" fontId="6" fillId="16" borderId="0" xfId="9" applyFont="1" applyFill="1"/>
    <xf numFmtId="2" fontId="13" fillId="16" borderId="0" xfId="9" applyNumberFormat="1" applyFill="1"/>
    <xf numFmtId="0" fontId="6" fillId="7" borderId="0" xfId="9" applyFont="1" applyFill="1"/>
    <xf numFmtId="0" fontId="0" fillId="0" borderId="33" xfId="0" applyBorder="1"/>
    <xf numFmtId="0" fontId="0" fillId="0" borderId="35" xfId="0" applyBorder="1"/>
    <xf numFmtId="0" fontId="0" fillId="0" borderId="37" xfId="0" applyBorder="1"/>
    <xf numFmtId="0" fontId="0" fillId="0" borderId="44" xfId="0" applyBorder="1"/>
    <xf numFmtId="44" fontId="0" fillId="0" borderId="7" xfId="63" applyFont="1" applyBorder="1" applyAlignment="1"/>
    <xf numFmtId="176" fontId="74" fillId="0" borderId="0" xfId="0" applyNumberFormat="1" applyFont="1"/>
    <xf numFmtId="176" fontId="74" fillId="0" borderId="0" xfId="0" applyNumberFormat="1" applyFont="1" applyAlignment="1">
      <alignment horizontal="left"/>
    </xf>
    <xf numFmtId="176" fontId="19" fillId="0" borderId="0" xfId="0" applyNumberFormat="1" applyFont="1"/>
    <xf numFmtId="0" fontId="17" fillId="0" borderId="52" xfId="0" applyFont="1" applyBorder="1"/>
    <xf numFmtId="0" fontId="17" fillId="0" borderId="47" xfId="0" applyFont="1" applyBorder="1"/>
    <xf numFmtId="0" fontId="17" fillId="0" borderId="46" xfId="0" applyFont="1" applyBorder="1"/>
    <xf numFmtId="0" fontId="17" fillId="0" borderId="56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5" fillId="0" borderId="0" xfId="9" applyFont="1"/>
    <xf numFmtId="0" fontId="11" fillId="0" borderId="13" xfId="9" applyFont="1" applyBorder="1"/>
    <xf numFmtId="0" fontId="11" fillId="0" borderId="65" xfId="9" applyFont="1" applyBorder="1"/>
    <xf numFmtId="3" fontId="13" fillId="0" borderId="18" xfId="9" applyNumberFormat="1" applyBorder="1"/>
    <xf numFmtId="3" fontId="13" fillId="0" borderId="25" xfId="9" applyNumberFormat="1" applyBorder="1"/>
    <xf numFmtId="3" fontId="13" fillId="0" borderId="19" xfId="9" applyNumberFormat="1" applyBorder="1"/>
    <xf numFmtId="3" fontId="13" fillId="0" borderId="22" xfId="9" applyNumberFormat="1" applyBorder="1"/>
    <xf numFmtId="3" fontId="13" fillId="0" borderId="26" xfId="9" applyNumberFormat="1" applyBorder="1"/>
    <xf numFmtId="3" fontId="13" fillId="0" borderId="23" xfId="9" applyNumberFormat="1" applyBorder="1"/>
    <xf numFmtId="0" fontId="82" fillId="0" borderId="0" xfId="0" applyFont="1" applyAlignment="1">
      <alignment vertical="center" wrapText="1"/>
    </xf>
    <xf numFmtId="0" fontId="81" fillId="0" borderId="37" xfId="0" applyFont="1" applyBorder="1" applyAlignment="1">
      <alignment vertical="center"/>
    </xf>
    <xf numFmtId="0" fontId="82" fillId="0" borderId="55" xfId="0" applyFont="1" applyBorder="1" applyAlignment="1">
      <alignment vertical="center"/>
    </xf>
    <xf numFmtId="3" fontId="81" fillId="0" borderId="18" xfId="0" applyNumberFormat="1" applyFont="1" applyBorder="1" applyAlignment="1">
      <alignment vertical="center"/>
    </xf>
    <xf numFmtId="3" fontId="81" fillId="0" borderId="25" xfId="0" applyNumberFormat="1" applyFont="1" applyBorder="1" applyAlignment="1">
      <alignment vertical="center"/>
    </xf>
    <xf numFmtId="3" fontId="81" fillId="0" borderId="22" xfId="0" applyNumberFormat="1" applyFont="1" applyBorder="1" applyAlignment="1">
      <alignment vertical="center"/>
    </xf>
    <xf numFmtId="3" fontId="81" fillId="0" borderId="26" xfId="0" applyNumberFormat="1" applyFont="1" applyBorder="1" applyAlignment="1">
      <alignment vertical="center"/>
    </xf>
    <xf numFmtId="3" fontId="81" fillId="0" borderId="66" xfId="0" applyNumberFormat="1" applyFont="1" applyBorder="1" applyAlignment="1">
      <alignment vertical="center"/>
    </xf>
    <xf numFmtId="3" fontId="81" fillId="0" borderId="65" xfId="0" applyNumberFormat="1" applyFont="1" applyBorder="1" applyAlignment="1">
      <alignment vertical="center"/>
    </xf>
    <xf numFmtId="0" fontId="5" fillId="0" borderId="8" xfId="9" applyFont="1" applyBorder="1"/>
    <xf numFmtId="0" fontId="5" fillId="0" borderId="8" xfId="9" applyFont="1" applyBorder="1" applyAlignment="1">
      <alignment wrapText="1"/>
    </xf>
    <xf numFmtId="0" fontId="13" fillId="0" borderId="5" xfId="9" applyBorder="1"/>
    <xf numFmtId="0" fontId="5" fillId="0" borderId="7" xfId="9" applyFont="1" applyBorder="1"/>
    <xf numFmtId="0" fontId="13" fillId="0" borderId="7" xfId="9" applyBorder="1"/>
    <xf numFmtId="0" fontId="5" fillId="0" borderId="5" xfId="9" applyFont="1" applyBorder="1"/>
    <xf numFmtId="3" fontId="13" fillId="0" borderId="7" xfId="9" applyNumberFormat="1" applyBorder="1"/>
    <xf numFmtId="0" fontId="4" fillId="0" borderId="0" xfId="9" applyFont="1"/>
    <xf numFmtId="0" fontId="56" fillId="0" borderId="0" xfId="0" applyFont="1" applyAlignment="1">
      <alignment vertical="center"/>
    </xf>
    <xf numFmtId="0" fontId="0" fillId="4" borderId="0" xfId="0" applyFill="1"/>
    <xf numFmtId="0" fontId="0" fillId="0" borderId="5" xfId="0" applyBorder="1"/>
    <xf numFmtId="4" fontId="13" fillId="0" borderId="18" xfId="9" applyNumberFormat="1" applyBorder="1"/>
    <xf numFmtId="4" fontId="13" fillId="0" borderId="0" xfId="9" applyNumberFormat="1"/>
    <xf numFmtId="170" fontId="13" fillId="0" borderId="0" xfId="9" applyNumberFormat="1"/>
    <xf numFmtId="170" fontId="4" fillId="0" borderId="0" xfId="9" applyNumberFormat="1" applyFont="1"/>
    <xf numFmtId="4" fontId="13" fillId="0" borderId="5" xfId="9" applyNumberFormat="1" applyBorder="1"/>
    <xf numFmtId="177" fontId="0" fillId="0" borderId="0" xfId="0" applyNumberFormat="1" applyAlignment="1">
      <alignment horizontal="center"/>
    </xf>
    <xf numFmtId="177" fontId="86" fillId="8" borderId="67" xfId="0" applyNumberFormat="1" applyFont="1" applyFill="1" applyBorder="1" applyAlignment="1">
      <alignment horizontal="center"/>
    </xf>
    <xf numFmtId="177" fontId="86" fillId="0" borderId="67" xfId="0" applyNumberFormat="1" applyFont="1" applyBorder="1" applyAlignment="1">
      <alignment horizontal="center"/>
    </xf>
    <xf numFmtId="3" fontId="15" fillId="0" borderId="2" xfId="9" applyNumberFormat="1" applyFont="1" applyBorder="1"/>
    <xf numFmtId="0" fontId="81" fillId="0" borderId="0" xfId="0" applyFont="1" applyAlignment="1">
      <alignment vertical="center"/>
    </xf>
    <xf numFmtId="3" fontId="81" fillId="0" borderId="0" xfId="0" applyNumberFormat="1" applyFont="1" applyAlignment="1">
      <alignment vertical="center"/>
    </xf>
    <xf numFmtId="3" fontId="11" fillId="0" borderId="7" xfId="9" applyNumberFormat="1" applyFont="1" applyBorder="1"/>
    <xf numFmtId="3" fontId="13" fillId="0" borderId="6" xfId="9" applyNumberFormat="1" applyBorder="1"/>
    <xf numFmtId="3" fontId="13" fillId="0" borderId="13" xfId="9" applyNumberFormat="1" applyBorder="1"/>
    <xf numFmtId="176" fontId="15" fillId="0" borderId="0" xfId="0" applyNumberFormat="1" applyFont="1"/>
    <xf numFmtId="176" fontId="15" fillId="0" borderId="0" xfId="0" applyNumberFormat="1" applyFont="1" applyAlignment="1">
      <alignment horizontal="left"/>
    </xf>
    <xf numFmtId="176" fontId="15" fillId="0" borderId="7" xfId="0" applyNumberFormat="1" applyFont="1" applyBorder="1" applyAlignment="1">
      <alignment horizontal="left"/>
    </xf>
    <xf numFmtId="43" fontId="27" fillId="0" borderId="0" xfId="14" applyFon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left"/>
    </xf>
    <xf numFmtId="44" fontId="0" fillId="0" borderId="0" xfId="63" applyFont="1"/>
    <xf numFmtId="1" fontId="0" fillId="0" borderId="0" xfId="0" applyNumberFormat="1" applyAlignment="1">
      <alignment vertical="center"/>
    </xf>
    <xf numFmtId="1" fontId="0" fillId="0" borderId="0" xfId="63" applyNumberFormat="1" applyFont="1" applyAlignment="1">
      <alignment vertical="center"/>
    </xf>
    <xf numFmtId="0" fontId="0" fillId="4" borderId="0" xfId="0" applyFill="1" applyAlignment="1">
      <alignment horizontal="center"/>
    </xf>
    <xf numFmtId="167" fontId="0" fillId="4" borderId="0" xfId="0" applyNumberFormat="1" applyFill="1"/>
    <xf numFmtId="0" fontId="17" fillId="0" borderId="39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2" fillId="0" borderId="0" xfId="0" applyFont="1" applyAlignment="1">
      <alignment vertical="center"/>
    </xf>
    <xf numFmtId="0" fontId="82" fillId="0" borderId="39" xfId="0" applyFont="1" applyBorder="1" applyAlignment="1">
      <alignment vertical="center"/>
    </xf>
    <xf numFmtId="0" fontId="82" fillId="0" borderId="24" xfId="0" applyFont="1" applyBorder="1" applyAlignment="1">
      <alignment vertical="center"/>
    </xf>
    <xf numFmtId="3" fontId="81" fillId="0" borderId="38" xfId="0" applyNumberFormat="1" applyFont="1" applyBorder="1" applyAlignment="1">
      <alignment vertical="center"/>
    </xf>
    <xf numFmtId="0" fontId="3" fillId="0" borderId="0" xfId="9" applyFont="1"/>
    <xf numFmtId="3" fontId="13" fillId="0" borderId="52" xfId="9" applyNumberFormat="1" applyBorder="1"/>
    <xf numFmtId="44" fontId="0" fillId="0" borderId="0" xfId="63" applyFont="1" applyBorder="1"/>
    <xf numFmtId="0" fontId="13" fillId="0" borderId="0" xfId="9" applyAlignment="1">
      <alignment vertical="center"/>
    </xf>
    <xf numFmtId="0" fontId="13" fillId="0" borderId="7" xfId="9" applyBorder="1" applyAlignment="1">
      <alignment vertical="center"/>
    </xf>
    <xf numFmtId="168" fontId="0" fillId="0" borderId="0" xfId="0" applyNumberFormat="1"/>
    <xf numFmtId="169" fontId="74" fillId="0" borderId="0" xfId="0" applyNumberFormat="1" applyFont="1"/>
    <xf numFmtId="169" fontId="15" fillId="0" borderId="0" xfId="0" applyNumberFormat="1" applyFont="1"/>
    <xf numFmtId="169" fontId="0" fillId="0" borderId="7" xfId="0" applyNumberFormat="1" applyBorder="1"/>
    <xf numFmtId="1" fontId="13" fillId="0" borderId="7" xfId="9" applyNumberFormat="1" applyBorder="1"/>
    <xf numFmtId="1" fontId="87" fillId="0" borderId="0" xfId="9" applyNumberFormat="1" applyFont="1"/>
    <xf numFmtId="1" fontId="13" fillId="0" borderId="0" xfId="9" applyNumberFormat="1"/>
    <xf numFmtId="0" fontId="0" fillId="0" borderId="10" xfId="0" applyBorder="1"/>
    <xf numFmtId="1" fontId="87" fillId="0" borderId="6" xfId="9" applyNumberFormat="1" applyFont="1" applyBorder="1"/>
    <xf numFmtId="1" fontId="13" fillId="0" borderId="13" xfId="9" applyNumberFormat="1" applyBorder="1"/>
    <xf numFmtId="1" fontId="13" fillId="0" borderId="6" xfId="9" applyNumberFormat="1" applyBorder="1"/>
    <xf numFmtId="0" fontId="13" fillId="0" borderId="16" xfId="9" applyBorder="1"/>
    <xf numFmtId="0" fontId="13" fillId="0" borderId="12" xfId="9" applyBorder="1"/>
    <xf numFmtId="43" fontId="20" fillId="4" borderId="1" xfId="1" applyNumberFormat="1" applyFill="1" applyAlignment="1"/>
    <xf numFmtId="173" fontId="13" fillId="0" borderId="18" xfId="9" applyNumberFormat="1" applyBorder="1"/>
    <xf numFmtId="0" fontId="13" fillId="4" borderId="2" xfId="8" applyFill="1" applyBorder="1" applyAlignment="1"/>
    <xf numFmtId="0" fontId="15" fillId="4" borderId="2" xfId="9" applyFont="1" applyFill="1" applyBorder="1"/>
    <xf numFmtId="0" fontId="12" fillId="4" borderId="2" xfId="9" applyFont="1" applyFill="1" applyBorder="1"/>
    <xf numFmtId="0" fontId="12" fillId="4" borderId="0" xfId="9" applyFont="1" applyFill="1"/>
    <xf numFmtId="43" fontId="15" fillId="4" borderId="2" xfId="14" applyFont="1" applyFill="1" applyBorder="1" applyAlignment="1"/>
    <xf numFmtId="0" fontId="13" fillId="4" borderId="2" xfId="9" applyFill="1" applyBorder="1"/>
    <xf numFmtId="0" fontId="13" fillId="4" borderId="0" xfId="9" applyFill="1"/>
    <xf numFmtId="0" fontId="81" fillId="4" borderId="43" xfId="0" applyFont="1" applyFill="1" applyBorder="1" applyAlignment="1">
      <alignment vertical="center"/>
    </xf>
    <xf numFmtId="3" fontId="81" fillId="4" borderId="44" xfId="0" applyNumberFormat="1" applyFont="1" applyFill="1" applyBorder="1" applyAlignment="1">
      <alignment vertical="center"/>
    </xf>
    <xf numFmtId="3" fontId="2" fillId="0" borderId="0" xfId="9" applyNumberFormat="1" applyFont="1"/>
    <xf numFmtId="0" fontId="2" fillId="0" borderId="0" xfId="9" applyFont="1"/>
    <xf numFmtId="0" fontId="82" fillId="0" borderId="40" xfId="0" applyFont="1" applyBorder="1" applyAlignment="1">
      <alignment vertical="center"/>
    </xf>
    <xf numFmtId="4" fontId="81" fillId="0" borderId="9" xfId="0" applyNumberFormat="1" applyFont="1" applyBorder="1" applyAlignment="1">
      <alignment vertical="center"/>
    </xf>
    <xf numFmtId="0" fontId="82" fillId="0" borderId="57" xfId="0" applyFont="1" applyBorder="1" applyAlignment="1">
      <alignment vertical="center"/>
    </xf>
    <xf numFmtId="4" fontId="81" fillId="0" borderId="0" xfId="0" applyNumberFormat="1" applyFont="1" applyAlignment="1">
      <alignment vertical="center"/>
    </xf>
    <xf numFmtId="4" fontId="81" fillId="0" borderId="60" xfId="0" applyNumberFormat="1" applyFont="1" applyBorder="1" applyAlignment="1">
      <alignment vertical="center"/>
    </xf>
    <xf numFmtId="4" fontId="81" fillId="0" borderId="39" xfId="0" applyNumberFormat="1" applyFont="1" applyBorder="1" applyAlignment="1">
      <alignment vertical="center"/>
    </xf>
    <xf numFmtId="4" fontId="81" fillId="0" borderId="40" xfId="0" applyNumberFormat="1" applyFont="1" applyBorder="1" applyAlignment="1">
      <alignment vertical="center"/>
    </xf>
    <xf numFmtId="4" fontId="81" fillId="0" borderId="38" xfId="0" applyNumberFormat="1" applyFont="1" applyBorder="1" applyAlignment="1">
      <alignment vertical="center"/>
    </xf>
    <xf numFmtId="4" fontId="81" fillId="0" borderId="68" xfId="0" applyNumberFormat="1" applyFont="1" applyBorder="1" applyAlignment="1">
      <alignment vertical="center"/>
    </xf>
    <xf numFmtId="0" fontId="81" fillId="0" borderId="18" xfId="0" applyFont="1" applyBorder="1" applyAlignment="1">
      <alignment vertical="center"/>
    </xf>
    <xf numFmtId="4" fontId="81" fillId="0" borderId="25" xfId="0" applyNumberFormat="1" applyFont="1" applyBorder="1" applyAlignment="1">
      <alignment vertical="center"/>
    </xf>
    <xf numFmtId="4" fontId="81" fillId="0" borderId="19" xfId="0" applyNumberFormat="1" applyFont="1" applyBorder="1" applyAlignment="1">
      <alignment vertical="center"/>
    </xf>
    <xf numFmtId="0" fontId="81" fillId="0" borderId="22" xfId="0" applyFont="1" applyBorder="1" applyAlignment="1">
      <alignment vertical="center"/>
    </xf>
    <xf numFmtId="4" fontId="81" fillId="0" borderId="15" xfId="0" applyNumberFormat="1" applyFont="1" applyBorder="1" applyAlignment="1">
      <alignment vertical="center"/>
    </xf>
    <xf numFmtId="4" fontId="81" fillId="0" borderId="52" xfId="0" applyNumberFormat="1" applyFont="1" applyBorder="1" applyAlignment="1">
      <alignment vertical="center"/>
    </xf>
    <xf numFmtId="4" fontId="81" fillId="0" borderId="47" xfId="0" applyNumberFormat="1" applyFont="1" applyBorder="1" applyAlignment="1">
      <alignment vertical="center"/>
    </xf>
    <xf numFmtId="4" fontId="81" fillId="0" borderId="46" xfId="0" applyNumberFormat="1" applyFont="1" applyBorder="1" applyAlignment="1">
      <alignment vertical="center"/>
    </xf>
    <xf numFmtId="0" fontId="81" fillId="0" borderId="6" xfId="0" applyFont="1" applyBorder="1" applyAlignment="1">
      <alignment vertical="center"/>
    </xf>
    <xf numFmtId="3" fontId="13" fillId="0" borderId="17" xfId="9" applyNumberFormat="1" applyBorder="1"/>
    <xf numFmtId="0" fontId="4" fillId="0" borderId="13" xfId="9" applyFont="1" applyBorder="1"/>
    <xf numFmtId="3" fontId="13" fillId="0" borderId="11" xfId="9" applyNumberFormat="1" applyBorder="1"/>
    <xf numFmtId="0" fontId="81" fillId="17" borderId="4" xfId="0" applyFont="1" applyFill="1" applyBorder="1" applyAlignment="1">
      <alignment vertical="center"/>
    </xf>
    <xf numFmtId="0" fontId="81" fillId="17" borderId="13" xfId="0" applyFont="1" applyFill="1" applyBorder="1" applyAlignment="1">
      <alignment vertical="center"/>
    </xf>
    <xf numFmtId="0" fontId="82" fillId="17" borderId="7" xfId="0" applyFont="1" applyFill="1" applyBorder="1" applyAlignment="1">
      <alignment vertical="center"/>
    </xf>
    <xf numFmtId="0" fontId="82" fillId="17" borderId="7" xfId="0" applyFont="1" applyFill="1" applyBorder="1" applyAlignment="1">
      <alignment horizontal="center" vertical="center"/>
    </xf>
    <xf numFmtId="0" fontId="82" fillId="17" borderId="11" xfId="0" applyFont="1" applyFill="1" applyBorder="1" applyAlignment="1">
      <alignment vertical="center"/>
    </xf>
    <xf numFmtId="0" fontId="82" fillId="17" borderId="13" xfId="0" applyFont="1" applyFill="1" applyBorder="1" applyAlignment="1">
      <alignment vertical="center"/>
    </xf>
    <xf numFmtId="0" fontId="2" fillId="17" borderId="5" xfId="9" applyFont="1" applyFill="1" applyBorder="1"/>
    <xf numFmtId="0" fontId="13" fillId="17" borderId="7" xfId="9" applyFill="1" applyBorder="1"/>
    <xf numFmtId="3" fontId="81" fillId="0" borderId="6" xfId="0" applyNumberFormat="1" applyFont="1" applyBorder="1" applyAlignment="1">
      <alignment vertical="center"/>
    </xf>
    <xf numFmtId="3" fontId="81" fillId="0" borderId="13" xfId="0" applyNumberFormat="1" applyFont="1" applyBorder="1" applyAlignment="1">
      <alignment vertical="center"/>
    </xf>
    <xf numFmtId="3" fontId="81" fillId="0" borderId="7" xfId="0" applyNumberFormat="1" applyFont="1" applyBorder="1" applyAlignment="1">
      <alignment vertical="center"/>
    </xf>
    <xf numFmtId="0" fontId="2" fillId="0" borderId="7" xfId="9" applyFont="1" applyBorder="1"/>
    <xf numFmtId="0" fontId="19" fillId="0" borderId="11" xfId="67" applyFont="1" applyBorder="1"/>
    <xf numFmtId="0" fontId="1" fillId="0" borderId="0" xfId="9" applyFont="1"/>
    <xf numFmtId="2" fontId="1" fillId="16" borderId="0" xfId="9" applyNumberFormat="1" applyFont="1" applyFill="1"/>
    <xf numFmtId="0" fontId="19" fillId="0" borderId="42" xfId="67" applyFont="1" applyBorder="1"/>
    <xf numFmtId="0" fontId="19" fillId="0" borderId="13" xfId="67" applyFont="1" applyBorder="1"/>
    <xf numFmtId="0" fontId="8" fillId="0" borderId="8" xfId="66" applyBorder="1"/>
    <xf numFmtId="0" fontId="8" fillId="0" borderId="10" xfId="66" applyBorder="1"/>
    <xf numFmtId="0" fontId="8" fillId="0" borderId="58" xfId="66" applyBorder="1"/>
    <xf numFmtId="0" fontId="19" fillId="0" borderId="63" xfId="67" applyFont="1" applyBorder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82" fillId="0" borderId="39" xfId="0" applyFont="1" applyBorder="1" applyAlignment="1">
      <alignment horizontal="center" vertical="center" wrapText="1"/>
    </xf>
    <xf numFmtId="0" fontId="82" fillId="0" borderId="40" xfId="0" applyFont="1" applyBorder="1" applyAlignment="1">
      <alignment horizontal="center" vertical="center" wrapText="1"/>
    </xf>
    <xf numFmtId="0" fontId="82" fillId="0" borderId="38" xfId="0" applyFont="1" applyBorder="1" applyAlignment="1">
      <alignment horizontal="center" vertical="center" wrapText="1"/>
    </xf>
    <xf numFmtId="0" fontId="11" fillId="0" borderId="39" xfId="9" applyFont="1" applyBorder="1" applyAlignment="1">
      <alignment horizontal="center"/>
    </xf>
    <xf numFmtId="0" fontId="11" fillId="0" borderId="38" xfId="9" applyFont="1" applyBorder="1" applyAlignment="1">
      <alignment horizontal="center"/>
    </xf>
    <xf numFmtId="0" fontId="33" fillId="18" borderId="45" xfId="66" applyFont="1" applyFill="1" applyBorder="1" applyAlignment="1">
      <alignment horizontal="center"/>
    </xf>
    <xf numFmtId="0" fontId="33" fillId="18" borderId="47" xfId="66" applyFont="1" applyFill="1" applyBorder="1" applyAlignment="1">
      <alignment horizontal="center"/>
    </xf>
    <xf numFmtId="0" fontId="8" fillId="18" borderId="52" xfId="66" applyFill="1" applyBorder="1" applyAlignment="1">
      <alignment horizontal="center"/>
    </xf>
    <xf numFmtId="0" fontId="8" fillId="18" borderId="47" xfId="66" applyFill="1" applyBorder="1" applyAlignment="1">
      <alignment horizontal="center"/>
    </xf>
    <xf numFmtId="0" fontId="8" fillId="18" borderId="46" xfId="66" applyFill="1" applyBorder="1" applyAlignment="1">
      <alignment horizontal="center"/>
    </xf>
    <xf numFmtId="0" fontId="17" fillId="0" borderId="56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40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wrapText="1"/>
    </xf>
    <xf numFmtId="0" fontId="82" fillId="17" borderId="5" xfId="0" applyFont="1" applyFill="1" applyBorder="1" applyAlignment="1">
      <alignment horizontal="center" vertical="center" wrapText="1"/>
    </xf>
    <xf numFmtId="0" fontId="82" fillId="17" borderId="14" xfId="0" applyFont="1" applyFill="1" applyBorder="1" applyAlignment="1">
      <alignment horizontal="center" vertical="center" wrapText="1"/>
    </xf>
    <xf numFmtId="0" fontId="5" fillId="0" borderId="7" xfId="9" applyFont="1" applyBorder="1" applyAlignment="1">
      <alignment horizontal="left"/>
    </xf>
    <xf numFmtId="0" fontId="11" fillId="0" borderId="52" xfId="9" applyFont="1" applyBorder="1" applyAlignment="1">
      <alignment horizontal="center"/>
    </xf>
    <xf numFmtId="0" fontId="11" fillId="0" borderId="46" xfId="9" applyFont="1" applyBorder="1" applyAlignment="1">
      <alignment horizontal="center"/>
    </xf>
    <xf numFmtId="0" fontId="5" fillId="0" borderId="5" xfId="9" applyFont="1" applyBorder="1" applyAlignment="1">
      <alignment horizontal="left"/>
    </xf>
    <xf numFmtId="0" fontId="82" fillId="17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82" fillId="0" borderId="39" xfId="0" applyFont="1" applyBorder="1" applyAlignment="1">
      <alignment horizontal="center" vertical="center"/>
    </xf>
    <xf numFmtId="0" fontId="82" fillId="0" borderId="38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9" applyFont="1" applyAlignment="1">
      <alignment horizontal="center" vertical="center"/>
    </xf>
    <xf numFmtId="0" fontId="13" fillId="0" borderId="5" xfId="9" applyBorder="1" applyAlignment="1">
      <alignment horizontal="center" vertical="center"/>
    </xf>
    <xf numFmtId="0" fontId="13" fillId="0" borderId="0" xfId="9" applyAlignment="1">
      <alignment horizontal="center" vertical="center"/>
    </xf>
    <xf numFmtId="0" fontId="5" fillId="0" borderId="8" xfId="9" applyFont="1" applyBorder="1" applyAlignment="1">
      <alignment horizontal="center" wrapText="1"/>
    </xf>
    <xf numFmtId="0" fontId="29" fillId="0" borderId="7" xfId="18" applyFont="1" applyBorder="1" applyAlignment="1">
      <alignment horizontal="center" wrapText="1"/>
    </xf>
    <xf numFmtId="0" fontId="27" fillId="0" borderId="0" xfId="18" applyFont="1" applyAlignment="1">
      <alignment vertical="center"/>
    </xf>
    <xf numFmtId="168" fontId="27" fillId="0" borderId="0" xfId="18" applyNumberFormat="1" applyFont="1" applyAlignment="1">
      <alignment vertical="center"/>
    </xf>
    <xf numFmtId="0" fontId="27" fillId="0" borderId="0" xfId="18" applyFont="1" applyAlignment="1">
      <alignment wrapText="1"/>
    </xf>
  </cellXfs>
  <cellStyles count="68">
    <cellStyle name="20% - Accent4" xfId="8" builtinId="42"/>
    <cellStyle name="Comma" xfId="14" builtinId="3"/>
    <cellStyle name="Comma 2" xfId="3" xr:uid="{00000000-0005-0000-0000-000002000000}"/>
    <cellStyle name="Comma 3" xfId="10" xr:uid="{00000000-0005-0000-0000-000003000000}"/>
    <cellStyle name="Comma 4" xfId="20" xr:uid="{00000000-0005-0000-0000-000004000000}"/>
    <cellStyle name="Currency" xfId="63" builtinId="4"/>
    <cellStyle name="Currency 2" xfId="6" xr:uid="{00000000-0005-0000-0000-000006000000}"/>
    <cellStyle name="Followed Hyperlink" xfId="35" builtinId="9" hidden="1"/>
    <cellStyle name="Followed Hyperlink" xfId="61" builtinId="9" hidden="1"/>
    <cellStyle name="Followed Hyperlink" xfId="58" builtinId="9" hidden="1"/>
    <cellStyle name="Followed Hyperlink" xfId="56" builtinId="9" hidden="1"/>
    <cellStyle name="Followed Hyperlink" xfId="59" builtinId="9" hidden="1"/>
    <cellStyle name="Followed Hyperlink" xfId="60" builtinId="9" hidden="1"/>
    <cellStyle name="Followed Hyperlink" xfId="36" builtinId="9" hidden="1"/>
    <cellStyle name="Followed Hyperlink" xfId="47" builtinId="9" hidden="1"/>
    <cellStyle name="Followed Hyperlink" xfId="48" builtinId="9" hidden="1"/>
    <cellStyle name="Followed Hyperlink" xfId="52" builtinId="9" hidden="1"/>
    <cellStyle name="Followed Hyperlink" xfId="54" builtinId="9" hidden="1"/>
    <cellStyle name="Followed Hyperlink" xfId="53" builtinId="9" hidden="1"/>
    <cellStyle name="Followed Hyperlink" xfId="41" builtinId="9" hidden="1"/>
    <cellStyle name="Followed Hyperlink" xfId="3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7" builtinId="9" hidden="1"/>
    <cellStyle name="Followed Hyperlink" xfId="49" builtinId="9" hidden="1"/>
    <cellStyle name="Followed Hyperlink" xfId="51" builtinId="9" hidden="1"/>
    <cellStyle name="Followed Hyperlink" xfId="46" builtinId="9" hidden="1"/>
    <cellStyle name="Followed Hyperlink" xfId="57" builtinId="9" hidden="1"/>
    <cellStyle name="Followed Hyperlink" xfId="55" builtinId="9" hidden="1"/>
    <cellStyle name="Followed Hyperlink" xfId="31" builtinId="9" hidden="1"/>
    <cellStyle name="Followed Hyperlink" xfId="34" builtinId="9" hidden="1"/>
    <cellStyle name="Followed Hyperlink" xfId="32" builtinId="9" hidden="1"/>
    <cellStyle name="Followed Hyperlink" xfId="40" builtinId="9" hidden="1"/>
    <cellStyle name="Followed Hyperlink" xfId="33" builtinId="9" hidden="1"/>
    <cellStyle name="Followed Hyperlink" xfId="25" builtinId="9" hidden="1"/>
    <cellStyle name="Followed Hyperlink" xfId="45" builtinId="9" hidden="1"/>
    <cellStyle name="Followed Hyperlink" xfId="50" builtinId="9" hidden="1"/>
    <cellStyle name="Followed Hyperlink" xfId="21" builtinId="9" hidden="1"/>
    <cellStyle name="Followed Hyperlink" xfId="30" builtinId="9" hidden="1"/>
    <cellStyle name="Followed Hyperlink" xfId="38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3" builtinId="9" hidden="1"/>
    <cellStyle name="Followed Hyperlink" xfId="13" builtinId="9" hidden="1"/>
    <cellStyle name="Followed Hyperlink" xfId="12" builtinId="9" hidden="1"/>
    <cellStyle name="Followed Hyperlink" xfId="23" builtinId="9" hidden="1"/>
    <cellStyle name="Followed Hyperlink" xfId="22" builtinId="9" hidden="1"/>
    <cellStyle name="Followed Hyperlink" xfId="29" builtinId="9" hidden="1"/>
    <cellStyle name="Hyperlink" xfId="64" builtinId="8"/>
    <cellStyle name="Hyperlink 2" xfId="17" xr:uid="{00000000-0005-0000-0000-000033000000}"/>
    <cellStyle name="Input" xfId="1" builtinId="20"/>
    <cellStyle name="Normal" xfId="0" builtinId="0"/>
    <cellStyle name="Normal 2" xfId="2" xr:uid="{00000000-0005-0000-0000-000036000000}"/>
    <cellStyle name="Normal 2 2" xfId="5" xr:uid="{00000000-0005-0000-0000-000037000000}"/>
    <cellStyle name="Normal 2 3" xfId="7" xr:uid="{00000000-0005-0000-0000-000038000000}"/>
    <cellStyle name="Normal 3" xfId="9" xr:uid="{00000000-0005-0000-0000-000039000000}"/>
    <cellStyle name="Normal 3 2" xfId="67" xr:uid="{483F2FB7-9DBD-4873-AB8B-5F9463A97AAF}"/>
    <cellStyle name="Normal 4" xfId="4" xr:uid="{00000000-0005-0000-0000-00003A000000}"/>
    <cellStyle name="Normal 5" xfId="62" xr:uid="{00000000-0005-0000-0000-00003B000000}"/>
    <cellStyle name="Normal 6" xfId="66" xr:uid="{8A837F32-25A2-407B-B7A5-C95173C8DBD0}"/>
    <cellStyle name="Normal_Sheet1 (3)" xfId="19" xr:uid="{00000000-0005-0000-0000-00003C000000}"/>
    <cellStyle name="Normal_Sheet1 2" xfId="15" xr:uid="{00000000-0005-0000-0000-00003D000000}"/>
    <cellStyle name="Normal_Simple NRELGoal Case MSW 2005" xfId="18" xr:uid="{00000000-0005-0000-0000-00003E000000}"/>
    <cellStyle name="Percent" xfId="65" builtinId="5"/>
    <cellStyle name="Percent 2" xfId="11" xr:uid="{00000000-0005-0000-0000-000040000000}"/>
    <cellStyle name="Percent 3" xfId="16" xr:uid="{00000000-0005-0000-0000-000041000000}"/>
  </cellStyles>
  <dxfs count="46">
    <dxf>
      <font>
        <b/>
        <i val="0"/>
        <color theme="5"/>
      </font>
    </dxf>
    <dxf>
      <font>
        <color theme="5"/>
      </font>
      <fill>
        <patternFill>
          <bgColor theme="0"/>
        </patternFill>
      </fill>
    </dxf>
    <dxf>
      <font>
        <b/>
        <i val="0"/>
        <color theme="5"/>
      </font>
    </dxf>
    <dxf>
      <font>
        <color theme="5"/>
      </font>
      <fill>
        <patternFill>
          <bgColor theme="0"/>
        </patternFill>
      </fill>
    </dxf>
    <dxf>
      <font>
        <b/>
        <i val="0"/>
        <color theme="5"/>
      </font>
    </dxf>
    <dxf>
      <font>
        <color theme="5"/>
      </font>
      <fill>
        <patternFill>
          <bgColor theme="0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ont>
        <color theme="5"/>
      </font>
      <fill>
        <patternFill>
          <bgColor theme="0"/>
        </patternFill>
      </fill>
    </dxf>
    <dxf>
      <font>
        <b/>
        <i val="0"/>
        <color theme="5"/>
      </font>
    </dxf>
    <dxf>
      <font>
        <color theme="5"/>
      </font>
      <fill>
        <patternFill>
          <bgColor theme="0"/>
        </patternFill>
      </fill>
    </dxf>
    <dxf>
      <font>
        <b/>
        <i val="0"/>
        <color theme="5"/>
      </font>
    </dxf>
    <dxf>
      <font>
        <color theme="5"/>
      </font>
      <fill>
        <patternFill>
          <bgColor theme="0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color theme="5"/>
      </font>
      <fill>
        <patternFill>
          <bgColor theme="0"/>
        </patternFill>
      </fill>
    </dxf>
    <dxf>
      <font>
        <b/>
        <i val="0"/>
        <color theme="5"/>
      </font>
    </dxf>
    <dxf>
      <font>
        <color theme="5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5"/>
      </font>
      <fill>
        <patternFill>
          <bgColor theme="0"/>
        </patternFill>
      </fill>
    </dxf>
    <dxf>
      <font>
        <b/>
        <i val="0"/>
        <color theme="5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9" formatCode="&quot;$&quot;#,##0.00"/>
      <alignment horizontal="center" vertical="bottom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9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9" formatCode="&quot;$&quot;#,##0.00"/>
      <alignment horizontal="center" vertical="bottom" textRotation="0" wrapText="0" indent="0" justifyLastLine="0" shrinkToFit="0" readingOrder="0"/>
    </dxf>
    <dxf>
      <numFmt numFmtId="169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&quot;$&quot;#,##0.00"/>
      <alignment horizontal="left" vertical="bottom" textRotation="0" wrapText="0" indent="0" justifyLastLine="0" shrinkToFit="0" readingOrder="0"/>
    </dxf>
    <dxf>
      <border diagonalUp="0" diagonalDown="0" outline="0">
        <left/>
        <right/>
        <top style="thin">
          <color auto="1"/>
        </top>
        <bottom/>
      </border>
    </dxf>
    <dxf>
      <numFmt numFmtId="177" formatCode="&quot;$&quot;#,##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7" formatCode="&quot;$&quot;#,##0.0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77" formatCode="&quot;$&quot;#,##0.0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7" formatCode="&quot;$&quot;#,##0"/>
      <alignment horizontal="center" vertical="bottom" textRotation="0" wrapText="0" indent="0" justifyLastLine="0" shrinkToFit="0" readingOrder="0"/>
    </dxf>
    <dxf>
      <numFmt numFmtId="167" formatCode="&quot;$&quot;#,##0"/>
      <alignment horizontal="center" vertical="bottom" textRotation="0" wrapText="0" indent="0" justifyLastLine="0" shrinkToFit="0" readingOrder="0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41100"/>
      <color rgb="FF945200"/>
      <color rgb="FFFFD579"/>
      <color rgb="FF011893"/>
      <color rgb="FF521B93"/>
      <color rgb="FFAA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Start!$E$15</c:f>
              <c:strCache>
                <c:ptCount val="1"/>
                <c:pt idx="0">
                  <c:v>Manure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Start!$F$15:$K$15</c:f>
              <c:numCache>
                <c:formatCode>_("$"* #,##0_);_("$"* \(#,##0\);_("$"* "-"??_);_(@_)</c:formatCode>
                <c:ptCount val="6"/>
                <c:pt idx="0">
                  <c:v>51307.593800000002</c:v>
                </c:pt>
                <c:pt idx="1">
                  <c:v>76499.893800000005</c:v>
                </c:pt>
                <c:pt idx="2">
                  <c:v>74208.562300000005</c:v>
                </c:pt>
                <c:pt idx="3">
                  <c:v>129870.65</c:v>
                </c:pt>
                <c:pt idx="4">
                  <c:v>193502.92499999999</c:v>
                </c:pt>
                <c:pt idx="5">
                  <c:v>187747.78750000001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4-9340-B47B-D71C1683B17F}"/>
            </c:ext>
          </c:extLst>
        </c:ser>
        <c:ser>
          <c:idx val="1"/>
          <c:order val="1"/>
          <c:tx>
            <c:strRef>
              <c:f>Start!$E$16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Start!$F$16:$K$16</c:f>
              <c:numCache>
                <c:formatCode>_("$"* #,##0_);_("$"* \(#,##0\);_("$"* "-"??_);_(@_)</c:formatCode>
                <c:ptCount val="6"/>
                <c:pt idx="0">
                  <c:v>52903.83</c:v>
                </c:pt>
                <c:pt idx="1">
                  <c:v>52903.83</c:v>
                </c:pt>
                <c:pt idx="2">
                  <c:v>52903.83</c:v>
                </c:pt>
                <c:pt idx="3">
                  <c:v>52903.83</c:v>
                </c:pt>
                <c:pt idx="4">
                  <c:v>52903.83</c:v>
                </c:pt>
                <c:pt idx="5">
                  <c:v>52903.83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4-9340-B47B-D71C1683B17F}"/>
            </c:ext>
          </c:extLst>
        </c:ser>
        <c:ser>
          <c:idx val="2"/>
          <c:order val="2"/>
          <c:tx>
            <c:strRef>
              <c:f>Start!$E$17</c:f>
              <c:strCache>
                <c:ptCount val="1"/>
                <c:pt idx="0">
                  <c:v>Glycerin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Start!$F$17:$K$17</c:f>
              <c:numCache>
                <c:formatCode>_("$"* #,##0_);_("$"* \(#,##0\);_("$"*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4-9340-B47B-D71C1683B17F}"/>
            </c:ext>
          </c:extLst>
        </c:ser>
        <c:ser>
          <c:idx val="3"/>
          <c:order val="3"/>
          <c:tx>
            <c:strRef>
              <c:f>Start!$E$18</c:f>
              <c:strCache>
                <c:ptCount val="1"/>
                <c:pt idx="0">
                  <c:v>Solids Handling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Start!$F$18:$K$18</c:f>
              <c:numCache>
                <c:formatCode>_("$"* #,##0_);_("$"* \(#,##0\);_("$"* "-"??_);_(@_)</c:formatCode>
                <c:ptCount val="6"/>
                <c:pt idx="0">
                  <c:v>7402.4557000000004</c:v>
                </c:pt>
                <c:pt idx="1">
                  <c:v>9310.5306999999993</c:v>
                </c:pt>
                <c:pt idx="2">
                  <c:v>9136.2945999999993</c:v>
                </c:pt>
                <c:pt idx="3">
                  <c:v>11315.259599999999</c:v>
                </c:pt>
                <c:pt idx="4">
                  <c:v>15137.6369</c:v>
                </c:pt>
                <c:pt idx="5">
                  <c:v>14792.5476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4-9340-B47B-D71C1683B17F}"/>
            </c:ext>
          </c:extLst>
        </c:ser>
        <c:ser>
          <c:idx val="4"/>
          <c:order val="4"/>
          <c:tx>
            <c:strRef>
              <c:f>Start!$E$19</c:f>
              <c:strCache>
                <c:ptCount val="1"/>
                <c:pt idx="0">
                  <c:v>Renewable Tax Credit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Start!$F$19:$K$19</c:f>
              <c:numCache>
                <c:formatCode>_("$"* #,##0_);_("$"* \(#,##0\);_("$"* "-"??_);_(@_)</c:formatCode>
                <c:ptCount val="6"/>
                <c:pt idx="0">
                  <c:v>-90787.430300000007</c:v>
                </c:pt>
                <c:pt idx="1">
                  <c:v>-90784.679900000003</c:v>
                </c:pt>
                <c:pt idx="2">
                  <c:v>-90763.207599999994</c:v>
                </c:pt>
                <c:pt idx="3">
                  <c:v>-90788.453699999998</c:v>
                </c:pt>
                <c:pt idx="4">
                  <c:v>-90782.633100000006</c:v>
                </c:pt>
                <c:pt idx="5">
                  <c:v>-90792.931200000006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E4-9340-B47B-D71C1683B17F}"/>
            </c:ext>
          </c:extLst>
        </c:ser>
        <c:ser>
          <c:idx val="5"/>
          <c:order val="5"/>
          <c:tx>
            <c:strRef>
              <c:f>Start!$E$20</c:f>
              <c:strCache>
                <c:ptCount val="1"/>
                <c:pt idx="0">
                  <c:v>By-products Solid Digestate Credit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Start!$F$20:$K$20</c:f>
              <c:numCache>
                <c:formatCode>_("$"* #,##0_);_("$"* \(#,##0\);_("$"* "-"??_);_(@_)</c:formatCode>
                <c:ptCount val="6"/>
                <c:pt idx="0">
                  <c:v>-52187.312599999997</c:v>
                </c:pt>
                <c:pt idx="1">
                  <c:v>-65639.241500000004</c:v>
                </c:pt>
                <c:pt idx="2">
                  <c:v>-64410.876700000001</c:v>
                </c:pt>
                <c:pt idx="3">
                  <c:v>-79772.579899999997</c:v>
                </c:pt>
                <c:pt idx="4">
                  <c:v>-106720.34020000001</c:v>
                </c:pt>
                <c:pt idx="5">
                  <c:v>-104287.46090000001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E4-9340-B47B-D71C1683B17F}"/>
            </c:ext>
          </c:extLst>
        </c:ser>
        <c:ser>
          <c:idx val="6"/>
          <c:order val="6"/>
          <c:tx>
            <c:strRef>
              <c:f>Start!$E$21</c:f>
              <c:strCache>
                <c:ptCount val="1"/>
                <c:pt idx="0">
                  <c:v>By-products Liquid Effluent Credit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Start!$F$21:$K$21</c:f>
              <c:numCache>
                <c:formatCode>_("$"* #,##0_);_("$"* \(#,##0\);_("$"* "-"??_);_(@_)</c:formatCode>
                <c:ptCount val="6"/>
                <c:pt idx="0">
                  <c:v>-14000.880999999999</c:v>
                </c:pt>
                <c:pt idx="1">
                  <c:v>-77016.710000000006</c:v>
                </c:pt>
                <c:pt idx="2">
                  <c:v>-75575.428599999999</c:v>
                </c:pt>
                <c:pt idx="3">
                  <c:v>-30548.694</c:v>
                </c:pt>
                <c:pt idx="4">
                  <c:v>-122980.3582</c:v>
                </c:pt>
                <c:pt idx="5">
                  <c:v>-121165.3857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E4-9340-B47B-D71C1683B17F}"/>
            </c:ext>
          </c:extLst>
        </c:ser>
        <c:ser>
          <c:idx val="7"/>
          <c:order val="7"/>
          <c:tx>
            <c:strRef>
              <c:f>Start!$E$22</c:f>
              <c:strCache>
                <c:ptCount val="1"/>
                <c:pt idx="0">
                  <c:v>Labor &amp; Maintenance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Start!$F$22:$K$22</c:f>
              <c:numCache>
                <c:formatCode>_("$"* #,##0_);_("$"* \(#,##0\);_("$"* "-"??_);_(@_)</c:formatCode>
                <c:ptCount val="6"/>
                <c:pt idx="0">
                  <c:v>218286.0502</c:v>
                </c:pt>
                <c:pt idx="1">
                  <c:v>224895.69750000001</c:v>
                </c:pt>
                <c:pt idx="2">
                  <c:v>224307.9191</c:v>
                </c:pt>
                <c:pt idx="3">
                  <c:v>231356.8774</c:v>
                </c:pt>
                <c:pt idx="4">
                  <c:v>242557.5649</c:v>
                </c:pt>
                <c:pt idx="5">
                  <c:v>241594.7248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E4-9340-B47B-D71C1683B17F}"/>
            </c:ext>
          </c:extLst>
        </c:ser>
        <c:ser>
          <c:idx val="8"/>
          <c:order val="8"/>
          <c:tx>
            <c:strRef>
              <c:f>Start!$E$23</c:f>
              <c:strCache>
                <c:ptCount val="1"/>
                <c:pt idx="0">
                  <c:v>Capital Depreciation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Start!$F$23:$K$23</c:f>
              <c:numCache>
                <c:formatCode>_("$"* #,##0_);_("$"* \(#,##0\);_("$"* "-"??_);_(@_)</c:formatCode>
                <c:ptCount val="6"/>
                <c:pt idx="0">
                  <c:v>104138.7893</c:v>
                </c:pt>
                <c:pt idx="1">
                  <c:v>104138.7893</c:v>
                </c:pt>
                <c:pt idx="2">
                  <c:v>104138.7893</c:v>
                </c:pt>
                <c:pt idx="3">
                  <c:v>104138.7893</c:v>
                </c:pt>
                <c:pt idx="4">
                  <c:v>104138.7893</c:v>
                </c:pt>
                <c:pt idx="5">
                  <c:v>104138.7893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E4-9340-B47B-D71C1683B17F}"/>
            </c:ext>
          </c:extLst>
        </c:ser>
        <c:ser>
          <c:idx val="9"/>
          <c:order val="9"/>
          <c:tx>
            <c:strRef>
              <c:f>Start!$E$24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Start!$F$24:$K$24</c:f>
              <c:numCache>
                <c:formatCode>_("$"* #,##0_);_("$"* \(#,##0\);_("$"* "-"??_);_(@_)</c:formatCode>
                <c:ptCount val="6"/>
                <c:pt idx="0">
                  <c:v>49085.0432</c:v>
                </c:pt>
                <c:pt idx="1">
                  <c:v>59650.198499999999</c:v>
                </c:pt>
                <c:pt idx="2">
                  <c:v>59491.625399999997</c:v>
                </c:pt>
                <c:pt idx="3">
                  <c:v>48180.590499999998</c:v>
                </c:pt>
                <c:pt idx="4">
                  <c:v>61644.647799999999</c:v>
                </c:pt>
                <c:pt idx="5">
                  <c:v>61570.601900000001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E4-9340-B47B-D71C1683B17F}"/>
            </c:ext>
          </c:extLst>
        </c:ser>
        <c:ser>
          <c:idx val="10"/>
          <c:order val="10"/>
          <c:tx>
            <c:strRef>
              <c:f>Start!$E$25</c:f>
              <c:strCache>
                <c:ptCount val="1"/>
                <c:pt idx="0">
                  <c:v>Return on Investment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Start!$F$14:$K$14</c:f>
              <c:strCache>
                <c:ptCount val="6"/>
                <c:pt idx="0">
                  <c:v>Corn Husk/Glycerin</c:v>
                </c:pt>
                <c:pt idx="1">
                  <c:v>Rye/Glycerin</c:v>
                </c:pt>
                <c:pt idx="2">
                  <c:v>Wheat/Glycerin</c:v>
                </c:pt>
                <c:pt idx="3">
                  <c:v>Corn Husk</c:v>
                </c:pt>
                <c:pt idx="4">
                  <c:v>Rye</c:v>
                </c:pt>
                <c:pt idx="5">
                  <c:v>Wheat</c:v>
                </c:pt>
              </c:strCache>
            </c:strRef>
          </c:cat>
          <c:val>
            <c:numRef>
              <c:f>Start!$F$25:$K$25</c:f>
              <c:numCache>
                <c:formatCode>_("$"* #,##0_);_("$"* \(#,##0\);_("$"* "-"??_);_(@_)</c:formatCode>
                <c:ptCount val="6"/>
                <c:pt idx="0">
                  <c:v>126545.36719999999</c:v>
                </c:pt>
                <c:pt idx="1">
                  <c:v>158723.46179999999</c:v>
                </c:pt>
                <c:pt idx="2">
                  <c:v>159152.64689999999</c:v>
                </c:pt>
                <c:pt idx="3">
                  <c:v>76041.602700000003</c:v>
                </c:pt>
                <c:pt idx="4">
                  <c:v>103270.9745</c:v>
                </c:pt>
                <c:pt idx="5">
                  <c:v>106214.4722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E4-9340-B47B-D71C1683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58161183"/>
        <c:axId val="1921974079"/>
      </c:barChart>
      <c:catAx>
        <c:axId val="195816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74079"/>
        <c:crosses val="autoZero"/>
        <c:auto val="1"/>
        <c:lblAlgn val="ctr"/>
        <c:lblOffset val="100"/>
        <c:noMultiLvlLbl val="0"/>
      </c:catAx>
      <c:valAx>
        <c:axId val="19219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42722192053578"/>
          <c:y val="0.27818893704720471"/>
          <c:w val="0.25279691601049864"/>
          <c:h val="0.46360214588561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intensity scores</a:t>
            </a:r>
            <a:r>
              <a:rPr lang="en-US" baseline="0"/>
              <a:t> of various RNG production pathways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Carbon intesity score</c:v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8"/>
              <c:pt idx="0">
                <c:v>fossil CNG</c:v>
              </c:pt>
              <c:pt idx="1">
                <c:v>Landfill Gas</c:v>
              </c:pt>
              <c:pt idx="2">
                <c:v>Livestock: Pasture/Solid Storage</c:v>
              </c:pt>
              <c:pt idx="3">
                <c:v>Livestock: Deep pit</c:v>
              </c:pt>
              <c:pt idx="4">
                <c:v>Livestock: Open Lagoon</c:v>
              </c:pt>
              <c:pt idx="5">
                <c:v>WRRF Sludge</c:v>
              </c:pt>
              <c:pt idx="6">
                <c:v>Food Waste</c:v>
              </c:pt>
              <c:pt idx="7">
                <c:v>Biocrops to RNG</c:v>
              </c:pt>
            </c:strLit>
          </c:cat>
          <c:val>
            <c:numLit>
              <c:formatCode>General</c:formatCode>
              <c:ptCount val="8"/>
              <c:pt idx="0">
                <c:v>90</c:v>
              </c:pt>
              <c:pt idx="1">
                <c:v>25</c:v>
              </c:pt>
              <c:pt idx="2">
                <c:v>140</c:v>
              </c:pt>
              <c:pt idx="3">
                <c:v>-160</c:v>
              </c:pt>
              <c:pt idx="4">
                <c:v>-210</c:v>
              </c:pt>
              <c:pt idx="5">
                <c:v>-20</c:v>
              </c:pt>
              <c:pt idx="6">
                <c:v>-50</c:v>
              </c:pt>
              <c:pt idx="7">
                <c:v>12.046521382900211</c:v>
              </c:pt>
            </c:numLit>
          </c:val>
          <c:extLst>
            <c:ext xmlns:c16="http://schemas.microsoft.com/office/drawing/2014/chart" uri="{C3380CC4-5D6E-409C-BE32-E72D297353CC}">
              <c16:uniqueId val="{00000000-2871-415F-9516-49C79F8F1C06}"/>
            </c:ext>
          </c:extLst>
        </c:ser>
        <c:ser>
          <c:idx val="1"/>
          <c:order val="1"/>
          <c:tx>
            <c:v>#REF!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fossil CNG</c:v>
              </c:pt>
              <c:pt idx="1">
                <c:v>Landfill Gas</c:v>
              </c:pt>
              <c:pt idx="2">
                <c:v>Livestock: Pasture/Solid Storage</c:v>
              </c:pt>
              <c:pt idx="3">
                <c:v>Livestock: Deep pit</c:v>
              </c:pt>
              <c:pt idx="4">
                <c:v>Livestock: Open Lagoon</c:v>
              </c:pt>
              <c:pt idx="5">
                <c:v>WRRF Sludge</c:v>
              </c:pt>
              <c:pt idx="6">
                <c:v>Food Waste</c:v>
              </c:pt>
              <c:pt idx="7">
                <c:v>Biocrops to RNG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40</c:v>
              </c:pt>
              <c:pt idx="3">
                <c:v>-160</c:v>
              </c:pt>
              <c:pt idx="4">
                <c:v>-20</c:v>
              </c:pt>
              <c:pt idx="5">
                <c:v>0</c:v>
              </c:pt>
              <c:pt idx="6">
                <c:v>0</c:v>
              </c:pt>
              <c:pt idx="7">
                <c:v>14.247389999999999</c:v>
              </c:pt>
            </c:numLit>
          </c:val>
          <c:extLst>
            <c:ext xmlns:c16="http://schemas.microsoft.com/office/drawing/2014/chart" uri="{C3380CC4-5D6E-409C-BE32-E72D297353CC}">
              <c16:uniqueId val="{00000001-2871-415F-9516-49C79F8F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12772848"/>
        <c:axId val="1412772016"/>
      </c:barChart>
      <c:catAx>
        <c:axId val="14127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RNG production Pathways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72016"/>
        <c:crosses val="autoZero"/>
        <c:auto val="1"/>
        <c:lblAlgn val="ctr"/>
        <c:lblOffset val="100"/>
        <c:noMultiLvlLbl val="0"/>
      </c:catAx>
      <c:valAx>
        <c:axId val="14127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intensity score  </a:t>
                </a:r>
              </a:p>
              <a:p>
                <a:pPr>
                  <a:defRPr/>
                </a:pPr>
                <a:r>
                  <a:rPr lang="en-US"/>
                  <a:t>(CO2 eq/MJ</a:t>
                </a:r>
                <a:r>
                  <a:rPr lang="en-US" baseline="0"/>
                  <a:t>  RNG)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72848"/>
        <c:crosses val="autoZero"/>
        <c:crossBetween val="between"/>
      </c:valAx>
      <c:spPr>
        <a:noFill/>
        <a:ln w="2857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'LCA AD Farm'!$B$33</c:f>
              <c:strCache>
                <c:ptCount val="1"/>
                <c:pt idx="0">
                  <c:v>RNG Transportation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'LCA AD Farm'!$D$32</c:f>
              <c:strCache>
                <c:ptCount val="1"/>
                <c:pt idx="0">
                  <c:v>Emissions (gram CO2eq/MJ RNG)</c:v>
                </c:pt>
              </c:strCache>
            </c:strRef>
          </c:cat>
          <c:val>
            <c:numRef>
              <c:f>'LCA AD Farm'!$D$33</c:f>
              <c:numCache>
                <c:formatCode>General</c:formatCode>
                <c:ptCount val="1"/>
                <c:pt idx="0">
                  <c:v>0.26320854490854501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A-4E87-9D4A-1067DFE71E29}"/>
            </c:ext>
          </c:extLst>
        </c:ser>
        <c:ser>
          <c:idx val="1"/>
          <c:order val="1"/>
          <c:tx>
            <c:strRef>
              <c:f>'LCA AD Farm'!$B$34</c:f>
              <c:strCache>
                <c:ptCount val="1"/>
                <c:pt idx="0">
                  <c:v>Upgrading 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'LCA AD Farm'!$D$32</c:f>
              <c:strCache>
                <c:ptCount val="1"/>
                <c:pt idx="0">
                  <c:v>Emissions (gram CO2eq/MJ RNG)</c:v>
                </c:pt>
              </c:strCache>
            </c:strRef>
          </c:cat>
          <c:val>
            <c:numRef>
              <c:f>'LCA AD Farm'!$D$34</c:f>
              <c:numCache>
                <c:formatCode>General</c:formatCode>
                <c:ptCount val="1"/>
                <c:pt idx="0">
                  <c:v>6.785477499763215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A-4E87-9D4A-1067DFE71E29}"/>
            </c:ext>
          </c:extLst>
        </c:ser>
        <c:ser>
          <c:idx val="2"/>
          <c:order val="2"/>
          <c:tx>
            <c:strRef>
              <c:f>'LCA AD Farm'!$B$35</c:f>
              <c:strCache>
                <c:ptCount val="1"/>
                <c:pt idx="0">
                  <c:v>RNG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'LCA AD Farm'!$D$32</c:f>
              <c:strCache>
                <c:ptCount val="1"/>
                <c:pt idx="0">
                  <c:v>Emissions (gram CO2eq/MJ RNG)</c:v>
                </c:pt>
              </c:strCache>
            </c:strRef>
          </c:cat>
          <c:val>
            <c:numRef>
              <c:f>'LCA AD Farm'!$D$35</c:f>
              <c:numCache>
                <c:formatCode>General</c:formatCode>
                <c:ptCount val="1"/>
                <c:pt idx="0">
                  <c:v>12.985341556770129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A-4E87-9D4A-1067DFE71E29}"/>
            </c:ext>
          </c:extLst>
        </c:ser>
        <c:ser>
          <c:idx val="3"/>
          <c:order val="3"/>
          <c:tx>
            <c:strRef>
              <c:f>'LCA AD Farm'!$B$36</c:f>
              <c:strCache>
                <c:ptCount val="1"/>
                <c:pt idx="0">
                  <c:v>Digester Electricity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'LCA AD Farm'!$D$32</c:f>
              <c:strCache>
                <c:ptCount val="1"/>
                <c:pt idx="0">
                  <c:v>Emissions (gram CO2eq/MJ RNG)</c:v>
                </c:pt>
              </c:strCache>
            </c:strRef>
          </c:cat>
          <c:val>
            <c:numRef>
              <c:f>'LCA AD Farm'!$D$36</c:f>
              <c:numCache>
                <c:formatCode>General</c:formatCode>
                <c:ptCount val="1"/>
                <c:pt idx="0">
                  <c:v>4.3839849556925837E-5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A-4E87-9D4A-1067DFE71E29}"/>
            </c:ext>
          </c:extLst>
        </c:ser>
        <c:ser>
          <c:idx val="4"/>
          <c:order val="4"/>
          <c:tx>
            <c:strRef>
              <c:f>'LCA AD Farm'!$B$37</c:f>
              <c:strCache>
                <c:ptCount val="1"/>
                <c:pt idx="0">
                  <c:v>Grass Transportation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'LCA AD Farm'!$D$32</c:f>
              <c:strCache>
                <c:ptCount val="1"/>
                <c:pt idx="0">
                  <c:v>Emissions (gram CO2eq/MJ RNG)</c:v>
                </c:pt>
              </c:strCache>
            </c:strRef>
          </c:cat>
          <c:val>
            <c:numRef>
              <c:f>'LCA AD Farm'!$D$37</c:f>
              <c:numCache>
                <c:formatCode>General</c:formatCode>
                <c:ptCount val="1"/>
                <c:pt idx="0">
                  <c:v>1.141079049587657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A-4E87-9D4A-1067DFE71E29}"/>
            </c:ext>
          </c:extLst>
        </c:ser>
        <c:ser>
          <c:idx val="5"/>
          <c:order val="5"/>
          <c:tx>
            <c:strRef>
              <c:f>'LCA AD Farm'!$B$38</c:f>
              <c:strCache>
                <c:ptCount val="1"/>
                <c:pt idx="0">
                  <c:v>Grass Production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'LCA AD Farm'!$D$32</c:f>
              <c:strCache>
                <c:ptCount val="1"/>
                <c:pt idx="0">
                  <c:v>Emissions (gram CO2eq/MJ RNG)</c:v>
                </c:pt>
              </c:strCache>
            </c:strRef>
          </c:cat>
          <c:val>
            <c:numRef>
              <c:f>'LCA AD Farm'!$D$38</c:f>
              <c:numCache>
                <c:formatCode>General</c:formatCode>
                <c:ptCount val="1"/>
                <c:pt idx="0">
                  <c:v>7.9488381650740267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5A-4E87-9D4A-1067DFE71E29}"/>
            </c:ext>
          </c:extLst>
        </c:ser>
        <c:ser>
          <c:idx val="6"/>
          <c:order val="6"/>
          <c:tx>
            <c:strRef>
              <c:f>'LCA AD Farm'!$B$39</c:f>
              <c:strCache>
                <c:ptCount val="1"/>
                <c:pt idx="0">
                  <c:v>Digestate Displacement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'LCA AD Farm'!$D$32</c:f>
              <c:strCache>
                <c:ptCount val="1"/>
                <c:pt idx="0">
                  <c:v>Emissions (gram CO2eq/MJ RNG)</c:v>
                </c:pt>
              </c:strCache>
            </c:strRef>
          </c:cat>
          <c:val>
            <c:numRef>
              <c:f>'LCA AD Farm'!$D$39</c:f>
              <c:numCache>
                <c:formatCode>General</c:formatCode>
                <c:ptCount val="1"/>
                <c:pt idx="0">
                  <c:v>-14.065836927327865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5A-4E87-9D4A-1067DFE7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2"/>
        <c:overlap val="100"/>
        <c:axId val="1220694575"/>
        <c:axId val="1220697487"/>
      </c:barChart>
      <c:catAx>
        <c:axId val="12206945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Emission 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20697487"/>
        <c:crosses val="autoZero"/>
        <c:auto val="1"/>
        <c:lblAlgn val="ctr"/>
        <c:lblOffset val="100"/>
        <c:noMultiLvlLbl val="0"/>
      </c:catAx>
      <c:valAx>
        <c:axId val="12206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intensity score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(CO2 eq/MJ RNG)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58792650918639"/>
          <c:y val="9.6245511683920856E-2"/>
          <c:w val="0.34855007773709817"/>
          <c:h val="0.57484255146072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SRI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'Labor Costs'!#REF!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'Labor Costs'!#REF!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E-4A79-A1DE-E61FCB95AA0C}"/>
            </c:ext>
          </c:extLst>
        </c:ser>
        <c:ser>
          <c:idx val="0"/>
          <c:order val="1"/>
          <c:tx>
            <c:v>PPI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strRef>
              <c:f>'Labor Costs'!#REF!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'Labor Costs'!#REF!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E-4A79-A1DE-E61FCB95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26048"/>
        <c:axId val="457529808"/>
      </c:scatterChart>
      <c:valAx>
        <c:axId val="4575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7529808"/>
        <c:crosses val="autoZero"/>
        <c:crossBetween val="midCat"/>
        <c:majorUnit val="2"/>
      </c:valAx>
      <c:valAx>
        <c:axId val="457529808"/>
        <c:scaling>
          <c:orientation val="minMax"/>
          <c:max val="21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7526048"/>
        <c:crosses val="autoZero"/>
        <c:crossBetween val="midCat"/>
        <c:majorUnit val="10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00000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00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85515023"/>
        <c:axId val="1585515439"/>
      </c:scatterChart>
      <c:valAx>
        <c:axId val="15855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15439"/>
        <c:crosses val="autoZero"/>
        <c:crossBetween val="midCat"/>
      </c:valAx>
      <c:valAx>
        <c:axId val="15855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64542992628976E-2"/>
          <c:y val="0.36010225505243654"/>
          <c:w val="0.87267397115117817"/>
          <c:h val="0.611212944093384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'plots Farmgate feed prices'!$B$4</c:f>
              <c:strCache>
                <c:ptCount val="1"/>
                <c:pt idx="0">
                  <c:v>Baseline;6.5 t/ha; No Credits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prices'!$B$5:$B$12</c:f>
              <c:numCache>
                <c:formatCode>General</c:formatCode>
                <c:ptCount val="8"/>
                <c:pt idx="0">
                  <c:v>-44.8097311219069</c:v>
                </c:pt>
                <c:pt idx="1">
                  <c:v>-46.408449085985382</c:v>
                </c:pt>
                <c:pt idx="2">
                  <c:v>-48.007167050063856</c:v>
                </c:pt>
                <c:pt idx="3">
                  <c:v>-49.605885014142338</c:v>
                </c:pt>
                <c:pt idx="4">
                  <c:v>-51.204602978220805</c:v>
                </c:pt>
                <c:pt idx="5">
                  <c:v>-52.803320942299287</c:v>
                </c:pt>
                <c:pt idx="6">
                  <c:v>-54.402038906377761</c:v>
                </c:pt>
                <c:pt idx="7">
                  <c:v>-56.000756870456243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B-4C7B-B23A-48293D3EC6CE}"/>
            </c:ext>
          </c:extLst>
        </c:ser>
        <c:ser>
          <c:idx val="1"/>
          <c:order val="1"/>
          <c:tx>
            <c:strRef>
              <c:f>'plots Farmgate feed prices'!$C$4</c:f>
              <c:strCache>
                <c:ptCount val="1"/>
                <c:pt idx="0">
                  <c:v>Baseline;13.5 Mg/ha; No Credits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prices'!$C$5:$C$12</c:f>
              <c:numCache>
                <c:formatCode>General</c:formatCode>
                <c:ptCount val="8"/>
                <c:pt idx="0">
                  <c:v>-52.100011427057268</c:v>
                </c:pt>
                <c:pt idx="1">
                  <c:v>-55.297447355214217</c:v>
                </c:pt>
                <c:pt idx="2">
                  <c:v>-58.494883283371173</c:v>
                </c:pt>
                <c:pt idx="3">
                  <c:v>-61.692319211528108</c:v>
                </c:pt>
                <c:pt idx="4">
                  <c:v>-64.889755139685064</c:v>
                </c:pt>
                <c:pt idx="5">
                  <c:v>-68.087191067842028</c:v>
                </c:pt>
                <c:pt idx="6">
                  <c:v>-71.284626995998977</c:v>
                </c:pt>
                <c:pt idx="7">
                  <c:v>-74.482062924155926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B-4C7B-B23A-48293D3EC6CE}"/>
            </c:ext>
          </c:extLst>
        </c:ser>
        <c:ser>
          <c:idx val="4"/>
          <c:order val="2"/>
          <c:tx>
            <c:strRef>
              <c:f>'plots Farmgate feed prices'!$D$4</c:f>
              <c:strCache>
                <c:ptCount val="1"/>
                <c:pt idx="0">
                  <c:v>Productivity-based; 6.75 t/ha; No Credits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prices'!$D$5:$D$12</c:f>
              <c:numCache>
                <c:formatCode>General</c:formatCode>
                <c:ptCount val="8"/>
                <c:pt idx="0">
                  <c:v>-48.324412216513636</c:v>
                </c:pt>
                <c:pt idx="1">
                  <c:v>-50.676459236673296</c:v>
                </c:pt>
                <c:pt idx="2">
                  <c:v>-53.028506256832962</c:v>
                </c:pt>
                <c:pt idx="3">
                  <c:v>-55.38055327699265</c:v>
                </c:pt>
                <c:pt idx="4">
                  <c:v>-57.732600297152317</c:v>
                </c:pt>
                <c:pt idx="5">
                  <c:v>-60.08464731731199</c:v>
                </c:pt>
                <c:pt idx="6">
                  <c:v>-62.436694337471657</c:v>
                </c:pt>
                <c:pt idx="7">
                  <c:v>-64.788741357631324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5B-4C7B-B23A-48293D3EC6CE}"/>
            </c:ext>
          </c:extLst>
        </c:ser>
        <c:ser>
          <c:idx val="5"/>
          <c:order val="3"/>
          <c:tx>
            <c:strRef>
              <c:f>'plots Farmgate feed prices'!$E$4</c:f>
              <c:strCache>
                <c:ptCount val="1"/>
                <c:pt idx="0">
                  <c:v>Productivity-based;13.5 t/ha; No Credits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prices'!$E$5:$E$12</c:f>
              <c:numCache>
                <c:formatCode>General</c:formatCode>
                <c:ptCount val="8"/>
                <c:pt idx="0">
                  <c:v>-58.529582046203799</c:v>
                </c:pt>
                <c:pt idx="1">
                  <c:v>-63.233676086523147</c:v>
                </c:pt>
                <c:pt idx="2">
                  <c:v>-67.937770126842494</c:v>
                </c:pt>
                <c:pt idx="3">
                  <c:v>-72.641864167161827</c:v>
                </c:pt>
                <c:pt idx="4">
                  <c:v>-77.345958207481175</c:v>
                </c:pt>
                <c:pt idx="5">
                  <c:v>-82.050052247800494</c:v>
                </c:pt>
                <c:pt idx="6">
                  <c:v>-86.754146288119856</c:v>
                </c:pt>
                <c:pt idx="7">
                  <c:v>-91.458240328439175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5B-4C7B-B23A-48293D3EC6CE}"/>
            </c:ext>
          </c:extLst>
        </c:ser>
        <c:ser>
          <c:idx val="8"/>
          <c:order val="4"/>
          <c:tx>
            <c:strRef>
              <c:f>'plots Farmgate feed prices'!$F$4</c:f>
              <c:strCache>
                <c:ptCount val="1"/>
                <c:pt idx="0">
                  <c:v>Buffered;6.5 t/ha; No Credits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prices'!$F$5:$F$12</c:f>
              <c:numCache>
                <c:formatCode>General</c:formatCode>
                <c:ptCount val="8"/>
                <c:pt idx="0">
                  <c:v>-76.072909909525166</c:v>
                </c:pt>
                <c:pt idx="1">
                  <c:v>-85.183958378845432</c:v>
                </c:pt>
                <c:pt idx="2">
                  <c:v>-94.295006848165656</c:v>
                </c:pt>
                <c:pt idx="3">
                  <c:v>-103.40605531748591</c:v>
                </c:pt>
                <c:pt idx="4">
                  <c:v>-112.51710378680616</c:v>
                </c:pt>
                <c:pt idx="5">
                  <c:v>-121.62815225612643</c:v>
                </c:pt>
                <c:pt idx="6">
                  <c:v>-130.73920072544666</c:v>
                </c:pt>
                <c:pt idx="7">
                  <c:v>-139.85024919476689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5B-4C7B-B23A-48293D3EC6CE}"/>
            </c:ext>
          </c:extLst>
        </c:ser>
        <c:ser>
          <c:idx val="9"/>
          <c:order val="5"/>
          <c:tx>
            <c:strRef>
              <c:f>'plots Farmgate feed prices'!$G$4</c:f>
              <c:strCache>
                <c:ptCount val="1"/>
                <c:pt idx="0">
                  <c:v>Buffered;13.5 t/ha; No Credits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prices'!$G$5:$G$12</c:f>
              <c:numCache>
                <c:formatCode>General</c:formatCode>
                <c:ptCount val="8"/>
                <c:pt idx="0">
                  <c:v>-109.52877733856067</c:v>
                </c:pt>
                <c:pt idx="1">
                  <c:v>-127.75087427720118</c:v>
                </c:pt>
                <c:pt idx="2">
                  <c:v>-145.97297121584165</c:v>
                </c:pt>
                <c:pt idx="3">
                  <c:v>-164.19506815448213</c:v>
                </c:pt>
                <c:pt idx="4">
                  <c:v>-182.41716509312261</c:v>
                </c:pt>
                <c:pt idx="5">
                  <c:v>-200.63926203176308</c:v>
                </c:pt>
                <c:pt idx="6">
                  <c:v>-218.86135897040356</c:v>
                </c:pt>
                <c:pt idx="7">
                  <c:v>-237.08345590904398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5B-4C7B-B23A-48293D3EC6CE}"/>
            </c:ext>
          </c:extLst>
        </c:ser>
        <c:ser>
          <c:idx val="12"/>
          <c:order val="6"/>
          <c:tx>
            <c:strRef>
              <c:f>'plots Farmgate feed prices'!$H$4</c:f>
              <c:strCache>
                <c:ptCount val="1"/>
                <c:pt idx="0">
                  <c:v>Baseline;6.5 t/ha; All Credits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prices'!$H$5:$H$12</c:f>
              <c:numCache>
                <c:formatCode>General</c:formatCode>
                <c:ptCount val="8"/>
                <c:pt idx="0">
                  <c:v>6.1803665968784243</c:v>
                </c:pt>
                <c:pt idx="1">
                  <c:v>4.9088587413679283</c:v>
                </c:pt>
                <c:pt idx="2">
                  <c:v>3.6347662570391521</c:v>
                </c:pt>
                <c:pt idx="3">
                  <c:v>2.3554099726365618</c:v>
                </c:pt>
                <c:pt idx="4">
                  <c:v>1.076053688233968</c:v>
                </c:pt>
                <c:pt idx="5">
                  <c:v>-0.20330259616861121</c:v>
                </c:pt>
                <c:pt idx="6">
                  <c:v>-1.4897088342333249</c:v>
                </c:pt>
                <c:pt idx="7">
                  <c:v>-2.7786817706380784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5B-4C7B-B23A-48293D3EC6CE}"/>
            </c:ext>
          </c:extLst>
        </c:ser>
        <c:ser>
          <c:idx val="13"/>
          <c:order val="7"/>
          <c:tx>
            <c:strRef>
              <c:f>'plots Farmgate feed prices'!$I$4</c:f>
              <c:strCache>
                <c:ptCount val="1"/>
                <c:pt idx="0">
                  <c:v>Baseline;13.5 Mg/ha; All Credits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prices'!$I$5:$I$12</c:f>
              <c:numCache>
                <c:formatCode>General</c:formatCode>
                <c:ptCount val="8"/>
                <c:pt idx="0">
                  <c:v>44.443946332643314</c:v>
                </c:pt>
                <c:pt idx="1">
                  <c:v>41.917971949399323</c:v>
                </c:pt>
                <c:pt idx="2">
                  <c:v>39.391997566155311</c:v>
                </c:pt>
                <c:pt idx="3">
                  <c:v>36.86602318291132</c:v>
                </c:pt>
                <c:pt idx="4">
                  <c:v>34.340048799667343</c:v>
                </c:pt>
                <c:pt idx="5">
                  <c:v>31.813667943558265</c:v>
                </c:pt>
                <c:pt idx="6">
                  <c:v>29.281913021817218</c:v>
                </c:pt>
                <c:pt idx="7">
                  <c:v>26.750158100076188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5B-4C7B-B23A-48293D3EC6CE}"/>
            </c:ext>
          </c:extLst>
        </c:ser>
        <c:ser>
          <c:idx val="16"/>
          <c:order val="8"/>
          <c:tx>
            <c:strRef>
              <c:f>'plots Farmgate feed prices'!$J$4</c:f>
              <c:strCache>
                <c:ptCount val="1"/>
                <c:pt idx="0">
                  <c:v>Productivity-based; 6.75 t/ha; All Credits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prices'!$J$5:$J$12</c:f>
              <c:numCache>
                <c:formatCode>General</c:formatCode>
                <c:ptCount val="8"/>
                <c:pt idx="0">
                  <c:v>24.164217793336071</c:v>
                </c:pt>
                <c:pt idx="1">
                  <c:v>22.301848459515504</c:v>
                </c:pt>
                <c:pt idx="2">
                  <c:v>20.439479125694945</c:v>
                </c:pt>
                <c:pt idx="3">
                  <c:v>18.577109791874378</c:v>
                </c:pt>
                <c:pt idx="4">
                  <c:v>16.714740458053829</c:v>
                </c:pt>
                <c:pt idx="5">
                  <c:v>14.852371124233253</c:v>
                </c:pt>
                <c:pt idx="6">
                  <c:v>12.990001790412695</c:v>
                </c:pt>
                <c:pt idx="7">
                  <c:v>11.122509942182072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5B-4C7B-B23A-48293D3EC6CE}"/>
            </c:ext>
          </c:extLst>
        </c:ser>
        <c:ser>
          <c:idx val="17"/>
          <c:order val="9"/>
          <c:tx>
            <c:strRef>
              <c:f>'plots Farmgate feed prices'!$K$4</c:f>
              <c:strCache>
                <c:ptCount val="1"/>
                <c:pt idx="0">
                  <c:v>Productivity-based;13.5 t/ha; All Credits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prices'!$K$5:$K$12</c:f>
              <c:numCache>
                <c:formatCode>General</c:formatCode>
                <c:ptCount val="8"/>
                <c:pt idx="0">
                  <c:v>80.835732464608668</c:v>
                </c:pt>
                <c:pt idx="1">
                  <c:v>77.119498172756408</c:v>
                </c:pt>
                <c:pt idx="2">
                  <c:v>73.403263880904134</c:v>
                </c:pt>
                <c:pt idx="3">
                  <c:v>69.687029589051846</c:v>
                </c:pt>
                <c:pt idx="4">
                  <c:v>65.970795297199544</c:v>
                </c:pt>
                <c:pt idx="5">
                  <c:v>62.254561005347263</c:v>
                </c:pt>
                <c:pt idx="6">
                  <c:v>58.53832671349501</c:v>
                </c:pt>
                <c:pt idx="7">
                  <c:v>54.822092421642715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5B-4C7B-B23A-48293D3EC6CE}"/>
            </c:ext>
          </c:extLst>
        </c:ser>
        <c:ser>
          <c:idx val="20"/>
          <c:order val="10"/>
          <c:tx>
            <c:strRef>
              <c:f>'plots Farmgate feed prices'!$L$4</c:f>
              <c:strCache>
                <c:ptCount val="1"/>
                <c:pt idx="0">
                  <c:v>Buffered;6.5 t/ha; All Credits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prices'!$L$5:$L$12</c:f>
              <c:numCache>
                <c:formatCode>General</c:formatCode>
                <c:ptCount val="8"/>
                <c:pt idx="0">
                  <c:v>188.39119930781453</c:v>
                </c:pt>
                <c:pt idx="1">
                  <c:v>181.19347101705154</c:v>
                </c:pt>
                <c:pt idx="2">
                  <c:v>173.99574272628863</c:v>
                </c:pt>
                <c:pt idx="3">
                  <c:v>166.7980144355256</c:v>
                </c:pt>
                <c:pt idx="4">
                  <c:v>159.60028614476255</c:v>
                </c:pt>
                <c:pt idx="5">
                  <c:v>152.40255785399964</c:v>
                </c:pt>
                <c:pt idx="6">
                  <c:v>145.20482956323664</c:v>
                </c:pt>
                <c:pt idx="7">
                  <c:v>138.00710127247368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5B-4C7B-B23A-48293D3EC6CE}"/>
            </c:ext>
          </c:extLst>
        </c:ser>
        <c:ser>
          <c:idx val="21"/>
          <c:order val="11"/>
          <c:tx>
            <c:strRef>
              <c:f>'plots Farmgate feed prices'!$M$4</c:f>
              <c:strCache>
                <c:ptCount val="1"/>
                <c:pt idx="0">
                  <c:v>Buffered;13.5 t/ha; All Credits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'plots Farmgate feed prices'!$A$5:$A$12</c:f>
              <c:numCache>
                <c:formatCode>General</c:formatCode>
                <c:ptCount val="8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88</c:v>
                </c:pt>
                <c:pt idx="7">
                  <c:v>99</c:v>
                </c:pt>
              </c:numCache>
            </c:numRef>
          </c:xVal>
          <c:yVal>
            <c:numRef>
              <c:f>'plots Farmgate feed prices'!$M$5:$M$12</c:f>
              <c:numCache>
                <c:formatCode>General</c:formatCode>
                <c:ptCount val="8"/>
                <c:pt idx="0">
                  <c:v>413.22670292921913</c:v>
                </c:pt>
                <c:pt idx="1">
                  <c:v>398.83124634769308</c:v>
                </c:pt>
                <c:pt idx="2">
                  <c:v>384.43578976616709</c:v>
                </c:pt>
                <c:pt idx="3">
                  <c:v>370.04033318464116</c:v>
                </c:pt>
                <c:pt idx="4">
                  <c:v>355.64487660311516</c:v>
                </c:pt>
                <c:pt idx="5">
                  <c:v>341.24942002158917</c:v>
                </c:pt>
                <c:pt idx="6">
                  <c:v>326.85396344006335</c:v>
                </c:pt>
                <c:pt idx="7">
                  <c:v>312.45850685853731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5B-4C7B-B23A-48293D3E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36255"/>
        <c:axId val="1770538335"/>
      </c:scatterChart>
      <c:valAx>
        <c:axId val="1770536255"/>
        <c:scaling>
          <c:orientation val="minMax"/>
          <c:max val="99"/>
          <c:min val="22"/>
        </c:scaling>
        <c:delete val="0"/>
        <c:axPos val="b"/>
        <c:numFmt formatCode="&quot;$&quot;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38335"/>
        <c:crosses val="autoZero"/>
        <c:crossBetween val="midCat"/>
        <c:majorUnit val="11"/>
      </c:valAx>
      <c:valAx>
        <c:axId val="17705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793904739029253E-3"/>
          <c:y val="2.346640374954605E-4"/>
          <c:w val="0.99842058413277135"/>
          <c:h val="0.31553650536171696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951650780495"/>
          <c:y val="0.16218784358584232"/>
          <c:w val="0.52578446992371575"/>
          <c:h val="0.82464807554908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'Base Case Analysis'!$G$31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Analysis'!$H$31:$K$31</c:f>
              <c:numCache>
                <c:formatCode>"$"#,##0.000</c:formatCode>
                <c:ptCount val="4"/>
                <c:pt idx="0">
                  <c:v>3.128527121725301</c:v>
                </c:pt>
                <c:pt idx="1">
                  <c:v>3.128527121725301</c:v>
                </c:pt>
                <c:pt idx="2">
                  <c:v>3.128527121725301</c:v>
                </c:pt>
                <c:pt idx="3">
                  <c:v>3.128527121725301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4-4F9C-8380-54A9B9414E1E}"/>
            </c:ext>
          </c:extLst>
        </c:ser>
        <c:ser>
          <c:idx val="1"/>
          <c:order val="1"/>
          <c:tx>
            <c:strRef>
              <c:f>'Base Case Analysis'!$G$32</c:f>
              <c:strCache>
                <c:ptCount val="1"/>
                <c:pt idx="0">
                  <c:v>Solids Handling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Analysis'!$H$32:$K$32</c:f>
              <c:numCache>
                <c:formatCode>"$"#,##0.000</c:formatCode>
                <c:ptCount val="4"/>
                <c:pt idx="0">
                  <c:v>0.99950543853885188</c:v>
                </c:pt>
                <c:pt idx="1">
                  <c:v>0.99950543853885188</c:v>
                </c:pt>
                <c:pt idx="2">
                  <c:v>0.99950543853885188</c:v>
                </c:pt>
                <c:pt idx="3">
                  <c:v>0.99950543853885188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4-4F9C-8380-54A9B9414E1E}"/>
            </c:ext>
          </c:extLst>
        </c:ser>
        <c:ser>
          <c:idx val="2"/>
          <c:order val="2"/>
          <c:tx>
            <c:strRef>
              <c:f>'Base Case Analysis'!$G$33</c:f>
              <c:strCache>
                <c:ptCount val="1"/>
                <c:pt idx="0">
                  <c:v>Liquid Handling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Analysis'!$H$33:$K$33</c:f>
              <c:numCache>
                <c:formatCode>"$"#,##0.000</c:formatCode>
                <c:ptCount val="4"/>
                <c:pt idx="0">
                  <c:v>1.6911632020077373E-2</c:v>
                </c:pt>
                <c:pt idx="1">
                  <c:v>1.6911632020077373E-2</c:v>
                </c:pt>
                <c:pt idx="2">
                  <c:v>1.6911632020077373E-2</c:v>
                </c:pt>
                <c:pt idx="3">
                  <c:v>1.6911632020077373E-2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4-4F9C-8380-54A9B9414E1E}"/>
            </c:ext>
          </c:extLst>
        </c:ser>
        <c:ser>
          <c:idx val="3"/>
          <c:order val="3"/>
          <c:tx>
            <c:strRef>
              <c:f>'Base Case Analysis'!#REF!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4-4F9C-8380-54A9B9414E1E}"/>
            </c:ext>
          </c:extLst>
        </c:ser>
        <c:ser>
          <c:idx val="4"/>
          <c:order val="4"/>
          <c:tx>
            <c:strRef>
              <c:f>'Base Case Analysis'!$G$34</c:f>
              <c:strCache>
                <c:ptCount val="1"/>
                <c:pt idx="0">
                  <c:v>Gas Cleaning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Analysis'!$H$34:$K$34</c:f>
              <c:numCache>
                <c:formatCode>"$"#,##0.000</c:formatCode>
                <c:ptCount val="4"/>
                <c:pt idx="0">
                  <c:v>0.66457842889991048</c:v>
                </c:pt>
                <c:pt idx="1">
                  <c:v>0.66457842889991048</c:v>
                </c:pt>
                <c:pt idx="2">
                  <c:v>0.66457842889991048</c:v>
                </c:pt>
                <c:pt idx="3">
                  <c:v>0.66457842889991048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84-4F9C-8380-54A9B9414E1E}"/>
            </c:ext>
          </c:extLst>
        </c:ser>
        <c:ser>
          <c:idx val="5"/>
          <c:order val="5"/>
          <c:tx>
            <c:strRef>
              <c:f>'Base Case Analysis'!$G$35</c:f>
              <c:strCache>
                <c:ptCount val="1"/>
                <c:pt idx="0">
                  <c:v>Pipeline 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Analysis'!$H$35:$K$35</c:f>
              <c:numCache>
                <c:formatCode>"$"#,##0.000</c:formatCode>
                <c:ptCount val="4"/>
                <c:pt idx="0">
                  <c:v>0.38860501932846003</c:v>
                </c:pt>
                <c:pt idx="1">
                  <c:v>0.38860501932846003</c:v>
                </c:pt>
                <c:pt idx="2">
                  <c:v>0.38860501932846003</c:v>
                </c:pt>
                <c:pt idx="3">
                  <c:v>0.38860501932846003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84-4F9C-8380-54A9B9414E1E}"/>
            </c:ext>
          </c:extLst>
        </c:ser>
        <c:ser>
          <c:idx val="6"/>
          <c:order val="6"/>
          <c:tx>
            <c:strRef>
              <c:f>'Base Case Analysis'!$G$36</c:f>
              <c:strCache>
                <c:ptCount val="1"/>
                <c:pt idx="0">
                  <c:v>Gas Transportation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Analysis'!$H$36:$K$36</c:f>
              <c:numCache>
                <c:formatCode>"$"#,##0.000</c:formatCode>
                <c:ptCount val="4"/>
                <c:pt idx="0">
                  <c:v>0.13269439527460936</c:v>
                </c:pt>
                <c:pt idx="1">
                  <c:v>0.13269439527460936</c:v>
                </c:pt>
                <c:pt idx="2">
                  <c:v>0.13269439527460936</c:v>
                </c:pt>
                <c:pt idx="3">
                  <c:v>0.13269439527460936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84-4F9C-8380-54A9B9414E1E}"/>
            </c:ext>
          </c:extLst>
        </c:ser>
        <c:ser>
          <c:idx val="7"/>
          <c:order val="7"/>
          <c:tx>
            <c:strRef>
              <c:f>'Base Case Analysis'!$G$37</c:f>
              <c:strCache>
                <c:ptCount val="1"/>
                <c:pt idx="0">
                  <c:v>LCFS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Analysis'!$H$37:$K$37</c:f>
              <c:numCache>
                <c:formatCode>"$"#,##0.000</c:formatCode>
                <c:ptCount val="4"/>
                <c:pt idx="3">
                  <c:v>-12.670419264348425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84-4F9C-8380-54A9B9414E1E}"/>
            </c:ext>
          </c:extLst>
        </c:ser>
        <c:ser>
          <c:idx val="8"/>
          <c:order val="8"/>
          <c:tx>
            <c:strRef>
              <c:f>'Base Case Analysis'!$G$38</c:f>
              <c:strCache>
                <c:ptCount val="1"/>
                <c:pt idx="0">
                  <c:v>RIN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Analysis'!$H$38:$K$38</c:f>
              <c:numCache>
                <c:formatCode>"$"#,##0.000</c:formatCode>
                <c:ptCount val="4"/>
                <c:pt idx="2">
                  <c:v>-14.771175900986764</c:v>
                </c:pt>
                <c:pt idx="3">
                  <c:v>-14.771175900986764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84-4F9C-8380-54A9B9414E1E}"/>
            </c:ext>
          </c:extLst>
        </c:ser>
        <c:ser>
          <c:idx val="9"/>
          <c:order val="9"/>
          <c:tx>
            <c:strRef>
              <c:f>'Base Case Analysis'!$G$39</c:f>
              <c:strCache>
                <c:ptCount val="1"/>
                <c:pt idx="0">
                  <c:v>By-products Solid Digestate Credit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Analysis'!$H$39:$K$39</c:f>
              <c:numCache>
                <c:formatCode>"$"#,##0.000</c:formatCode>
                <c:ptCount val="4"/>
                <c:pt idx="1">
                  <c:v>-0.42279080050193452</c:v>
                </c:pt>
                <c:pt idx="2">
                  <c:v>-0.42279080050193452</c:v>
                </c:pt>
                <c:pt idx="3">
                  <c:v>-0.42279080050193452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84-4F9C-8380-54A9B9414E1E}"/>
            </c:ext>
          </c:extLst>
        </c:ser>
        <c:ser>
          <c:idx val="10"/>
          <c:order val="10"/>
          <c:tx>
            <c:strRef>
              <c:f>'Base Case Analysis'!$G$40</c:f>
              <c:strCache>
                <c:ptCount val="1"/>
                <c:pt idx="0">
                  <c:v>By-products Liquid Effluent Credit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Analysis'!$H$40:$K$40</c:f>
              <c:numCache>
                <c:formatCode>"$"#,##0.000</c:formatCode>
                <c:ptCount val="4"/>
                <c:pt idx="1">
                  <c:v>-0.44330065210075154</c:v>
                </c:pt>
                <c:pt idx="2">
                  <c:v>-0.44330065210075154</c:v>
                </c:pt>
                <c:pt idx="3">
                  <c:v>-0.44330065210075154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84-4F9C-8380-54A9B9414E1E}"/>
            </c:ext>
          </c:extLst>
        </c:ser>
        <c:ser>
          <c:idx val="11"/>
          <c:order val="11"/>
          <c:tx>
            <c:strRef>
              <c:f>'Base Case Analysis'!$G$41</c:f>
              <c:strCache>
                <c:ptCount val="1"/>
                <c:pt idx="0">
                  <c:v>Labor &amp; Maintenance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Analysis'!$H$41:$K$41</c:f>
              <c:numCache>
                <c:formatCode>"$"#,##0.000</c:formatCode>
                <c:ptCount val="4"/>
                <c:pt idx="0">
                  <c:v>2.0062491901428938</c:v>
                </c:pt>
                <c:pt idx="1">
                  <c:v>2.0062491901428938</c:v>
                </c:pt>
                <c:pt idx="2">
                  <c:v>2.0062491901428938</c:v>
                </c:pt>
                <c:pt idx="3">
                  <c:v>2.0062491901428938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84-4F9C-8380-54A9B9414E1E}"/>
            </c:ext>
          </c:extLst>
        </c:ser>
        <c:ser>
          <c:idx val="12"/>
          <c:order val="12"/>
          <c:tx>
            <c:strRef>
              <c:f>'Base Case Analysis'!$G$42</c:f>
              <c:strCache>
                <c:ptCount val="1"/>
                <c:pt idx="0">
                  <c:v>Capital Depreciation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Analysis'!$H$42:$K$42</c:f>
              <c:numCache>
                <c:formatCode>"$"#,##0.000</c:formatCode>
                <c:ptCount val="4"/>
                <c:pt idx="0">
                  <c:v>1.5137215638557768</c:v>
                </c:pt>
                <c:pt idx="1">
                  <c:v>1.5137215638557768</c:v>
                </c:pt>
                <c:pt idx="2">
                  <c:v>1.5137215638557768</c:v>
                </c:pt>
                <c:pt idx="3">
                  <c:v>1.5137215638557768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84-4F9C-8380-54A9B9414E1E}"/>
            </c:ext>
          </c:extLst>
        </c:ser>
        <c:ser>
          <c:idx val="13"/>
          <c:order val="13"/>
          <c:tx>
            <c:strRef>
              <c:f>'Base Case Analysis'!$G$43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 Case Analysis'!$H$30:$K$30</c:f>
              <c:strCache>
                <c:ptCount val="4"/>
                <c:pt idx="0">
                  <c:v>No credits </c:v>
                </c:pt>
                <c:pt idx="1">
                  <c:v>Solid and Liquid
Digestates Credit</c:v>
                </c:pt>
                <c:pt idx="2">
                  <c:v>Solid and Liquid
Digestates + RINs  Credit
</c:v>
                </c:pt>
                <c:pt idx="3">
                  <c:v> Solid and Liquid
Digestates + RINs + LCFS Credit </c:v>
                </c:pt>
              </c:strCache>
            </c:strRef>
          </c:cat>
          <c:val>
            <c:numRef>
              <c:f>'Base Case Analysis'!$H$43:$K$43</c:f>
              <c:numCache>
                <c:formatCode>"$"#,##0.000</c:formatCode>
                <c:ptCount val="4"/>
                <c:pt idx="0">
                  <c:v>1.2696851127064126</c:v>
                </c:pt>
                <c:pt idx="1">
                  <c:v>1.2696851127064126</c:v>
                </c:pt>
                <c:pt idx="2">
                  <c:v>1.2696851127064126</c:v>
                </c:pt>
                <c:pt idx="3">
                  <c:v>1.2696851127064126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84-4F9C-8380-54A9B941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8686096"/>
        <c:axId val="108690672"/>
      </c:barChart>
      <c:catAx>
        <c:axId val="1086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0672"/>
        <c:crosses val="autoZero"/>
        <c:auto val="1"/>
        <c:lblAlgn val="ctr"/>
        <c:lblOffset val="100"/>
        <c:noMultiLvlLbl val="0"/>
      </c:catAx>
      <c:valAx>
        <c:axId val="1086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63353059271928"/>
          <c:y val="5.4809506105869071E-2"/>
          <c:w val="0.27956688005478381"/>
          <c:h val="0.8903807916000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 Case Analysis'!$A$94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Case Analysis'!$B$94:$I$94</c15:sqref>
                  </c15:fullRef>
                </c:ext>
              </c:extLst>
              <c:f>'Base Case Analysis'!$B$94:$G$94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A-4768-A4C1-CCEADFBAA24F}"/>
            </c:ext>
          </c:extLst>
        </c:ser>
        <c:ser>
          <c:idx val="1"/>
          <c:order val="1"/>
          <c:tx>
            <c:strRef>
              <c:f>'Base Case Analysis'!$A$95</c:f>
              <c:strCache>
                <c:ptCount val="1"/>
                <c:pt idx="0">
                  <c:v>Digesters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Case Analysis'!$B$95:$I$95</c15:sqref>
                  </c15:fullRef>
                </c:ext>
              </c:extLst>
              <c:f>'Base Case Analysis'!$B$95:$G$95</c:f>
              <c:numCache>
                <c:formatCode>_("$"* #,##0.00_);_("$"* \(#,##0.00\);_("$"* "-"??_);_(@_)</c:formatCode>
                <c:ptCount val="6"/>
                <c:pt idx="0">
                  <c:v>3.85</c:v>
                </c:pt>
                <c:pt idx="1">
                  <c:v>5.17</c:v>
                </c:pt>
                <c:pt idx="2">
                  <c:v>4.51</c:v>
                </c:pt>
                <c:pt idx="3">
                  <c:v>6.24</c:v>
                </c:pt>
                <c:pt idx="4">
                  <c:v>8.83</c:v>
                </c:pt>
                <c:pt idx="5">
                  <c:v>13.01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A-4768-A4C1-CCEADFBAA24F}"/>
            </c:ext>
          </c:extLst>
        </c:ser>
        <c:ser>
          <c:idx val="2"/>
          <c:order val="2"/>
          <c:tx>
            <c:strRef>
              <c:f>'Base Case Analysis'!$A$96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Case Analysis'!$B$96:$I$96</c15:sqref>
                  </c15:fullRef>
                </c:ext>
              </c:extLst>
              <c:f>'Base Case Analysis'!$B$96:$G$96</c:f>
              <c:numCache>
                <c:formatCode>_("$"* #,##0.00_);_("$"* \(#,##0.00\);_("$"* "-"??_);_(@_)</c:formatCode>
                <c:ptCount val="6"/>
                <c:pt idx="0">
                  <c:v>0.38</c:v>
                </c:pt>
                <c:pt idx="1">
                  <c:v>0.62</c:v>
                </c:pt>
                <c:pt idx="2">
                  <c:v>0.5</c:v>
                </c:pt>
                <c:pt idx="3">
                  <c:v>0.82</c:v>
                </c:pt>
                <c:pt idx="4">
                  <c:v>1.32</c:v>
                </c:pt>
                <c:pt idx="5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A-4768-A4C1-CCEADFBAA24F}"/>
            </c:ext>
          </c:extLst>
        </c:ser>
        <c:ser>
          <c:idx val="3"/>
          <c:order val="3"/>
          <c:tx>
            <c:strRef>
              <c:f>'Base Case Analysis'!$A$97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Case Analysis'!$B$97:$I$97</c15:sqref>
                  </c15:fullRef>
                </c:ext>
              </c:extLst>
              <c:f>'Base Case Analysis'!$B$97:$G$97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A-4768-A4C1-CCEADFBAA24F}"/>
            </c:ext>
          </c:extLst>
        </c:ser>
        <c:ser>
          <c:idx val="4"/>
          <c:order val="4"/>
          <c:tx>
            <c:strRef>
              <c:f>'Base Case Analysis'!$A$98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Case Analysis'!$B$98:$I$98</c15:sqref>
                  </c15:fullRef>
                </c:ext>
              </c:extLst>
              <c:f>'Base Case Analysis'!$B$98:$G$98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A-4768-A4C1-CCEADFBAA24F}"/>
            </c:ext>
          </c:extLst>
        </c:ser>
        <c:ser>
          <c:idx val="5"/>
          <c:order val="5"/>
          <c:tx>
            <c:strRef>
              <c:f>'Base Case Analysis'!$A$99</c:f>
              <c:strCache>
                <c:ptCount val="1"/>
                <c:pt idx="0">
                  <c:v>Gas cleaning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Case Analysis'!$B$99:$I$99</c15:sqref>
                  </c15:fullRef>
                </c:ext>
              </c:extLst>
              <c:f>'Base Case Analysis'!$B$99:$G$99</c:f>
              <c:numCache>
                <c:formatCode>_("$"* #,##0.00_);_("$"* \(#,##0.00\);_("$"* "-"??_);_(@_)</c:formatCode>
                <c:ptCount val="6"/>
                <c:pt idx="0">
                  <c:v>7.56</c:v>
                </c:pt>
                <c:pt idx="1">
                  <c:v>7.56</c:v>
                </c:pt>
                <c:pt idx="2">
                  <c:v>7.56</c:v>
                </c:pt>
                <c:pt idx="3">
                  <c:v>7.56</c:v>
                </c:pt>
                <c:pt idx="4">
                  <c:v>7.56</c:v>
                </c:pt>
                <c:pt idx="5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A-4768-A4C1-CCEADFBAA24F}"/>
            </c:ext>
          </c:extLst>
        </c:ser>
        <c:ser>
          <c:idx val="6"/>
          <c:order val="6"/>
          <c:tx>
            <c:strRef>
              <c:f>'Base Case Analysis'!$A$100</c:f>
              <c:strCache>
                <c:ptCount val="1"/>
                <c:pt idx="0">
                  <c:v>Injection and pipeline delivery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Case Analysis'!$B$100:$I$100</c15:sqref>
                  </c15:fullRef>
                </c:ext>
              </c:extLst>
              <c:f>'Base Case Analysis'!$B$100:$G$100</c:f>
              <c:numCache>
                <c:formatCode>_("$"* #,##0.00_);_("$"* \(#,##0.00\);_("$"* "-"??_);_(@_)</c:formatCode>
                <c:ptCount val="6"/>
                <c:pt idx="0">
                  <c:v>2.37</c:v>
                </c:pt>
                <c:pt idx="1">
                  <c:v>2.37</c:v>
                </c:pt>
                <c:pt idx="2">
                  <c:v>2.37</c:v>
                </c:pt>
                <c:pt idx="3">
                  <c:v>2.37</c:v>
                </c:pt>
                <c:pt idx="4">
                  <c:v>2.37</c:v>
                </c:pt>
                <c:pt idx="5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F-4B6F-862D-029AEF43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868025424"/>
        <c:axId val="868018768"/>
      </c:barChart>
      <c:catAx>
        <c:axId val="8680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8768"/>
        <c:crosses val="autoZero"/>
        <c:auto val="1"/>
        <c:lblAlgn val="ctr"/>
        <c:lblOffset val="100"/>
        <c:noMultiLvlLbl val="0"/>
      </c:catAx>
      <c:valAx>
        <c:axId val="8680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Capital Cost</a:t>
            </a:r>
          </a:p>
        </c:rich>
      </c:tx>
      <c:layout>
        <c:manualLayout>
          <c:xMode val="edge"/>
          <c:yMode val="edge"/>
          <c:x val="0.44642373470439489"/>
          <c:y val="3.7775250018432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71731444528336"/>
          <c:y val="0.17938361734116523"/>
          <c:w val="0.5060571195723822"/>
          <c:h val="0.525701713756368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'Base Case Analysis'!$A$95</c:f>
              <c:strCache>
                <c:ptCount val="1"/>
                <c:pt idx="0">
                  <c:v>Digesters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Case Analysis'!$B$94:$G$94</c:f>
              <c:strCache>
                <c:ptCount val="6"/>
                <c:pt idx="0">
                  <c:v>Baseline, 6.7 t/ha</c:v>
                </c:pt>
                <c:pt idx="1">
                  <c:v>Baseline, 13.5 t/ha</c:v>
                </c:pt>
                <c:pt idx="2">
                  <c:v>Buffered, 6.7 t/ha</c:v>
                </c:pt>
                <c:pt idx="3">
                  <c:v>Buffered, 13.5 t/ha</c:v>
                </c:pt>
                <c:pt idx="4">
                  <c:v>Productivity-Based, 6.7 t/ha</c:v>
                </c:pt>
                <c:pt idx="5">
                  <c:v>Productivity-Based, 13.5 t/ha</c:v>
                </c:pt>
              </c:strCache>
            </c:strRef>
          </c:cat>
          <c:val>
            <c:numRef>
              <c:f>'Base Case Analysis'!$B$95:$G$95</c:f>
              <c:numCache>
                <c:formatCode>_("$"* #,##0.00_);_("$"* \(#,##0.00\);_("$"* "-"??_);_(@_)</c:formatCode>
                <c:ptCount val="6"/>
                <c:pt idx="0">
                  <c:v>3.85</c:v>
                </c:pt>
                <c:pt idx="1">
                  <c:v>5.17</c:v>
                </c:pt>
                <c:pt idx="2">
                  <c:v>4.51</c:v>
                </c:pt>
                <c:pt idx="3">
                  <c:v>6.24</c:v>
                </c:pt>
                <c:pt idx="4">
                  <c:v>8.83</c:v>
                </c:pt>
                <c:pt idx="5">
                  <c:v>13.01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A-49E9-8792-4F64F4D66BED}"/>
            </c:ext>
          </c:extLst>
        </c:ser>
        <c:ser>
          <c:idx val="1"/>
          <c:order val="1"/>
          <c:tx>
            <c:strRef>
              <c:f>'Base Case Analysis'!$A$96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 Case Analysis'!$B$94:$G$94</c:f>
              <c:strCache>
                <c:ptCount val="6"/>
                <c:pt idx="0">
                  <c:v>Baseline, 6.7 t/ha</c:v>
                </c:pt>
                <c:pt idx="1">
                  <c:v>Baseline, 13.5 t/ha</c:v>
                </c:pt>
                <c:pt idx="2">
                  <c:v>Buffered, 6.7 t/ha</c:v>
                </c:pt>
                <c:pt idx="3">
                  <c:v>Buffered, 13.5 t/ha</c:v>
                </c:pt>
                <c:pt idx="4">
                  <c:v>Productivity-Based, 6.7 t/ha</c:v>
                </c:pt>
                <c:pt idx="5">
                  <c:v>Productivity-Based, 13.5 t/ha</c:v>
                </c:pt>
              </c:strCache>
            </c:strRef>
          </c:cat>
          <c:val>
            <c:numRef>
              <c:f>'Base Case Analysis'!$B$96:$G$96</c:f>
              <c:numCache>
                <c:formatCode>_("$"* #,##0.00_);_("$"* \(#,##0.00\);_("$"* "-"??_);_(@_)</c:formatCode>
                <c:ptCount val="6"/>
                <c:pt idx="0">
                  <c:v>0.38</c:v>
                </c:pt>
                <c:pt idx="1">
                  <c:v>0.62</c:v>
                </c:pt>
                <c:pt idx="2">
                  <c:v>0.5</c:v>
                </c:pt>
                <c:pt idx="3">
                  <c:v>0.82</c:v>
                </c:pt>
                <c:pt idx="4">
                  <c:v>1.32</c:v>
                </c:pt>
                <c:pt idx="5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A-49E9-8792-4F64F4D66BED}"/>
            </c:ext>
          </c:extLst>
        </c:ser>
        <c:ser>
          <c:idx val="2"/>
          <c:order val="2"/>
          <c:tx>
            <c:strRef>
              <c:f>'Base Case Analysis'!$A$97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'Base Case Analysis'!$B$94:$G$94</c:f>
              <c:strCache>
                <c:ptCount val="6"/>
                <c:pt idx="0">
                  <c:v>Baseline, 6.7 t/ha</c:v>
                </c:pt>
                <c:pt idx="1">
                  <c:v>Baseline, 13.5 t/ha</c:v>
                </c:pt>
                <c:pt idx="2">
                  <c:v>Buffered, 6.7 t/ha</c:v>
                </c:pt>
                <c:pt idx="3">
                  <c:v>Buffered, 13.5 t/ha</c:v>
                </c:pt>
                <c:pt idx="4">
                  <c:v>Productivity-Based, 6.7 t/ha</c:v>
                </c:pt>
                <c:pt idx="5">
                  <c:v>Productivity-Based, 13.5 t/ha</c:v>
                </c:pt>
              </c:strCache>
            </c:strRef>
          </c:cat>
          <c:val>
            <c:numRef>
              <c:f>'Base Case Analysis'!$B$97:$G$97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A-49E9-8792-4F64F4D66BED}"/>
            </c:ext>
          </c:extLst>
        </c:ser>
        <c:ser>
          <c:idx val="3"/>
          <c:order val="3"/>
          <c:tx>
            <c:strRef>
              <c:f>'Base Case Analysis'!$A$98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 Case Analysis'!$B$94:$G$94</c:f>
              <c:strCache>
                <c:ptCount val="6"/>
                <c:pt idx="0">
                  <c:v>Baseline, 6.7 t/ha</c:v>
                </c:pt>
                <c:pt idx="1">
                  <c:v>Baseline, 13.5 t/ha</c:v>
                </c:pt>
                <c:pt idx="2">
                  <c:v>Buffered, 6.7 t/ha</c:v>
                </c:pt>
                <c:pt idx="3">
                  <c:v>Buffered, 13.5 t/ha</c:v>
                </c:pt>
                <c:pt idx="4">
                  <c:v>Productivity-Based, 6.7 t/ha</c:v>
                </c:pt>
                <c:pt idx="5">
                  <c:v>Productivity-Based, 13.5 t/ha</c:v>
                </c:pt>
              </c:strCache>
            </c:strRef>
          </c:cat>
          <c:val>
            <c:numRef>
              <c:f>'Base Case Analysis'!$B$98:$G$98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A-49E9-8792-4F64F4D66BED}"/>
            </c:ext>
          </c:extLst>
        </c:ser>
        <c:ser>
          <c:idx val="4"/>
          <c:order val="4"/>
          <c:tx>
            <c:strRef>
              <c:f>'Base Case Analysis'!$A$99</c:f>
              <c:strCache>
                <c:ptCount val="1"/>
                <c:pt idx="0">
                  <c:v>Gas cleaning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'Base Case Analysis'!$B$94:$G$94</c:f>
              <c:strCache>
                <c:ptCount val="6"/>
                <c:pt idx="0">
                  <c:v>Baseline, 6.7 t/ha</c:v>
                </c:pt>
                <c:pt idx="1">
                  <c:v>Baseline, 13.5 t/ha</c:v>
                </c:pt>
                <c:pt idx="2">
                  <c:v>Buffered, 6.7 t/ha</c:v>
                </c:pt>
                <c:pt idx="3">
                  <c:v>Buffered, 13.5 t/ha</c:v>
                </c:pt>
                <c:pt idx="4">
                  <c:v>Productivity-Based, 6.7 t/ha</c:v>
                </c:pt>
                <c:pt idx="5">
                  <c:v>Productivity-Based, 13.5 t/ha</c:v>
                </c:pt>
              </c:strCache>
            </c:strRef>
          </c:cat>
          <c:val>
            <c:numRef>
              <c:f>'Base Case Analysis'!$B$99:$G$99</c:f>
              <c:numCache>
                <c:formatCode>_("$"* #,##0.00_);_("$"* \(#,##0.00\);_("$"* "-"??_);_(@_)</c:formatCode>
                <c:ptCount val="6"/>
                <c:pt idx="0">
                  <c:v>7.56</c:v>
                </c:pt>
                <c:pt idx="1">
                  <c:v>7.56</c:v>
                </c:pt>
                <c:pt idx="2">
                  <c:v>7.56</c:v>
                </c:pt>
                <c:pt idx="3">
                  <c:v>7.56</c:v>
                </c:pt>
                <c:pt idx="4">
                  <c:v>7.56</c:v>
                </c:pt>
                <c:pt idx="5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A-49E9-8792-4F64F4D66BED}"/>
            </c:ext>
          </c:extLst>
        </c:ser>
        <c:ser>
          <c:idx val="5"/>
          <c:order val="5"/>
          <c:tx>
            <c:strRef>
              <c:f>'Base Case Analysis'!$A$100</c:f>
              <c:strCache>
                <c:ptCount val="1"/>
                <c:pt idx="0">
                  <c:v>Injection and pipeline delivery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 Case Analysis'!$B$94:$G$94</c:f>
              <c:strCache>
                <c:ptCount val="6"/>
                <c:pt idx="0">
                  <c:v>Baseline, 6.7 t/ha</c:v>
                </c:pt>
                <c:pt idx="1">
                  <c:v>Baseline, 13.5 t/ha</c:v>
                </c:pt>
                <c:pt idx="2">
                  <c:v>Buffered, 6.7 t/ha</c:v>
                </c:pt>
                <c:pt idx="3">
                  <c:v>Buffered, 13.5 t/ha</c:v>
                </c:pt>
                <c:pt idx="4">
                  <c:v>Productivity-Based, 6.7 t/ha</c:v>
                </c:pt>
                <c:pt idx="5">
                  <c:v>Productivity-Based, 13.5 t/ha</c:v>
                </c:pt>
              </c:strCache>
            </c:strRef>
          </c:cat>
          <c:val>
            <c:numRef>
              <c:f>'Base Case Analysis'!$B$100:$G$100</c:f>
              <c:numCache>
                <c:formatCode>_("$"* #,##0.00_);_("$"* \(#,##0.00\);_("$"* "-"??_);_(@_)</c:formatCode>
                <c:ptCount val="6"/>
                <c:pt idx="0">
                  <c:v>2.37</c:v>
                </c:pt>
                <c:pt idx="1">
                  <c:v>2.37</c:v>
                </c:pt>
                <c:pt idx="2">
                  <c:v>2.37</c:v>
                </c:pt>
                <c:pt idx="3">
                  <c:v>2.37</c:v>
                </c:pt>
                <c:pt idx="4">
                  <c:v>2.37</c:v>
                </c:pt>
                <c:pt idx="5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A-49E9-8792-4F64F4D6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28444208"/>
        <c:axId val="928467504"/>
      </c:barChart>
      <c:catAx>
        <c:axId val="92844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67504"/>
        <c:crosses val="autoZero"/>
        <c:auto val="1"/>
        <c:lblAlgn val="ctr"/>
        <c:lblOffset val="100"/>
        <c:noMultiLvlLbl val="0"/>
      </c:catAx>
      <c:valAx>
        <c:axId val="9284675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98630136986299"/>
          <c:y val="0.79402263870292822"/>
          <c:w val="0.68234398782343986"/>
          <c:h val="0.11614901078541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19479630263602"/>
          <c:y val="3.3911355667735697E-2"/>
          <c:w val="0.58782699988588405"/>
          <c:h val="0.79697341757525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DCFROR!$K$10</c:f>
              <c:strCache>
                <c:ptCount val="1"/>
                <c:pt idx="0">
                  <c:v>Pessimistic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DCFROR!$G$11:$G$13</c:f>
              <c:strCache>
                <c:ptCount val="3"/>
                <c:pt idx="0">
                  <c:v>Indirect Cost Factor (1.5x, 1x, 0.5x)</c:v>
                </c:pt>
                <c:pt idx="1">
                  <c:v>Price of Sugars ($300, $385, $500/MT)</c:v>
                </c:pt>
                <c:pt idx="2">
                  <c:v>Feedstock Cost ($65, $41, -$33/MT)</c:v>
                </c:pt>
              </c:strCache>
            </c:strRef>
          </c:cat>
          <c:val>
            <c:numRef>
              <c:f>DCFROR!$K$11:$K$13</c:f>
              <c:numCache>
                <c:formatCode>0.00%</c:formatCode>
                <c:ptCount val="3"/>
                <c:pt idx="0">
                  <c:v>5.3701286263202835E-2</c:v>
                </c:pt>
                <c:pt idx="1">
                  <c:v>2.2171960073453661E-2</c:v>
                </c:pt>
                <c:pt idx="2">
                  <c:v>-8.6347404702879372E-3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A-407F-901E-3A0E0D891918}"/>
            </c:ext>
          </c:extLst>
        </c:ser>
        <c:ser>
          <c:idx val="2"/>
          <c:order val="1"/>
          <c:tx>
            <c:strRef>
              <c:f>DCFROR!$L$10</c:f>
              <c:strCache>
                <c:ptCount val="1"/>
                <c:pt idx="0">
                  <c:v>Base 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DCFROR!$G$11:$G$13</c:f>
              <c:strCache>
                <c:ptCount val="3"/>
                <c:pt idx="0">
                  <c:v>Indirect Cost Factor (1.5x, 1x, 0.5x)</c:v>
                </c:pt>
                <c:pt idx="1">
                  <c:v>Price of Sugars ($300, $385, $500/MT)</c:v>
                </c:pt>
                <c:pt idx="2">
                  <c:v>Feedstock Cost ($65, $41, -$33/MT)</c:v>
                </c:pt>
              </c:strCache>
            </c:strRef>
          </c:cat>
          <c:val>
            <c:numRef>
              <c:f>DCFROR!$L$11:$L$13</c:f>
              <c:numCache>
                <c:formatCode>0.00%</c:formatCode>
                <c:ptCount val="3"/>
                <c:pt idx="0">
                  <c:v>0.10046474888782933</c:v>
                </c:pt>
                <c:pt idx="1">
                  <c:v>0.10046474888782933</c:v>
                </c:pt>
                <c:pt idx="2">
                  <c:v>0.10046474888782933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A-407F-901E-3A0E0D891918}"/>
            </c:ext>
          </c:extLst>
        </c:ser>
        <c:ser>
          <c:idx val="1"/>
          <c:order val="2"/>
          <c:tx>
            <c:strRef>
              <c:f>DCFROR!$M$10</c:f>
              <c:strCache>
                <c:ptCount val="1"/>
                <c:pt idx="0">
                  <c:v>Optimistic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DCFROR!$G$11:$G$13</c:f>
              <c:strCache>
                <c:ptCount val="3"/>
                <c:pt idx="0">
                  <c:v>Indirect Cost Factor (1.5x, 1x, 0.5x)</c:v>
                </c:pt>
                <c:pt idx="1">
                  <c:v>Price of Sugars ($300, $385, $500/MT)</c:v>
                </c:pt>
                <c:pt idx="2">
                  <c:v>Feedstock Cost ($65, $41, -$33/MT)</c:v>
                </c:pt>
              </c:strCache>
            </c:strRef>
          </c:cat>
          <c:val>
            <c:numRef>
              <c:f>DCFROR!$M$11:$M$13</c:f>
              <c:numCache>
                <c:formatCode>0.00%</c:formatCode>
                <c:ptCount val="3"/>
                <c:pt idx="0">
                  <c:v>0.185722904361174</c:v>
                </c:pt>
                <c:pt idx="1">
                  <c:v>0.20066597479334677</c:v>
                </c:pt>
                <c:pt idx="2">
                  <c:v>0.38411589472547103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A-407F-901E-3A0E0D89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683376"/>
        <c:axId val="456686640"/>
      </c:barChart>
      <c:catAx>
        <c:axId val="45668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86640"/>
        <c:crossesAt val="9.9700000000000094E-2"/>
        <c:auto val="1"/>
        <c:lblAlgn val="ctr"/>
        <c:lblOffset val="100"/>
        <c:noMultiLvlLbl val="0"/>
      </c:catAx>
      <c:valAx>
        <c:axId val="456686640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Rate of Return (IRR)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ayout>
        <c:manualLayout>
          <c:xMode val="edge"/>
          <c:yMode val="edge"/>
          <c:x val="0.83124914371040903"/>
          <c:y val="0.433708761412616"/>
          <c:w val="0.12092936209060801"/>
          <c:h val="0.2119673344072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963970880788103"/>
          <c:y val="0.1322154175172548"/>
          <c:w val="0.65476642028346232"/>
          <c:h val="0.69997500695211756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'Sensitivity AD'!$D$2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'Sensitivity AD'!$C$3:$C$12</c:f>
              <c:strCache>
                <c:ptCount val="10"/>
                <c:pt idx="0">
                  <c:v>Solids Digestate Price (27.2,50.5,38.9 $/Mg)</c:v>
                </c:pt>
                <c:pt idx="1">
                  <c:v>Liquid Effluent Price (2.04,3.78,2.91 $/Mg)</c:v>
                </c:pt>
                <c:pt idx="2">
                  <c:v>Gas Cleaning Power Use (0.238,0.442,0.34 kwh/m^3)</c:v>
                </c:pt>
                <c:pt idx="3">
                  <c:v>Operating Capacity (70%, 100%, 85%)</c:v>
                </c:pt>
                <c:pt idx="4">
                  <c:v>RNG Price (2.5,3.5, 3 $/mmbtu)</c:v>
                </c:pt>
                <c:pt idx="5">
                  <c:v>Farm Gate Feed Price (11,-11,0 $/Mg)</c:v>
                </c:pt>
                <c:pt idx="6">
                  <c:v>Total Capital Investment(13.7,25.4,19.5 $ MM)</c:v>
                </c:pt>
                <c:pt idx="7">
                  <c:v>LCFS Credit Price (11.7,21.7,16.7 $/mmbtu)</c:v>
                </c:pt>
                <c:pt idx="8">
                  <c:v>RIN Credit Price (1.05,1.95,1.5 $/RIN)</c:v>
                </c:pt>
                <c:pt idx="9">
                  <c:v>Biogas Yield (328,515, 421.6 m^3 CH4/Mg)</c:v>
                </c:pt>
              </c:strCache>
            </c:strRef>
          </c:cat>
          <c:val>
            <c:numRef>
              <c:f>'Sensitivity AD'!$G$3:$G$12</c:f>
              <c:numCache>
                <c:formatCode>0.0</c:formatCode>
                <c:ptCount val="10"/>
                <c:pt idx="0">
                  <c:v>44.086899340599999</c:v>
                </c:pt>
                <c:pt idx="1">
                  <c:v>44.069578763099997</c:v>
                </c:pt>
                <c:pt idx="2">
                  <c:v>45.2691944193</c:v>
                </c:pt>
                <c:pt idx="3">
                  <c:v>43.381382310699998</c:v>
                </c:pt>
                <c:pt idx="4">
                  <c:v>43.1098931342</c:v>
                </c:pt>
                <c:pt idx="5">
                  <c:v>46.969920715899995</c:v>
                </c:pt>
                <c:pt idx="6">
                  <c:v>55.152681843800003</c:v>
                </c:pt>
                <c:pt idx="7">
                  <c:v>32.424593179799999</c:v>
                </c:pt>
                <c:pt idx="8">
                  <c:v>30.431783362100003</c:v>
                </c:pt>
                <c:pt idx="9">
                  <c:v>24.2130901606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C-4107-9942-5CCD1BD39EC3}"/>
            </c:ext>
          </c:extLst>
        </c:ser>
        <c:ser>
          <c:idx val="0"/>
          <c:order val="1"/>
          <c:tx>
            <c:v>Upper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'Sensitivity AD'!$H$3:$H$12</c:f>
              <c:numCache>
                <c:formatCode>0.0</c:formatCode>
                <c:ptCount val="10"/>
                <c:pt idx="0">
                  <c:v>44.800993324699995</c:v>
                </c:pt>
                <c:pt idx="1">
                  <c:v>44.818313902199996</c:v>
                </c:pt>
                <c:pt idx="2">
                  <c:v>43.639701687799999</c:v>
                </c:pt>
                <c:pt idx="3">
                  <c:v>45.223604962899998</c:v>
                </c:pt>
                <c:pt idx="4">
                  <c:v>45.777999531000006</c:v>
                </c:pt>
                <c:pt idx="5">
                  <c:v>41.917971949399998</c:v>
                </c:pt>
                <c:pt idx="6">
                  <c:v>33.727031455199999</c:v>
                </c:pt>
                <c:pt idx="7">
                  <c:v>56.463299485500002</c:v>
                </c:pt>
                <c:pt idx="8">
                  <c:v>58.456109303200002</c:v>
                </c:pt>
                <c:pt idx="9">
                  <c:v>64.6640477686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C-4107-9942-5CCD1BD3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42138688"/>
        <c:axId val="443024272"/>
      </c:barChart>
      <c:catAx>
        <c:axId val="44213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43024272"/>
        <c:crossesAt val="44.4"/>
        <c:auto val="1"/>
        <c:lblAlgn val="ctr"/>
        <c:lblOffset val="100"/>
        <c:noMultiLvlLbl val="0"/>
      </c:catAx>
      <c:valAx>
        <c:axId val="443024272"/>
        <c:scaling>
          <c:orientation val="minMax"/>
          <c:max val="7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Net Present Value (MM $)</a:t>
                </a:r>
              </a:p>
            </c:rich>
          </c:tx>
          <c:layout>
            <c:manualLayout>
              <c:xMode val="edge"/>
              <c:yMode val="edge"/>
              <c:x val="0.54960546091434404"/>
              <c:y val="0.94017492711370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214643873590058"/>
          <c:y val="7.0551082104835905E-2"/>
          <c:w val="0.65476642028346232"/>
          <c:h val="0.7534090416915707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'LCA sce'!$E$30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'LCA sce'!$D$31:$D$36</c:f>
              <c:strCache>
                <c:ptCount val="6"/>
                <c:pt idx="0">
                  <c:v>RNG Transportation EF (0.0096,0.012,0.0144 kg CO2eq)</c:v>
                </c:pt>
                <c:pt idx="1">
                  <c:v>Grass Transportation EF (0.0216,0.027,0.0324 kg CO2eq)</c:v>
                </c:pt>
                <c:pt idx="2">
                  <c:v>Upgrading Electricity (kWh) (5.696,7.12,8.544 kWh)</c:v>
                </c:pt>
                <c:pt idx="3">
                  <c:v>Grass Production EF  (0.0624,0.078,0.0936 kg CO2eq)</c:v>
                </c:pt>
                <c:pt idx="4">
                  <c:v>Digestate Fertilizer Equivalent (9.44,11.8,14.16 gm N/kg Digestate)</c:v>
                </c:pt>
                <c:pt idx="5">
                  <c:v>RNG Loss (1%,2%,5% )</c:v>
                </c:pt>
              </c:strCache>
            </c:strRef>
          </c:cat>
          <c:val>
            <c:numRef>
              <c:f>'LCA sce'!$H$31:$H$36</c:f>
              <c:numCache>
                <c:formatCode>0.00</c:formatCode>
                <c:ptCount val="6"/>
                <c:pt idx="0">
                  <c:v>16.594137252828396</c:v>
                </c:pt>
                <c:pt idx="1">
                  <c:v>16.10710252549676</c:v>
                </c:pt>
                <c:pt idx="2">
                  <c:v>15.297025493358383</c:v>
                </c:pt>
                <c:pt idx="3">
                  <c:v>15.065867892748022</c:v>
                </c:pt>
                <c:pt idx="4">
                  <c:v>19.466903027592362</c:v>
                </c:pt>
                <c:pt idx="5">
                  <c:v>10.062993810827017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3-4483-A884-52103E507C63}"/>
            </c:ext>
          </c:extLst>
        </c:ser>
        <c:ser>
          <c:idx val="0"/>
          <c:order val="1"/>
          <c:tx>
            <c:strRef>
              <c:f>'LCA sce'!$I$30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'LCA sce'!$D$31:$D$36</c:f>
              <c:strCache>
                <c:ptCount val="6"/>
                <c:pt idx="0">
                  <c:v>RNG Transportation EF (0.0096,0.012,0.0144 kg CO2eq)</c:v>
                </c:pt>
                <c:pt idx="1">
                  <c:v>Grass Transportation EF (0.0216,0.027,0.0324 kg CO2eq)</c:v>
                </c:pt>
                <c:pt idx="2">
                  <c:v>Upgrading Electricity (kWh) (5.696,7.12,8.544 kWh)</c:v>
                </c:pt>
                <c:pt idx="3">
                  <c:v>Grass Production EF  (0.0624,0.078,0.0936 kg CO2eq)</c:v>
                </c:pt>
                <c:pt idx="4">
                  <c:v>Digestate Fertilizer Equivalent (9.44,11.8,14.16 gm N/kg Digestate)</c:v>
                </c:pt>
                <c:pt idx="5">
                  <c:v>RNG Loss (1%,2%,5% )</c:v>
                </c:pt>
              </c:strCache>
            </c:strRef>
          </c:cat>
          <c:val>
            <c:numRef>
              <c:f>'LCA sce'!$I$31:$I$36</c:f>
              <c:numCache>
                <c:formatCode>0.00</c:formatCode>
                <c:ptCount val="6"/>
                <c:pt idx="0">
                  <c:v>16.695942330633475</c:v>
                </c:pt>
                <c:pt idx="1">
                  <c:v>17.207428751884859</c:v>
                </c:pt>
                <c:pt idx="2">
                  <c:v>18.01044579089519</c:v>
                </c:pt>
                <c:pt idx="3">
                  <c:v>18.244588102313642</c:v>
                </c:pt>
                <c:pt idx="4">
                  <c:v>13.840568256661214</c:v>
                </c:pt>
                <c:pt idx="5">
                  <c:v>37.266426297044056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3-4483-A884-52103E507C63}"/>
            </c:ext>
          </c:extLst>
        </c:ser>
        <c:ser>
          <c:idx val="1"/>
          <c:order val="2"/>
          <c:tx>
            <c:v>Base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'LCA sce'!$J$31:$J$36</c:f>
              <c:numCache>
                <c:formatCode>0.00</c:formatCode>
                <c:ptCount val="6"/>
                <c:pt idx="0">
                  <c:v>16.645039791730937</c:v>
                </c:pt>
                <c:pt idx="1">
                  <c:v>16.649999999999999</c:v>
                </c:pt>
                <c:pt idx="2">
                  <c:v>16.653735642126787</c:v>
                </c:pt>
                <c:pt idx="3">
                  <c:v>16.649999999999999</c:v>
                </c:pt>
                <c:pt idx="4">
                  <c:v>16.653735642126787</c:v>
                </c:pt>
                <c:pt idx="5">
                  <c:v>16.649999999999999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3-4483-A884-52103E507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5"/>
        <c:overlap val="100"/>
        <c:axId val="442138688"/>
        <c:axId val="443024272"/>
      </c:barChart>
      <c:catAx>
        <c:axId val="44213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4272"/>
        <c:crossesAt val="16.650000000000002"/>
        <c:auto val="1"/>
        <c:lblAlgn val="ctr"/>
        <c:lblOffset val="100"/>
        <c:noMultiLvlLbl val="0"/>
      </c:catAx>
      <c:valAx>
        <c:axId val="443024272"/>
        <c:scaling>
          <c:orientation val="minMax"/>
          <c:max val="3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(Kg CO2 eq/MJ of RNG)</a:t>
                </a:r>
              </a:p>
            </c:rich>
          </c:tx>
          <c:layout>
            <c:manualLayout>
              <c:xMode val="edge"/>
              <c:yMode val="edge"/>
              <c:x val="0.54960546091434404"/>
              <c:y val="0.94017492711370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842938153598129"/>
          <c:y val="0.34420589123110512"/>
          <c:w val="7.2837691317466188E-2"/>
          <c:h val="0.18037818838729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13</xdr:row>
          <xdr:rowOff>152400</xdr:rowOff>
        </xdr:from>
        <xdr:to>
          <xdr:col>3</xdr:col>
          <xdr:colOff>0</xdr:colOff>
          <xdr:row>15</xdr:row>
          <xdr:rowOff>152400</xdr:rowOff>
        </xdr:to>
        <xdr:sp macro="" textlink="">
          <xdr:nvSpPr>
            <xdr:cNvPr id="31745" name="Button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0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Solve IRR</a:t>
              </a:r>
            </a:p>
          </xdr:txBody>
        </xdr:sp>
        <xdr:clientData fPrintsWithSheet="0"/>
      </xdr:twoCellAnchor>
    </mc:Choice>
    <mc:Fallback/>
  </mc:AlternateContent>
  <xdr:twoCellAnchor>
    <xdr:from>
      <xdr:col>4</xdr:col>
      <xdr:colOff>1280160</xdr:colOff>
      <xdr:row>28</xdr:row>
      <xdr:rowOff>5080</xdr:rowOff>
    </xdr:from>
    <xdr:to>
      <xdr:col>12</xdr:col>
      <xdr:colOff>213360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57</xdr:row>
      <xdr:rowOff>0</xdr:rowOff>
    </xdr:from>
    <xdr:to>
      <xdr:col>26</xdr:col>
      <xdr:colOff>482600</xdr:colOff>
      <xdr:row>57</xdr:row>
      <xdr:rowOff>0</xdr:rowOff>
    </xdr:to>
    <xdr:graphicFrame macro="">
      <xdr:nvGraphicFramePr>
        <xdr:cNvPr id="2" name="Chart 16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5</xdr:row>
      <xdr:rowOff>123825</xdr:rowOff>
    </xdr:from>
    <xdr:to>
      <xdr:col>19</xdr:col>
      <xdr:colOff>285750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849133</xdr:colOff>
      <xdr:row>23</xdr:row>
      <xdr:rowOff>170123</xdr:rowOff>
    </xdr:from>
    <xdr:to>
      <xdr:col>7</xdr:col>
      <xdr:colOff>8096</xdr:colOff>
      <xdr:row>78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194945</xdr:colOff>
      <xdr:row>13</xdr:row>
      <xdr:rowOff>15875</xdr:rowOff>
    </xdr:from>
    <xdr:to>
      <xdr:col>22</xdr:col>
      <xdr:colOff>148590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441688</xdr:colOff>
      <xdr:row>135</xdr:row>
      <xdr:rowOff>12247</xdr:rowOff>
    </xdr:from>
    <xdr:to>
      <xdr:col>7</xdr:col>
      <xdr:colOff>938893</xdr:colOff>
      <xdr:row>171</xdr:row>
      <xdr:rowOff>68037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361951</xdr:colOff>
      <xdr:row>105</xdr:row>
      <xdr:rowOff>66676</xdr:rowOff>
    </xdr:from>
    <xdr:to>
      <xdr:col>6</xdr:col>
      <xdr:colOff>1590676</xdr:colOff>
      <xdr:row>127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1219200</xdr:colOff>
      <xdr:row>32</xdr:row>
      <xdr:rowOff>12700</xdr:rowOff>
    </xdr:from>
    <xdr:to>
      <xdr:col>5</xdr:col>
      <xdr:colOff>28575</xdr:colOff>
      <xdr:row>33</xdr:row>
      <xdr:rowOff>123825</xdr:rowOff>
    </xdr:to>
    <xdr:sp macro="" textlink="">
      <xdr:nvSpPr>
        <xdr:cNvPr id="2" name="cmd_SolveProductCost" hidden="1">
          <a:extLst>
            <a:ext uri="{63B3BB69-23CF-44E3-9099-C40C66FF867C}">
              <a14:compatExt xmlns:a14="http://schemas.microsoft.com/office/drawing/2010/main" spid="_x0000_s5158"/>
            </a:ex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7429500" y="5260975"/>
          <a:ext cx="1244600" cy="2762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152400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6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 Narrow" pitchFamily="2" charset="0"/>
                  <a:cs typeface="Arial Narrow" pitchFamily="2" charset="0"/>
                </a:rPr>
                <a:t>Sensitivity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333374</xdr:colOff>
      <xdr:row>0</xdr:row>
      <xdr:rowOff>23811</xdr:rowOff>
    </xdr:from>
    <xdr:to>
      <xdr:col>10</xdr:col>
      <xdr:colOff>552449</xdr:colOff>
      <xdr:row>25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  <a:ext uri="{147F2762-F138-4A5C-976F-8EAC2B608ADB}">
              <a16:predDERef xmlns:a16="http://schemas.microsoft.com/office/drawing/2014/main" pred="{00000000-0008-0000-05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1104900</xdr:colOff>
          <xdr:row>27</xdr:row>
          <xdr:rowOff>76200</xdr:rowOff>
        </xdr:from>
        <xdr:to>
          <xdr:col>5</xdr:col>
          <xdr:colOff>114300</xdr:colOff>
          <xdr:row>29</xdr:row>
          <xdr:rowOff>50800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6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Solve IRR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1104900</xdr:colOff>
          <xdr:row>31</xdr:row>
          <xdr:rowOff>76200</xdr:rowOff>
        </xdr:from>
        <xdr:to>
          <xdr:col>5</xdr:col>
          <xdr:colOff>88900</xdr:colOff>
          <xdr:row>33</xdr:row>
          <xdr:rowOff>76200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6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Solve MFSP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306819</xdr:colOff>
      <xdr:row>50</xdr:row>
      <xdr:rowOff>44835</xdr:rowOff>
    </xdr:from>
    <xdr:to>
      <xdr:col>15</xdr:col>
      <xdr:colOff>18738</xdr:colOff>
      <xdr:row>69</xdr:row>
      <xdr:rowOff>71340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9024" y="10184630"/>
          <a:ext cx="7197183" cy="40597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850899</xdr:colOff>
      <xdr:row>39</xdr:row>
      <xdr:rowOff>98425</xdr:rowOff>
    </xdr:from>
    <xdr:to>
      <xdr:col>15</xdr:col>
      <xdr:colOff>314324</xdr:colOff>
      <xdr:row>68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941070</xdr:colOff>
      <xdr:row>41</xdr:row>
      <xdr:rowOff>121920</xdr:rowOff>
    </xdr:from>
    <xdr:to>
      <xdr:col>5</xdr:col>
      <xdr:colOff>1104900</xdr:colOff>
      <xdr:row>66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16</xdr:row>
      <xdr:rowOff>36195</xdr:rowOff>
    </xdr:from>
    <xdr:to>
      <xdr:col>27</xdr:col>
      <xdr:colOff>255270</xdr:colOff>
      <xdr:row>44</xdr:row>
      <xdr:rowOff>39053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821267</xdr:colOff>
      <xdr:row>37</xdr:row>
      <xdr:rowOff>96521</xdr:rowOff>
    </xdr:from>
    <xdr:to>
      <xdr:col>9</xdr:col>
      <xdr:colOff>742104</xdr:colOff>
      <xdr:row>62</xdr:row>
      <xdr:rowOff>3387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ropbox/Research/techno-economics/Easy%20Energy%20Systems/Pyrolytic%20Sugars%20with%20AD%20ISU%20profit%20margin%20Sensitivity%20Analysi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Users/Mark/GDrive/Research/techno-economics/Easy%20Energy%20Systems/DOCUME~1/NAJEEB~1/LOCALS~1/Temp/Techno%20eco%20current%20tar%20ref%20indir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_DATA_"/>
      <sheetName val="Summary"/>
      <sheetName val="Start Here"/>
      <sheetName val="Mass and Energy Flows"/>
      <sheetName val="Operating Costs"/>
      <sheetName val="DCFROR"/>
      <sheetName val="Uncertainty"/>
      <sheetName val="Labor Costs"/>
      <sheetName val="Equipment"/>
      <sheetName val="Investment Costs"/>
      <sheetName val="ASWXL.Storage"/>
      <sheetName val="ASWXL.Disable"/>
      <sheetName val="NOTES"/>
    </sheetNames>
    <sheetDataSet>
      <sheetData sheetId="0"/>
      <sheetData sheetId="1"/>
      <sheetData sheetId="2"/>
      <sheetData sheetId="3"/>
      <sheetData sheetId="4"/>
      <sheetData sheetId="5">
        <row r="32">
          <cell r="B32">
            <v>17082</v>
          </cell>
        </row>
        <row r="33">
          <cell r="B33">
            <v>7884</v>
          </cell>
        </row>
        <row r="34">
          <cell r="B34">
            <v>2011</v>
          </cell>
        </row>
      </sheetData>
      <sheetData sheetId="6"/>
      <sheetData sheetId="7"/>
      <sheetData sheetId="8"/>
      <sheetData sheetId="9">
        <row r="24">
          <cell r="B24">
            <v>18904684.399999999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ROR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afasakin, Olumide O [M E]" id="{763CEFC2-4160-4D19-B67D-2553B998E999}" userId="S::olumideo@iastate.edu::23c341cc-7893-40ba-b601-648e9b14522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040172-2697-43A9-9725-8FF826B68ECB}" name="Table22" displayName="Table22" ref="B30:E46" totalsRowCount="1" headerRowDxfId="45" dataDxfId="43" headerRowBorderDxfId="44" tableBorderDxfId="42" totalsRowBorderDxfId="41">
  <autoFilter ref="B30:E45" xr:uid="{86040172-2697-43A9-9725-8FF826B68ECB}"/>
  <tableColumns count="4">
    <tableColumn id="1" xr3:uid="{C7DAFBDE-9901-483E-B023-7087FB95EDEA}" name="Data" totalsRowLabel="RNG Cost" dataDxfId="40" totalsRowDxfId="39"/>
    <tableColumn id="2" xr3:uid="{96398D4B-9AAD-44A2-8C89-DD2C9048C88E}" name="Cost ($)/year" totalsRowFunction="sum" dataDxfId="38" totalsRowDxfId="37"/>
    <tableColumn id="3" xr3:uid="{B18E0521-C0DA-4615-A1A0-40501FD124EE}" name="Cost ($)/mmbtu" totalsRowFunction="custom" dataDxfId="36" totalsRowDxfId="35" dataCellStyle="Comma">
      <totalsRowFormula>SUM(Table22[Cost ($)/mmbtu])</totalsRowFormula>
    </tableColumn>
    <tableColumn id="4" xr3:uid="{352EF153-2A1C-4C9E-90DE-EF8E7CAF2910}" name="Cost ($)/GJ" dataDxfId="34" totalsRowDxfId="33">
      <calculatedColumnFormula>Table22[[#This Row],[Cost ($)/mmbtu]]/$G$25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08BE3F-D802-4EA8-91A6-A2CFF9D7328E}" name="Table2" displayName="Table2" ref="E54:L69" totalsRowShown="0">
  <autoFilter ref="E54:L69" xr:uid="{C508BE3F-D802-4EA8-91A6-A2CFF9D7328E}"/>
  <tableColumns count="8">
    <tableColumn id="1" xr3:uid="{DBDF96E4-F072-4F10-8C85-34DCD2F9B69C}" name="Equipment Title" dataDxfId="32"/>
    <tableColumn id="2" xr3:uid="{417B7DCE-922A-4031-AAF1-10B14477C810}" name="Baseline Flow"/>
    <tableColumn id="3" xr3:uid="{C38F3DD9-668E-489A-A240-9ACDF991847C}" name="Scaled Flow" dataDxfId="31"/>
    <tableColumn id="4" xr3:uid="{42B417E3-136D-4D71-9EE7-9E0549781B40}" name="Units" dataDxfId="30"/>
    <tableColumn id="5" xr3:uid="{0CDDCA4A-E2D4-466A-8855-D00C2471ACA6}" name="Scaling Exponent" dataDxfId="29"/>
    <tableColumn id="6" xr3:uid="{7465DBB1-3B6A-4F34-A450-8EBE815E1522}" name="Base Cost" dataDxfId="28" dataCellStyle="Comma"/>
    <tableColumn id="7" xr3:uid="{16C2545B-815F-4E0D-863E-8663C60D4AF8}" name="Scaled Cost"/>
    <tableColumn id="8" xr3:uid="{1EEE5D18-94F7-406B-AD9C-8402950B4A0F}" name="Installed Capital Cos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C1D965-89B0-4B59-A899-36CD4C6E202A}" name="Table24" displayName="Table24" ref="E74:L89" totalsRowShown="0">
  <autoFilter ref="E74:L89" xr:uid="{32C1D965-89B0-4B59-A899-36CD4C6E202A}"/>
  <tableColumns count="8">
    <tableColumn id="1" xr3:uid="{F5D17F23-6A08-427A-AF34-157B9801E43B}" name="Equipment Title" dataDxfId="27"/>
    <tableColumn id="2" xr3:uid="{F80F2096-ACBD-4994-9DA7-CC10F29C2CD2}" name="Baseline Flow" dataDxfId="26"/>
    <tableColumn id="3" xr3:uid="{A428AC23-26B4-4D4C-823B-1C7327B02AAE}" name="Scaled Flow" dataDxfId="25">
      <calculatedColumnFormula>ROUND(G55,-3)</calculatedColumnFormula>
    </tableColumn>
    <tableColumn id="4" xr3:uid="{40A7E53C-9AAE-42D9-9AB3-02C875EF2B71}" name="Units" dataDxfId="24"/>
    <tableColumn id="5" xr3:uid="{D982A80F-4B16-4962-A20C-2BD435A863BE}" name="Scaling Exponent" dataDxfId="23"/>
    <tableColumn id="6" xr3:uid="{929F3D80-DDAD-432A-9038-D640D97D0949}" name="Base Cost" dataDxfId="22" dataCellStyle="Comma">
      <calculatedColumnFormula>ROUND(J55,-3)</calculatedColumnFormula>
    </tableColumn>
    <tableColumn id="7" xr3:uid="{DE2985BC-7412-4907-93CC-9420F052D9C5}" name="Scaled Cost">
      <calculatedColumnFormula>ROUND(K55,-3)</calculatedColumnFormula>
    </tableColumn>
    <tableColumn id="8" xr3:uid="{00D652ED-DCF5-454C-B1CE-79054C985F2D}" name="Installed Capital Cost">
      <calculatedColumnFormula>ROUND(L55,-3)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2-11-21T20:07:40.68" personId="{763CEFC2-4160-4D19-B67D-2553B998E999}" id="{061E7F7F-4CB6-4556-8D4C-DA1DA7451F3B}">
    <text>Initially calculated by dividing C by 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2-11-21T20:07:40.68" personId="{763CEFC2-4160-4D19-B67D-2553B998E999}" id="{A90FA627-BF01-4B70-9779-AE34D1D361CB}">
    <text>Initially calculated by dividing C by 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5.xml"/><Relationship Id="rId4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.wiley.com/doi/full/10.1002/ghg.1506?casa_token=ugRmsxDlXagAAAAA%3Aw1rskZEtQSRES-N_TSIANBP-53mFtkcMFaBAskgYuiE0Z18k5-_4ZNCm_8Nc_-qp0xSXrhJRa58tUwA" TargetMode="External"/><Relationship Id="rId7" Type="http://schemas.microsoft.com/office/2017/10/relationships/threadedComment" Target="../threadedComments/threadedComment2.xml"/><Relationship Id="rId2" Type="http://schemas.openxmlformats.org/officeDocument/2006/relationships/hyperlink" Target="https://www.anl.gov/sites/www/files/2020-11/RNG_for_Transportation_FAQs.pdf" TargetMode="External"/><Relationship Id="rId1" Type="http://schemas.openxmlformats.org/officeDocument/2006/relationships/hyperlink" Target="https://www.sciencedirect.com/science/article/pii/S0959652619320402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7.vml"/><Relationship Id="rId4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l.gov/sites/www/files/2020-11/RNG_for_Transportation_FAQs.pdf" TargetMode="External"/><Relationship Id="rId7" Type="http://schemas.openxmlformats.org/officeDocument/2006/relationships/comments" Target="../comments7.xml"/><Relationship Id="rId2" Type="http://schemas.openxmlformats.org/officeDocument/2006/relationships/hyperlink" Target="https://www.sciencedirect.com/science/article/pii/S0959652619320402" TargetMode="External"/><Relationship Id="rId1" Type="http://schemas.openxmlformats.org/officeDocument/2006/relationships/hyperlink" Target="https://www.sciencedirect.com/science/article/pii/S0959652619320402" TargetMode="External"/><Relationship Id="rId6" Type="http://schemas.openxmlformats.org/officeDocument/2006/relationships/vmlDrawing" Target="../drawings/vmlDrawing8.vml"/><Relationship Id="rId5" Type="http://schemas.openxmlformats.org/officeDocument/2006/relationships/drawing" Target="../drawings/drawing9.xml"/><Relationship Id="rId4" Type="http://schemas.openxmlformats.org/officeDocument/2006/relationships/hyperlink" Target="https://onlinelibrary.wiley.com/doi/full/10.1002/ghg.1506?casa_token=ugRmsxDlXagAAAAA%3Aw1rskZEtQSRES-N_TSIANBP-53mFtkcMFaBAskgYuiE0Z18k5-_4ZNCm_8Nc_-qp0xSXrhJRa58tUwA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data.bls.gov/cgi-bin/srga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.wiley.com/doi/full/10.1002/ghg.1506?casa_token=ugRmsxDlXagAAAAA%3Aw1rskZEtQSRES-N_TSIANBP-53mFtkcMFaBAskgYuiE0Z18k5-_4ZNCm_8Nc_-qp0xSXrhJRa58tUwA" TargetMode="External"/><Relationship Id="rId2" Type="http://schemas.openxmlformats.org/officeDocument/2006/relationships/hyperlink" Target="https://www.anl.gov/sites/www/files/2020-11/RNG_for_Transportation_FAQs.pdf" TargetMode="External"/><Relationship Id="rId1" Type="http://schemas.openxmlformats.org/officeDocument/2006/relationships/hyperlink" Target="https://www.sciencedirect.com/science/article/pii/S0959652619320402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www.sciencedirect.com/science/article/pii/S0959652619320402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s://www.sciencedirect.com/science/article/pii/S0959652619320402" TargetMode="External"/><Relationship Id="rId1" Type="http://schemas.openxmlformats.org/officeDocument/2006/relationships/hyperlink" Target="https://www.sciencedirect.com/science/article/pii/S0956053X18301673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bioenergy.inl.gov/Reports/Feedstock%20Supply%20System%20Design%20and%20Analysis.pdf" TargetMode="External"/><Relationship Id="rId4" Type="http://schemas.openxmlformats.org/officeDocument/2006/relationships/hyperlink" Target="https://link.springer.com/content/pdf/10.1007/s12010-007-9085-8.pdf" TargetMode="External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2:K31"/>
  <sheetViews>
    <sheetView topLeftCell="A25" zoomScale="125" zoomScaleNormal="125" workbookViewId="0">
      <selection activeCell="B5" sqref="B5"/>
    </sheetView>
  </sheetViews>
  <sheetFormatPr baseColWidth="10" defaultColWidth="8.83203125" defaultRowHeight="13"/>
  <cols>
    <col min="1" max="1" width="33.5" customWidth="1"/>
    <col min="2" max="2" width="22.5" customWidth="1"/>
    <col min="5" max="5" width="19" bestFit="1" customWidth="1"/>
    <col min="6" max="8" width="13.5" bestFit="1" customWidth="1"/>
    <col min="9" max="9" width="12.1640625" bestFit="1" customWidth="1"/>
    <col min="10" max="11" width="12.83203125" bestFit="1" customWidth="1"/>
  </cols>
  <sheetData>
    <row r="2" spans="1:11">
      <c r="A2" s="1" t="s">
        <v>0</v>
      </c>
      <c r="F2" s="1"/>
    </row>
    <row r="3" spans="1:11">
      <c r="A3" s="1" t="s">
        <v>1</v>
      </c>
      <c r="E3" s="22" t="s">
        <v>2</v>
      </c>
      <c r="F3" s="259" t="s">
        <v>3</v>
      </c>
      <c r="G3" s="259" t="s">
        <v>4</v>
      </c>
      <c r="H3" s="259" t="s">
        <v>5</v>
      </c>
      <c r="I3" s="259" t="s">
        <v>6</v>
      </c>
      <c r="J3" s="259" t="s">
        <v>7</v>
      </c>
      <c r="K3" s="259" t="s">
        <v>8</v>
      </c>
    </row>
    <row r="4" spans="1:11">
      <c r="A4" s="259" t="s">
        <v>9</v>
      </c>
      <c r="B4" s="324">
        <v>0</v>
      </c>
      <c r="E4" s="22" t="s">
        <v>9</v>
      </c>
      <c r="F4" s="324">
        <v>945</v>
      </c>
      <c r="G4" s="324">
        <v>1409</v>
      </c>
      <c r="H4" s="324">
        <v>1366.7975103392832</v>
      </c>
      <c r="I4" s="325">
        <v>2392</v>
      </c>
      <c r="J4" s="325">
        <v>3564</v>
      </c>
      <c r="K4" s="325">
        <v>3458</v>
      </c>
    </row>
    <row r="5" spans="1:11" ht="14">
      <c r="A5" s="211" t="s">
        <v>10</v>
      </c>
      <c r="B5" s="258">
        <v>20</v>
      </c>
      <c r="C5" s="249"/>
      <c r="E5" s="22" t="s">
        <v>10</v>
      </c>
      <c r="F5" s="258">
        <v>8.5259999999999998</v>
      </c>
      <c r="G5" s="22">
        <v>0</v>
      </c>
      <c r="H5" s="22">
        <v>0</v>
      </c>
      <c r="I5" s="258">
        <v>8.5259999999999998</v>
      </c>
      <c r="J5" s="22">
        <v>0</v>
      </c>
      <c r="K5" s="22">
        <v>0</v>
      </c>
    </row>
    <row r="6" spans="1:11" ht="14">
      <c r="A6" s="211" t="s">
        <v>11</v>
      </c>
      <c r="B6" s="22">
        <v>0</v>
      </c>
      <c r="E6" s="22" t="s">
        <v>11</v>
      </c>
      <c r="F6" s="22">
        <v>0</v>
      </c>
      <c r="G6" s="258">
        <v>8.5259999999999998</v>
      </c>
      <c r="H6" s="22">
        <v>0</v>
      </c>
      <c r="I6" s="22">
        <v>0</v>
      </c>
      <c r="J6" s="258">
        <v>8.5259999999999998</v>
      </c>
      <c r="K6" s="22">
        <v>0</v>
      </c>
    </row>
    <row r="7" spans="1:11" ht="14">
      <c r="A7" s="211" t="s">
        <v>12</v>
      </c>
      <c r="B7" s="22">
        <v>0</v>
      </c>
      <c r="E7" s="22" t="s">
        <v>12</v>
      </c>
      <c r="F7" s="22">
        <v>0</v>
      </c>
      <c r="G7" s="22">
        <v>0</v>
      </c>
      <c r="H7" s="258">
        <v>8.5259999999999998</v>
      </c>
      <c r="I7" s="22">
        <v>0</v>
      </c>
      <c r="J7" s="22">
        <v>0</v>
      </c>
      <c r="K7" s="258">
        <v>8.5259999999999998</v>
      </c>
    </row>
    <row r="8" spans="1:11" ht="14">
      <c r="A8" s="211" t="s">
        <v>13</v>
      </c>
      <c r="B8" s="258">
        <v>0</v>
      </c>
      <c r="E8" s="22" t="s">
        <v>13</v>
      </c>
      <c r="F8" s="258">
        <v>3.31</v>
      </c>
      <c r="G8" s="258">
        <v>4.93</v>
      </c>
      <c r="H8" s="258">
        <v>4.78</v>
      </c>
      <c r="I8" s="258">
        <v>0</v>
      </c>
      <c r="J8" s="258">
        <v>0</v>
      </c>
      <c r="K8" s="258">
        <v>0</v>
      </c>
    </row>
    <row r="9" spans="1:11" ht="14">
      <c r="A9" s="247" t="s">
        <v>14</v>
      </c>
      <c r="B9" s="248">
        <f>'Mass &amp; Energy'!E7</f>
        <v>0</v>
      </c>
      <c r="E9" s="22" t="s">
        <v>14</v>
      </c>
      <c r="F9" s="323">
        <v>33.075000000000003</v>
      </c>
      <c r="G9" s="323">
        <v>49.315000000000005</v>
      </c>
      <c r="H9" s="323">
        <v>47.837912861874919</v>
      </c>
      <c r="I9" s="323">
        <v>83.720000000000013</v>
      </c>
      <c r="J9" s="323">
        <v>124.74000000000001</v>
      </c>
      <c r="K9" s="323">
        <v>121.03000000000002</v>
      </c>
    </row>
    <row r="10" spans="1:11" ht="14">
      <c r="A10" s="247" t="s">
        <v>15</v>
      </c>
      <c r="B10" s="248">
        <f>'Mass &amp; Energy'!C1</f>
        <v>548.29778576399997</v>
      </c>
      <c r="C10" s="256"/>
      <c r="E10" s="22" t="s">
        <v>15</v>
      </c>
      <c r="F10" s="324">
        <v>949.9511174999999</v>
      </c>
      <c r="G10" s="324">
        <v>949.9264919374998</v>
      </c>
      <c r="H10" s="324">
        <v>949.73424240168004</v>
      </c>
      <c r="I10" s="324">
        <v>949.96028049999984</v>
      </c>
      <c r="J10" s="324">
        <v>949.90816593749969</v>
      </c>
      <c r="K10" s="324">
        <v>950.00036862499996</v>
      </c>
    </row>
    <row r="11" spans="1:11" ht="14">
      <c r="A11" s="247" t="s">
        <v>16</v>
      </c>
      <c r="B11" s="249">
        <v>0</v>
      </c>
      <c r="E11" s="260" t="s">
        <v>16</v>
      </c>
      <c r="F11" s="261">
        <v>2.4248832172614393E-2</v>
      </c>
      <c r="G11" s="262">
        <v>4.0352833732142747E-2</v>
      </c>
      <c r="H11" s="261">
        <v>4.003399963850765E-2</v>
      </c>
      <c r="I11" s="261">
        <v>2.3204599813934537E-2</v>
      </c>
      <c r="J11" s="262">
        <v>4.4750859589117252E-2</v>
      </c>
      <c r="K11" s="261">
        <v>4.4571480303399913E-2</v>
      </c>
    </row>
    <row r="12" spans="1:11" ht="16">
      <c r="A12" s="247" t="s">
        <v>17</v>
      </c>
      <c r="B12" s="250">
        <f>DCFROR!$B$38</f>
        <v>44443946.334192917</v>
      </c>
      <c r="E12" s="1" t="s">
        <v>18</v>
      </c>
      <c r="F12" s="326">
        <v>-45361.744500000001</v>
      </c>
      <c r="G12" s="326">
        <v>-94726.376900000003</v>
      </c>
      <c r="H12" s="326">
        <v>-94500.826000000001</v>
      </c>
      <c r="I12" s="327">
        <v>-7019.9880999999996</v>
      </c>
      <c r="J12" s="327">
        <v>-58938.9395</v>
      </c>
      <c r="K12" s="327">
        <v>-60801.6126</v>
      </c>
    </row>
    <row r="14" spans="1:11">
      <c r="F14" s="259" t="s">
        <v>3</v>
      </c>
      <c r="G14" s="259" t="s">
        <v>4</v>
      </c>
      <c r="H14" s="259" t="s">
        <v>5</v>
      </c>
      <c r="I14" s="259" t="s">
        <v>6</v>
      </c>
      <c r="J14" s="259" t="s">
        <v>7</v>
      </c>
      <c r="K14" s="259" t="s">
        <v>8</v>
      </c>
    </row>
    <row r="15" spans="1:11">
      <c r="E15" t="s">
        <v>19</v>
      </c>
      <c r="F15" s="327">
        <v>51307.593800000002</v>
      </c>
      <c r="G15" s="327">
        <v>76499.893800000005</v>
      </c>
      <c r="H15" s="327">
        <v>74208.562300000005</v>
      </c>
      <c r="I15" s="327">
        <v>129870.65</v>
      </c>
      <c r="J15" s="327">
        <v>193502.92499999999</v>
      </c>
      <c r="K15" s="327">
        <v>187747.78750000001</v>
      </c>
    </row>
    <row r="16" spans="1:11">
      <c r="E16" s="1" t="s">
        <v>20</v>
      </c>
      <c r="F16" s="328">
        <v>52903.83</v>
      </c>
      <c r="G16" s="329">
        <v>52903.83</v>
      </c>
      <c r="H16" s="328">
        <v>52903.83</v>
      </c>
      <c r="I16" s="330">
        <v>52903.83</v>
      </c>
      <c r="J16" s="330">
        <v>52903.83</v>
      </c>
      <c r="K16" s="330">
        <v>52903.83</v>
      </c>
    </row>
    <row r="17" spans="1:11">
      <c r="E17" t="s">
        <v>21</v>
      </c>
      <c r="F17" s="330">
        <v>0</v>
      </c>
      <c r="G17" s="330">
        <v>0</v>
      </c>
      <c r="H17" s="330">
        <v>0</v>
      </c>
      <c r="I17" s="330">
        <v>0</v>
      </c>
      <c r="J17" s="330">
        <v>0</v>
      </c>
      <c r="K17" s="330">
        <v>0</v>
      </c>
    </row>
    <row r="18" spans="1:11">
      <c r="B18" s="322"/>
      <c r="E18" t="s">
        <v>22</v>
      </c>
      <c r="F18" s="330">
        <v>7402.4557000000004</v>
      </c>
      <c r="G18" s="330">
        <v>9310.5306999999993</v>
      </c>
      <c r="H18" s="330">
        <v>9136.2945999999993</v>
      </c>
      <c r="I18" s="330">
        <v>11315.259599999999</v>
      </c>
      <c r="J18" s="330">
        <v>15137.6369</v>
      </c>
      <c r="K18" s="330">
        <v>14792.5476</v>
      </c>
    </row>
    <row r="19" spans="1:11">
      <c r="E19" t="s">
        <v>23</v>
      </c>
      <c r="F19" s="330">
        <v>-90787.430300000007</v>
      </c>
      <c r="G19" s="330">
        <v>-90784.679900000003</v>
      </c>
      <c r="H19" s="330">
        <v>-90763.207599999994</v>
      </c>
      <c r="I19" s="330">
        <v>-90788.453699999998</v>
      </c>
      <c r="J19" s="330">
        <v>-90782.633100000006</v>
      </c>
      <c r="K19" s="330">
        <v>-90792.931200000006</v>
      </c>
    </row>
    <row r="20" spans="1:11">
      <c r="E20" t="s">
        <v>24</v>
      </c>
      <c r="F20" s="330">
        <v>-52187.312599999997</v>
      </c>
      <c r="G20" s="330">
        <v>-65639.241500000004</v>
      </c>
      <c r="H20" s="330">
        <v>-64410.876700000001</v>
      </c>
      <c r="I20" s="330">
        <v>-79772.579899999997</v>
      </c>
      <c r="J20" s="330">
        <v>-106720.34020000001</v>
      </c>
      <c r="K20" s="330">
        <v>-104287.46090000001</v>
      </c>
    </row>
    <row r="21" spans="1:11">
      <c r="E21" t="s">
        <v>25</v>
      </c>
      <c r="F21" s="330">
        <v>-14000.880999999999</v>
      </c>
      <c r="G21" s="330">
        <v>-77016.710000000006</v>
      </c>
      <c r="H21" s="330">
        <v>-75575.428599999999</v>
      </c>
      <c r="I21" s="328">
        <v>-30548.694</v>
      </c>
      <c r="J21" s="328">
        <v>-122980.3582</v>
      </c>
      <c r="K21" s="328">
        <v>-121165.3857</v>
      </c>
    </row>
    <row r="22" spans="1:11">
      <c r="E22" t="s">
        <v>26</v>
      </c>
      <c r="F22" s="330">
        <v>218286.0502</v>
      </c>
      <c r="G22" s="330">
        <v>224895.69750000001</v>
      </c>
      <c r="H22" s="330">
        <v>224307.9191</v>
      </c>
      <c r="I22" s="330">
        <v>231356.8774</v>
      </c>
      <c r="J22" s="330">
        <v>242557.5649</v>
      </c>
      <c r="K22" s="330">
        <v>241594.7248</v>
      </c>
    </row>
    <row r="23" spans="1:11">
      <c r="E23" t="s">
        <v>27</v>
      </c>
      <c r="F23" s="330">
        <v>104138.7893</v>
      </c>
      <c r="G23" s="330">
        <v>104138.7893</v>
      </c>
      <c r="H23" s="330">
        <v>104138.7893</v>
      </c>
      <c r="I23" s="330">
        <v>104138.7893</v>
      </c>
      <c r="J23" s="330">
        <v>104138.7893</v>
      </c>
      <c r="K23" s="330">
        <v>104138.7893</v>
      </c>
    </row>
    <row r="24" spans="1:11">
      <c r="E24" t="s">
        <v>28</v>
      </c>
      <c r="F24" s="330">
        <v>49085.0432</v>
      </c>
      <c r="G24" s="330">
        <v>59650.198499999999</v>
      </c>
      <c r="H24" s="330">
        <v>59491.625399999997</v>
      </c>
      <c r="I24" s="330">
        <v>48180.590499999998</v>
      </c>
      <c r="J24" s="330">
        <v>61644.647799999999</v>
      </c>
      <c r="K24" s="330">
        <v>61570.601900000001</v>
      </c>
    </row>
    <row r="25" spans="1:11">
      <c r="E25" t="s">
        <v>29</v>
      </c>
      <c r="F25" s="330">
        <v>126545.36719999999</v>
      </c>
      <c r="G25" s="330">
        <v>158723.46179999999</v>
      </c>
      <c r="H25" s="330">
        <v>159152.64689999999</v>
      </c>
      <c r="I25" s="330">
        <v>76041.602700000003</v>
      </c>
      <c r="J25" s="330">
        <v>103270.9745</v>
      </c>
      <c r="K25" s="330">
        <v>106214.4722</v>
      </c>
    </row>
    <row r="27" spans="1:11">
      <c r="A27" s="1" t="s">
        <v>30</v>
      </c>
      <c r="B27" s="1" t="s">
        <v>31</v>
      </c>
    </row>
    <row r="28" spans="1:11">
      <c r="A28" s="1" t="s">
        <v>32</v>
      </c>
      <c r="B28" s="327">
        <v>-56900000</v>
      </c>
    </row>
    <row r="29" spans="1:11">
      <c r="A29" s="1" t="s">
        <v>33</v>
      </c>
      <c r="B29" s="327">
        <v>19600000</v>
      </c>
    </row>
    <row r="30" spans="1:11">
      <c r="A30" s="1" t="s">
        <v>34</v>
      </c>
      <c r="B30" s="327">
        <v>179000000</v>
      </c>
    </row>
    <row r="31" spans="1:11">
      <c r="A31" s="1" t="s">
        <v>35</v>
      </c>
      <c r="B31" s="327">
        <v>257000000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Button 1">
              <controlPr defaultSize="0" print="0" autoFill="0" autoPict="0" macro="[0]!cmd_SolveIRR_Click">
                <anchor moveWithCells="1" sizeWithCells="1">
                  <from>
                    <xdr:col>1</xdr:col>
                    <xdr:colOff>38100</xdr:colOff>
                    <xdr:row>13</xdr:row>
                    <xdr:rowOff>152400</xdr:rowOff>
                  </from>
                  <to>
                    <xdr:col>3</xdr:col>
                    <xdr:colOff>0</xdr:colOff>
                    <xdr:row>15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1B198D2-9BDF-465A-82C1-D31DB3A0DA69}">
            <xm:f>NOT(ISERROR(SEARCH("=",A5)))</xm:f>
            <xm:f>"="</xm:f>
            <x14:dxf>
              <font>
                <b/>
                <i val="0"/>
                <color theme="5"/>
              </font>
            </x14:dxf>
          </x14:cfRule>
          <x14:cfRule type="beginsWith" priority="2" operator="beginsWith" id="{6FD5B3CF-AFF6-4EE0-9030-DC37348B596B}">
            <xm:f>LEFT(A5,LEN("="))="="</xm:f>
            <xm:f>"="</xm:f>
            <x14:dxf>
              <font>
                <color theme="5"/>
              </font>
              <fill>
                <patternFill>
                  <bgColor theme="0"/>
                </patternFill>
              </fill>
            </x14:dxf>
          </x14:cfRule>
          <xm:sqref>A5:A12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T89"/>
  <sheetViews>
    <sheetView topLeftCell="C22" workbookViewId="0">
      <selection activeCell="K40" sqref="K40"/>
    </sheetView>
  </sheetViews>
  <sheetFormatPr baseColWidth="10" defaultColWidth="8.83203125" defaultRowHeight="13"/>
  <cols>
    <col min="2" max="2" width="41.1640625" customWidth="1"/>
    <col min="3" max="3" width="28.5" customWidth="1"/>
    <col min="4" max="4" width="34.1640625" bestFit="1" customWidth="1"/>
    <col min="5" max="5" width="43.1640625" bestFit="1" customWidth="1"/>
    <col min="6" max="6" width="16.5" customWidth="1"/>
    <col min="7" max="7" width="14.83203125" style="24" customWidth="1"/>
    <col min="8" max="8" width="16.83203125" style="24" bestFit="1" customWidth="1"/>
    <col min="9" max="9" width="17.6640625" style="24" customWidth="1"/>
    <col min="10" max="10" width="23.1640625" style="25" bestFit="1" customWidth="1"/>
    <col min="11" max="11" width="18.83203125" bestFit="1" customWidth="1"/>
    <col min="12" max="12" width="20.6640625" customWidth="1"/>
    <col min="13" max="13" width="12.5" bestFit="1" customWidth="1"/>
    <col min="14" max="14" width="28" bestFit="1" customWidth="1"/>
    <col min="15" max="15" width="14" bestFit="1" customWidth="1"/>
    <col min="16" max="16" width="14" customWidth="1"/>
    <col min="17" max="18" width="12.5" bestFit="1" customWidth="1"/>
    <col min="19" max="19" width="14" bestFit="1" customWidth="1"/>
    <col min="20" max="20" width="14.83203125" bestFit="1" customWidth="1"/>
    <col min="21" max="21" width="8.5" customWidth="1"/>
    <col min="22" max="22" width="7.1640625" customWidth="1"/>
    <col min="23" max="23" width="11.5" bestFit="1" customWidth="1"/>
  </cols>
  <sheetData>
    <row r="1" spans="1:18">
      <c r="C1" t="s">
        <v>350</v>
      </c>
      <c r="E1">
        <v>297.87</v>
      </c>
      <c r="F1" t="s">
        <v>351</v>
      </c>
      <c r="H1" s="24" t="s">
        <v>352</v>
      </c>
      <c r="I1" s="24">
        <v>1.02</v>
      </c>
      <c r="K1" t="s">
        <v>353</v>
      </c>
      <c r="L1">
        <v>2011</v>
      </c>
      <c r="M1">
        <v>585.70000000000005</v>
      </c>
      <c r="O1">
        <v>2021</v>
      </c>
      <c r="P1">
        <v>708</v>
      </c>
      <c r="Q1">
        <v>2018</v>
      </c>
      <c r="R1">
        <v>603.1</v>
      </c>
    </row>
    <row r="2" spans="1:18">
      <c r="A2" t="s">
        <v>764</v>
      </c>
      <c r="B2">
        <v>2</v>
      </c>
      <c r="L2">
        <v>2018</v>
      </c>
      <c r="M2" s="369">
        <v>603.1</v>
      </c>
      <c r="O2">
        <v>2020</v>
      </c>
      <c r="P2">
        <v>596.20000000000005</v>
      </c>
    </row>
    <row r="3" spans="1:18">
      <c r="M3">
        <f>M2/M1</f>
        <v>1.0297080416595525</v>
      </c>
      <c r="O3">
        <v>2019</v>
      </c>
      <c r="P3">
        <v>607.5</v>
      </c>
    </row>
    <row r="4" spans="1:18">
      <c r="A4" s="1" t="s">
        <v>354</v>
      </c>
      <c r="B4" s="1" t="s">
        <v>355</v>
      </c>
      <c r="C4" t="s">
        <v>356</v>
      </c>
      <c r="D4" t="s">
        <v>357</v>
      </c>
      <c r="E4" t="s">
        <v>358</v>
      </c>
      <c r="F4" t="s">
        <v>359</v>
      </c>
      <c r="G4" t="s">
        <v>360</v>
      </c>
      <c r="H4" s="24" t="s">
        <v>361</v>
      </c>
      <c r="I4" s="27" t="s">
        <v>362</v>
      </c>
      <c r="J4" s="176" t="s">
        <v>363</v>
      </c>
      <c r="K4" s="25" t="s">
        <v>364</v>
      </c>
    </row>
    <row r="5" spans="1:18" s="218" customFormat="1">
      <c r="A5" s="218">
        <v>1</v>
      </c>
      <c r="B5" s="219" t="s">
        <v>71</v>
      </c>
      <c r="C5" s="218" t="s">
        <v>72</v>
      </c>
      <c r="D5" s="218" t="s">
        <v>72</v>
      </c>
      <c r="E5" s="220">
        <v>500</v>
      </c>
      <c r="F5" s="231">
        <f>'Mass &amp; Energy'!C1</f>
        <v>548.29778576399997</v>
      </c>
      <c r="G5" s="219" t="s">
        <v>365</v>
      </c>
      <c r="H5" s="222">
        <v>0.72</v>
      </c>
      <c r="I5" s="218">
        <f>1136*E5</f>
        <v>568000</v>
      </c>
      <c r="J5" s="221">
        <f>I5*((F5/E5)^H5)*A5</f>
        <v>606990.37821793801</v>
      </c>
      <c r="K5" s="231">
        <f>J5*$I$1</f>
        <v>619130.18578229682</v>
      </c>
    </row>
    <row r="6" spans="1:18" s="223" customFormat="1">
      <c r="A6" s="223">
        <f>$B$2</f>
        <v>2</v>
      </c>
      <c r="B6" s="224" t="s">
        <v>44</v>
      </c>
      <c r="C6" s="225" t="s">
        <v>366</v>
      </c>
      <c r="D6" s="225" t="s">
        <v>46</v>
      </c>
      <c r="E6" s="225">
        <f t="shared" ref="E6:E15" si="0">393100*24/1000</f>
        <v>9434.4</v>
      </c>
      <c r="F6" s="226">
        <f>('Mass &amp; Energy'!$K$12+'Mass &amp; Energy'!$L$12)/$B$2</f>
        <v>179.42217647058823</v>
      </c>
      <c r="G6" s="225" t="s">
        <v>351</v>
      </c>
      <c r="H6" s="227">
        <v>0.6</v>
      </c>
      <c r="I6" s="228">
        <v>27000000</v>
      </c>
      <c r="J6" s="221">
        <f t="shared" ref="J6:J30" si="1">I6*((F6/E6)^H6)*A6</f>
        <v>5010612.9999318309</v>
      </c>
      <c r="K6" s="231">
        <f t="shared" ref="K6:K32" si="2">J6*$I$1</f>
        <v>5110825.2599304672</v>
      </c>
    </row>
    <row r="7" spans="1:18" s="223" customFormat="1">
      <c r="A7" s="223">
        <f t="shared" ref="A7:A11" si="3">$B$2</f>
        <v>2</v>
      </c>
      <c r="B7" s="224" t="s">
        <v>44</v>
      </c>
      <c r="C7" s="223" t="s">
        <v>367</v>
      </c>
      <c r="D7" s="223" t="s">
        <v>49</v>
      </c>
      <c r="E7" s="225">
        <f t="shared" si="0"/>
        <v>9434.4</v>
      </c>
      <c r="F7" s="226">
        <f>('Mass &amp; Energy'!$K$12+('Mass &amp; Energy'!$L$12))/$B$2</f>
        <v>179.42217647058823</v>
      </c>
      <c r="G7" s="223" t="s">
        <v>351</v>
      </c>
      <c r="H7" s="230">
        <v>0.6</v>
      </c>
      <c r="I7" s="229">
        <v>231488</v>
      </c>
      <c r="J7" s="221">
        <f t="shared" si="1"/>
        <v>42959.140078822951</v>
      </c>
      <c r="K7" s="231">
        <f t="shared" si="2"/>
        <v>43818.322880399413</v>
      </c>
    </row>
    <row r="8" spans="1:18" s="223" customFormat="1">
      <c r="A8" s="223">
        <f t="shared" si="3"/>
        <v>2</v>
      </c>
      <c r="B8" s="224" t="s">
        <v>44</v>
      </c>
      <c r="C8" s="223" t="s">
        <v>368</v>
      </c>
      <c r="D8" s="223" t="s">
        <v>51</v>
      </c>
      <c r="E8" s="225">
        <f t="shared" si="0"/>
        <v>9434.4</v>
      </c>
      <c r="F8" s="226">
        <f>('Mass &amp; Energy'!$K$12+('Mass &amp; Energy'!$L$12))/$B$2</f>
        <v>179.42217647058823</v>
      </c>
      <c r="G8" s="223" t="s">
        <v>351</v>
      </c>
      <c r="H8" s="230">
        <v>0.6</v>
      </c>
      <c r="I8" s="229" t="s">
        <v>369</v>
      </c>
      <c r="J8" s="221"/>
      <c r="K8" s="231">
        <f t="shared" si="2"/>
        <v>0</v>
      </c>
    </row>
    <row r="9" spans="1:18" s="223" customFormat="1">
      <c r="A9" s="223">
        <f t="shared" si="3"/>
        <v>2</v>
      </c>
      <c r="B9" s="224" t="s">
        <v>44</v>
      </c>
      <c r="C9" s="223" t="s">
        <v>370</v>
      </c>
      <c r="D9" s="223" t="s">
        <v>57</v>
      </c>
      <c r="E9" s="225">
        <f t="shared" si="0"/>
        <v>9434.4</v>
      </c>
      <c r="F9" s="226">
        <f>('Mass &amp; Energy'!$K$12+('Mass &amp; Energy'!$L$12))/$B$2</f>
        <v>179.42217647058823</v>
      </c>
      <c r="G9" s="223" t="s">
        <v>351</v>
      </c>
      <c r="H9" s="230">
        <v>0.6</v>
      </c>
      <c r="I9" s="229">
        <v>93300</v>
      </c>
      <c r="J9" s="221">
        <f t="shared" si="1"/>
        <v>17314.451588653326</v>
      </c>
      <c r="K9" s="231">
        <f t="shared" si="2"/>
        <v>17660.740620426393</v>
      </c>
    </row>
    <row r="10" spans="1:18" s="223" customFormat="1">
      <c r="A10" s="223">
        <f t="shared" si="3"/>
        <v>2</v>
      </c>
      <c r="B10" s="224" t="s">
        <v>44</v>
      </c>
      <c r="C10" s="223" t="s">
        <v>371</v>
      </c>
      <c r="D10" s="223" t="s">
        <v>56</v>
      </c>
      <c r="E10" s="225">
        <f t="shared" si="0"/>
        <v>9434.4</v>
      </c>
      <c r="F10" s="226">
        <f>('Mass &amp; Energy'!$K$12+('Mass &amp; Energy'!$L$12))/$B$2</f>
        <v>179.42217647058823</v>
      </c>
      <c r="G10" s="223" t="s">
        <v>351</v>
      </c>
      <c r="H10" s="230">
        <v>0.6</v>
      </c>
      <c r="I10" s="229" t="s">
        <v>369</v>
      </c>
      <c r="J10" s="221"/>
      <c r="K10" s="231">
        <f t="shared" si="2"/>
        <v>0</v>
      </c>
    </row>
    <row r="11" spans="1:18" s="223" customFormat="1">
      <c r="A11" s="223">
        <f t="shared" si="3"/>
        <v>2</v>
      </c>
      <c r="B11" s="224" t="s">
        <v>44</v>
      </c>
      <c r="D11" s="224" t="s">
        <v>372</v>
      </c>
      <c r="E11" s="248">
        <f>('Mass &amp; Energy'!$L$1*'Mass &amp; Energy'!$L$12)*'Mass &amp; Energy'!$C$3/24</f>
        <v>12007721.508231601</v>
      </c>
      <c r="F11" s="248">
        <f>'Mass &amp; Energy'!$J$13*1000*0.716*'Mass &amp; Energy'!$C$3/24/$B$2</f>
        <v>2885068.5583646572</v>
      </c>
      <c r="G11" s="24" t="s">
        <v>373</v>
      </c>
      <c r="H11" s="24">
        <v>0.72</v>
      </c>
      <c r="I11" s="221">
        <v>5203252.5712059913</v>
      </c>
      <c r="J11" s="221">
        <f t="shared" si="1"/>
        <v>3727397.2928238092</v>
      </c>
      <c r="K11" s="231">
        <f t="shared" si="2"/>
        <v>3801945.2386802854</v>
      </c>
    </row>
    <row r="12" spans="1:18" s="232" customFormat="1">
      <c r="A12" s="232">
        <v>1</v>
      </c>
      <c r="B12" s="233" t="s">
        <v>59</v>
      </c>
      <c r="C12" s="232" t="s">
        <v>374</v>
      </c>
      <c r="D12" s="232" t="s">
        <v>63</v>
      </c>
      <c r="E12" s="234">
        <f t="shared" si="0"/>
        <v>9434.4</v>
      </c>
      <c r="F12" s="226">
        <f>('Mass &amp; Energy'!$K$12+('Mass &amp; Energy'!$L$12))/$B$2</f>
        <v>179.42217647058823</v>
      </c>
      <c r="G12" s="232" t="s">
        <v>351</v>
      </c>
      <c r="H12" s="235">
        <v>0.6</v>
      </c>
      <c r="I12" s="236" t="s">
        <v>369</v>
      </c>
      <c r="J12" s="221"/>
      <c r="K12" s="231">
        <f t="shared" si="2"/>
        <v>0</v>
      </c>
    </row>
    <row r="13" spans="1:18" s="232" customFormat="1">
      <c r="A13" s="232">
        <v>1</v>
      </c>
      <c r="B13" s="233" t="s">
        <v>59</v>
      </c>
      <c r="C13" s="232" t="s">
        <v>375</v>
      </c>
      <c r="D13" s="232" t="s">
        <v>62</v>
      </c>
      <c r="E13" s="234">
        <f t="shared" si="0"/>
        <v>9434.4</v>
      </c>
      <c r="F13" s="226">
        <f>('Mass &amp; Energy'!$K$12+('Mass &amp; Energy'!$L$12))/$B$2</f>
        <v>179.42217647058823</v>
      </c>
      <c r="G13" s="232" t="s">
        <v>351</v>
      </c>
      <c r="H13" s="235">
        <v>0.6</v>
      </c>
      <c r="I13" s="236">
        <v>25000</v>
      </c>
      <c r="J13" s="221">
        <f t="shared" si="1"/>
        <v>2319.7282407091811</v>
      </c>
      <c r="K13" s="231">
        <f t="shared" si="2"/>
        <v>2366.1228055233646</v>
      </c>
    </row>
    <row r="14" spans="1:18" s="232" customFormat="1">
      <c r="A14" s="232">
        <v>1</v>
      </c>
      <c r="B14" s="233" t="s">
        <v>59</v>
      </c>
      <c r="C14" s="232" t="s">
        <v>376</v>
      </c>
      <c r="D14" s="232" t="s">
        <v>65</v>
      </c>
      <c r="E14" s="234">
        <f t="shared" si="0"/>
        <v>9434.4</v>
      </c>
      <c r="F14" s="226">
        <f>('Mass &amp; Energy'!$K$12+('Mass &amp; Energy'!$L$12))/$B$2</f>
        <v>179.42217647058823</v>
      </c>
      <c r="G14" s="232" t="s">
        <v>351</v>
      </c>
      <c r="H14" s="235">
        <v>0.6</v>
      </c>
      <c r="I14" s="236">
        <v>32955</v>
      </c>
      <c r="J14" s="221">
        <f t="shared" si="1"/>
        <v>3057.8657669028426</v>
      </c>
      <c r="K14" s="231">
        <f t="shared" si="2"/>
        <v>3119.0230822408994</v>
      </c>
    </row>
    <row r="15" spans="1:18" s="237" customFormat="1">
      <c r="A15" s="237">
        <v>1</v>
      </c>
      <c r="B15" s="238" t="s">
        <v>73</v>
      </c>
      <c r="C15" s="237" t="s">
        <v>377</v>
      </c>
      <c r="D15" s="237" t="s">
        <v>74</v>
      </c>
      <c r="E15" s="239">
        <f t="shared" si="0"/>
        <v>9434.4</v>
      </c>
      <c r="F15" s="226">
        <f>('Mass &amp; Energy'!$K$12+('Mass &amp; Energy'!$L$12))/$B$2</f>
        <v>179.42217647058823</v>
      </c>
      <c r="G15" s="237" t="s">
        <v>351</v>
      </c>
      <c r="H15" s="241">
        <v>0.6</v>
      </c>
      <c r="I15" s="242" t="s">
        <v>369</v>
      </c>
      <c r="J15" s="221"/>
      <c r="K15" s="231">
        <f t="shared" si="2"/>
        <v>0</v>
      </c>
    </row>
    <row r="16" spans="1:18" s="237" customFormat="1">
      <c r="A16" s="237">
        <v>1</v>
      </c>
      <c r="B16" s="238" t="s">
        <v>73</v>
      </c>
      <c r="C16" s="238" t="s">
        <v>378</v>
      </c>
      <c r="D16" s="238" t="s">
        <v>75</v>
      </c>
      <c r="E16" s="239"/>
      <c r="F16" s="240"/>
      <c r="H16" s="241"/>
      <c r="J16" s="243"/>
      <c r="K16" s="231">
        <f t="shared" si="2"/>
        <v>0</v>
      </c>
    </row>
    <row r="17" spans="1:20">
      <c r="A17">
        <v>0</v>
      </c>
      <c r="B17" s="1" t="s">
        <v>44</v>
      </c>
      <c r="C17" t="s">
        <v>379</v>
      </c>
      <c r="D17" t="s">
        <v>45</v>
      </c>
      <c r="E17" s="213">
        <f t="shared" ref="E17:E27" si="4">393100*24/1000</f>
        <v>9434.4</v>
      </c>
      <c r="F17" s="214">
        <f>('Mass &amp; Energy'!$K$12+('Mass &amp; Energy'!$L$12))</f>
        <v>358.84435294117645</v>
      </c>
      <c r="G17" t="s">
        <v>351</v>
      </c>
      <c r="H17" s="24">
        <v>0.6</v>
      </c>
      <c r="I17" s="25">
        <v>2700000</v>
      </c>
      <c r="J17" s="221">
        <f t="shared" si="1"/>
        <v>0</v>
      </c>
      <c r="K17" s="231">
        <f t="shared" si="2"/>
        <v>0</v>
      </c>
    </row>
    <row r="18" spans="1:20">
      <c r="A18">
        <v>0</v>
      </c>
      <c r="B18" s="1" t="s">
        <v>44</v>
      </c>
      <c r="C18" t="s">
        <v>380</v>
      </c>
      <c r="D18" t="s">
        <v>47</v>
      </c>
      <c r="E18" s="213">
        <f t="shared" si="4"/>
        <v>9434.4</v>
      </c>
      <c r="F18" s="214">
        <f>('Mass &amp; Energy'!$K$12+('Mass &amp; Energy'!$L$12))</f>
        <v>358.84435294117645</v>
      </c>
      <c r="G18" t="s">
        <v>351</v>
      </c>
      <c r="H18" s="24">
        <v>0.6</v>
      </c>
      <c r="I18" s="25">
        <v>83863</v>
      </c>
      <c r="J18" s="221">
        <f t="shared" si="1"/>
        <v>0</v>
      </c>
      <c r="K18" s="231">
        <f t="shared" si="2"/>
        <v>0</v>
      </c>
    </row>
    <row r="19" spans="1:20">
      <c r="A19">
        <v>0</v>
      </c>
      <c r="B19" s="1" t="s">
        <v>44</v>
      </c>
      <c r="C19" t="s">
        <v>381</v>
      </c>
      <c r="D19" t="s">
        <v>52</v>
      </c>
      <c r="E19" s="213">
        <f t="shared" si="4"/>
        <v>9434.4</v>
      </c>
      <c r="F19" s="214">
        <f>('Mass &amp; Energy'!$K$12+('Mass &amp; Energy'!$L$12))</f>
        <v>358.84435294117645</v>
      </c>
      <c r="G19" t="s">
        <v>351</v>
      </c>
      <c r="H19" s="24">
        <v>0.6</v>
      </c>
      <c r="I19" s="25">
        <v>22800</v>
      </c>
      <c r="J19" s="221">
        <f t="shared" si="1"/>
        <v>0</v>
      </c>
      <c r="K19" s="231">
        <f t="shared" si="2"/>
        <v>0</v>
      </c>
      <c r="N19" s="684" t="s">
        <v>382</v>
      </c>
      <c r="O19" s="684"/>
      <c r="P19" s="413"/>
      <c r="Q19" t="s">
        <v>383</v>
      </c>
      <c r="R19" t="s">
        <v>384</v>
      </c>
      <c r="S19" t="s">
        <v>385</v>
      </c>
    </row>
    <row r="20" spans="1:20">
      <c r="A20">
        <v>0</v>
      </c>
      <c r="B20" s="1" t="s">
        <v>44</v>
      </c>
      <c r="C20" t="s">
        <v>386</v>
      </c>
      <c r="D20" t="s">
        <v>54</v>
      </c>
      <c r="E20" s="213">
        <f t="shared" si="4"/>
        <v>9434.4</v>
      </c>
      <c r="F20" s="214">
        <f>('Mass &amp; Energy'!$K$12+('Mass &amp; Energy'!$L$12))</f>
        <v>358.84435294117645</v>
      </c>
      <c r="G20" t="s">
        <v>351</v>
      </c>
      <c r="H20" s="24">
        <v>0.6</v>
      </c>
      <c r="I20" s="25">
        <v>5248750</v>
      </c>
      <c r="J20" s="221">
        <f t="shared" si="1"/>
        <v>0</v>
      </c>
      <c r="K20" s="231">
        <f t="shared" si="2"/>
        <v>0</v>
      </c>
      <c r="N20" t="s">
        <v>387</v>
      </c>
      <c r="O20" s="334">
        <v>1500000</v>
      </c>
      <c r="P20" s="334">
        <f>O20</f>
        <v>1500000</v>
      </c>
      <c r="Q20" t="s">
        <v>388</v>
      </c>
      <c r="R20">
        <v>0.96259703599153146</v>
      </c>
      <c r="S20" s="335">
        <f>R20*P20</f>
        <v>1443895.5539872972</v>
      </c>
    </row>
    <row r="21" spans="1:20">
      <c r="A21">
        <v>0</v>
      </c>
      <c r="B21" s="1" t="s">
        <v>44</v>
      </c>
      <c r="C21" t="s">
        <v>389</v>
      </c>
      <c r="D21" t="s">
        <v>55</v>
      </c>
      <c r="E21" s="213">
        <f t="shared" si="4"/>
        <v>9434.4</v>
      </c>
      <c r="F21" s="214">
        <f>('Mass &amp; Energy'!$K$12+('Mass &amp; Energy'!$L$12))</f>
        <v>358.84435294117645</v>
      </c>
      <c r="G21" t="s">
        <v>351</v>
      </c>
      <c r="H21" s="24">
        <v>0.6</v>
      </c>
      <c r="I21" s="25">
        <v>2210979</v>
      </c>
      <c r="J21" s="221">
        <f t="shared" si="1"/>
        <v>0</v>
      </c>
      <c r="K21" s="231">
        <f t="shared" si="2"/>
        <v>0</v>
      </c>
      <c r="P21" s="334"/>
      <c r="T21" t="s">
        <v>390</v>
      </c>
    </row>
    <row r="22" spans="1:20">
      <c r="A22">
        <v>0</v>
      </c>
      <c r="B22" s="1" t="s">
        <v>44</v>
      </c>
      <c r="C22" t="s">
        <v>391</v>
      </c>
      <c r="D22" t="s">
        <v>53</v>
      </c>
      <c r="E22" s="213">
        <f t="shared" si="4"/>
        <v>9434.4</v>
      </c>
      <c r="F22" s="214">
        <f>('Mass &amp; Energy'!$K$12+('Mass &amp; Energy'!$L$12))</f>
        <v>358.84435294117645</v>
      </c>
      <c r="G22" t="s">
        <v>351</v>
      </c>
      <c r="H22" s="24">
        <v>0.6</v>
      </c>
      <c r="I22" s="25">
        <v>6493500</v>
      </c>
      <c r="J22" s="221">
        <f t="shared" si="1"/>
        <v>0</v>
      </c>
      <c r="K22" s="231">
        <f t="shared" si="2"/>
        <v>0</v>
      </c>
      <c r="N22" t="s">
        <v>392</v>
      </c>
      <c r="O22" s="334"/>
      <c r="P22" s="334"/>
    </row>
    <row r="23" spans="1:20">
      <c r="A23">
        <v>0</v>
      </c>
      <c r="B23" s="1" t="s">
        <v>59</v>
      </c>
      <c r="C23" t="s">
        <v>393</v>
      </c>
      <c r="D23" t="s">
        <v>60</v>
      </c>
      <c r="E23" s="213">
        <f t="shared" si="4"/>
        <v>9434.4</v>
      </c>
      <c r="F23" s="214">
        <f>('Mass &amp; Energy'!$K$12+('Mass &amp; Energy'!$L$12))</f>
        <v>358.84435294117645</v>
      </c>
      <c r="G23" t="s">
        <v>351</v>
      </c>
      <c r="H23" s="24">
        <v>0.6</v>
      </c>
      <c r="I23" s="25">
        <v>1933750</v>
      </c>
      <c r="J23" s="221">
        <f t="shared" si="1"/>
        <v>0</v>
      </c>
      <c r="K23" s="231">
        <f t="shared" si="2"/>
        <v>0</v>
      </c>
      <c r="N23" t="s">
        <v>394</v>
      </c>
      <c r="O23" s="334">
        <f>0.2*O20</f>
        <v>300000</v>
      </c>
      <c r="P23" s="334"/>
      <c r="Q23" s="319">
        <v>0.04</v>
      </c>
    </row>
    <row r="24" spans="1:20">
      <c r="A24">
        <v>0</v>
      </c>
      <c r="B24" s="1" t="s">
        <v>59</v>
      </c>
      <c r="C24" t="s">
        <v>395</v>
      </c>
      <c r="D24" t="s">
        <v>68</v>
      </c>
      <c r="E24" s="213">
        <f t="shared" si="4"/>
        <v>9434.4</v>
      </c>
      <c r="F24" s="214">
        <f>('Mass &amp; Energy'!$K$12+('Mass &amp; Energy'!$L$12))</f>
        <v>358.84435294117645</v>
      </c>
      <c r="G24" t="s">
        <v>351</v>
      </c>
      <c r="H24" s="24">
        <v>0.6</v>
      </c>
      <c r="I24" s="25">
        <v>3801095</v>
      </c>
      <c r="J24" s="221">
        <f t="shared" si="1"/>
        <v>0</v>
      </c>
      <c r="K24" s="231">
        <f t="shared" si="2"/>
        <v>0</v>
      </c>
      <c r="N24" s="1" t="s">
        <v>396</v>
      </c>
      <c r="O24" s="334">
        <f>Q23*O23</f>
        <v>12000</v>
      </c>
      <c r="P24" s="334"/>
    </row>
    <row r="25" spans="1:20">
      <c r="A25">
        <v>0</v>
      </c>
      <c r="B25" s="1" t="s">
        <v>59</v>
      </c>
      <c r="C25" t="s">
        <v>397</v>
      </c>
      <c r="D25" t="s">
        <v>69</v>
      </c>
      <c r="E25" s="213">
        <f t="shared" si="4"/>
        <v>9434.4</v>
      </c>
      <c r="F25" s="214">
        <f>('Mass &amp; Energy'!$K$12+('Mass &amp; Energy'!$L$12))</f>
        <v>358.84435294117645</v>
      </c>
      <c r="G25" t="s">
        <v>351</v>
      </c>
      <c r="H25" s="24">
        <v>0.6</v>
      </c>
      <c r="I25" s="25" t="s">
        <v>369</v>
      </c>
      <c r="J25" s="221"/>
      <c r="K25" s="231">
        <f t="shared" si="2"/>
        <v>0</v>
      </c>
      <c r="N25" t="s">
        <v>398</v>
      </c>
      <c r="O25" s="334">
        <v>120000</v>
      </c>
      <c r="P25" s="334"/>
    </row>
    <row r="26" spans="1:20">
      <c r="A26">
        <v>0</v>
      </c>
      <c r="B26" s="1" t="s">
        <v>59</v>
      </c>
      <c r="C26" t="s">
        <v>399</v>
      </c>
      <c r="D26" t="s">
        <v>67</v>
      </c>
      <c r="E26" s="213">
        <f t="shared" si="4"/>
        <v>9434.4</v>
      </c>
      <c r="F26" s="214">
        <f>('Mass &amp; Energy'!$K$12+('Mass &amp; Energy'!$L$12))</f>
        <v>358.84435294117645</v>
      </c>
      <c r="G26" t="s">
        <v>351</v>
      </c>
      <c r="H26" s="24">
        <v>0.6</v>
      </c>
      <c r="I26" s="25">
        <v>61200</v>
      </c>
      <c r="J26" s="221">
        <f t="shared" si="1"/>
        <v>0</v>
      </c>
      <c r="K26" s="231">
        <f t="shared" si="2"/>
        <v>0</v>
      </c>
      <c r="O26" s="334"/>
      <c r="P26" s="334">
        <f>SUM(O23:O25)</f>
        <v>432000</v>
      </c>
      <c r="R26">
        <v>0.98857672121025009</v>
      </c>
      <c r="S26" s="335">
        <f>R26*P26</f>
        <v>427065.14356282802</v>
      </c>
    </row>
    <row r="27" spans="1:20">
      <c r="B27" s="1" t="s">
        <v>59</v>
      </c>
      <c r="C27" t="s">
        <v>400</v>
      </c>
      <c r="D27" t="s">
        <v>66</v>
      </c>
      <c r="E27" s="213">
        <f t="shared" si="4"/>
        <v>9434.4</v>
      </c>
      <c r="F27" s="214">
        <f>('Mass &amp; Energy'!$K$12+('Mass &amp; Energy'!$L$12))</f>
        <v>358.84435294117645</v>
      </c>
      <c r="G27" t="s">
        <v>351</v>
      </c>
      <c r="H27" s="24">
        <v>0.6</v>
      </c>
      <c r="I27" s="25">
        <v>70800</v>
      </c>
      <c r="J27" s="221">
        <f t="shared" si="1"/>
        <v>0</v>
      </c>
      <c r="K27" s="231">
        <f t="shared" si="2"/>
        <v>0</v>
      </c>
      <c r="O27" s="334"/>
      <c r="P27" s="334"/>
      <c r="S27" s="335"/>
    </row>
    <row r="28" spans="1:20">
      <c r="A28">
        <v>1</v>
      </c>
      <c r="B28" s="25" t="s">
        <v>387</v>
      </c>
      <c r="E28" s="248">
        <f>('Mass &amp; Energy'!$L$1*'Mass &amp; Energy'!$L$12)*'Mass &amp; Energy'!$C$3/24</f>
        <v>12007721.508231601</v>
      </c>
      <c r="F28" s="248">
        <f>'Mass &amp; Energy'!$J$13*1000*0.716*'Mass &amp; Energy'!$C$3/24</f>
        <v>5770137.1167293144</v>
      </c>
      <c r="G28" s="24" t="s">
        <v>373</v>
      </c>
      <c r="H28" s="24">
        <v>0.72</v>
      </c>
      <c r="I28" s="343">
        <v>9348058.392207399</v>
      </c>
      <c r="J28" s="221">
        <f t="shared" si="1"/>
        <v>5515232.1243429249</v>
      </c>
      <c r="K28" s="231">
        <f t="shared" si="2"/>
        <v>5625536.7668297831</v>
      </c>
      <c r="N28" s="1" t="s">
        <v>401</v>
      </c>
      <c r="O28" s="334">
        <v>70700</v>
      </c>
      <c r="P28" s="334">
        <f>O28</f>
        <v>70700</v>
      </c>
      <c r="R28">
        <v>0.9911723543976747</v>
      </c>
      <c r="S28" s="335">
        <f>R28*P28</f>
        <v>70075.885455915603</v>
      </c>
    </row>
    <row r="29" spans="1:20">
      <c r="A29">
        <v>1</v>
      </c>
      <c r="B29" s="25" t="s">
        <v>392</v>
      </c>
      <c r="E29" s="248">
        <f>('Mass &amp; Energy'!$L$1*'Mass &amp; Energy'!$L$12)*'Mass &amp; Energy'!$C$3/24</f>
        <v>12007721.508231601</v>
      </c>
      <c r="F29" s="248">
        <f>'Mass &amp; Energy'!$J$13*1000*0.716*'Mass &amp; Energy'!$C$3/24</f>
        <v>5770137.1167293144</v>
      </c>
      <c r="G29" s="24" t="s">
        <v>373</v>
      </c>
      <c r="H29" s="24">
        <v>0.72</v>
      </c>
      <c r="I29" s="343">
        <v>2764902.1345604016</v>
      </c>
      <c r="J29" s="221">
        <f t="shared" si="1"/>
        <v>1631256.0783642065</v>
      </c>
      <c r="K29" s="231">
        <f t="shared" si="2"/>
        <v>1663881.1999314907</v>
      </c>
      <c r="N29" s="1" t="s">
        <v>402</v>
      </c>
      <c r="O29" s="334"/>
      <c r="P29" s="334"/>
    </row>
    <row r="30" spans="1:20">
      <c r="A30">
        <v>1</v>
      </c>
      <c r="B30" s="25" t="s">
        <v>403</v>
      </c>
      <c r="E30" s="248">
        <f>('Mass &amp; Energy'!$L$1*'Mass &amp; Energy'!$L$12)*'Mass &amp; Energy'!$C$3/24</f>
        <v>12007721.508231601</v>
      </c>
      <c r="F30" s="248">
        <f>'Mass &amp; Energy'!$J$13*1000*0.716*'Mass &amp; Energy'!$C$3/24</f>
        <v>5770137.1167293144</v>
      </c>
      <c r="G30" s="24" t="s">
        <v>373</v>
      </c>
      <c r="H30" s="24">
        <v>0.72</v>
      </c>
      <c r="I30" s="343">
        <v>453684.80242117238</v>
      </c>
      <c r="J30" s="221">
        <f t="shared" si="1"/>
        <v>267668.09658840526</v>
      </c>
      <c r="K30" s="231">
        <f t="shared" si="2"/>
        <v>273021.45852017339</v>
      </c>
      <c r="O30" s="334"/>
      <c r="P30" s="334"/>
    </row>
    <row r="31" spans="1:20">
      <c r="A31">
        <v>1</v>
      </c>
      <c r="B31" s="25" t="s">
        <v>404</v>
      </c>
      <c r="E31" s="248">
        <f>('Mass &amp; Energy'!$L$1*'Mass &amp; Energy'!$L$12)*'Mass &amp; Energy'!$C$3/24</f>
        <v>12007721.508231601</v>
      </c>
      <c r="F31" s="248">
        <f>'Mass &amp; Energy'!$J$13*1000*0.716*'Mass &amp; Energy'!$C$3/24</f>
        <v>5770137.1167293144</v>
      </c>
      <c r="G31" s="24" t="s">
        <v>373</v>
      </c>
      <c r="H31" s="24">
        <v>1</v>
      </c>
      <c r="I31" s="343">
        <v>1020408.1632653062</v>
      </c>
      <c r="J31" s="221">
        <f>I31</f>
        <v>1020408.1632653062</v>
      </c>
      <c r="K31" s="231">
        <f t="shared" si="2"/>
        <v>1040816.3265306123</v>
      </c>
      <c r="N31" t="s">
        <v>405</v>
      </c>
      <c r="O31" s="334">
        <f>0.04 * SUM(P20:P28)</f>
        <v>80108</v>
      </c>
      <c r="P31" s="334">
        <f>O31</f>
        <v>80108</v>
      </c>
      <c r="Q31" s="319">
        <v>0.04</v>
      </c>
    </row>
    <row r="32" spans="1:20">
      <c r="A32">
        <v>1</v>
      </c>
      <c r="B32" s="25" t="s">
        <v>406</v>
      </c>
      <c r="D32" s="1"/>
      <c r="E32" s="248">
        <f>('Mass &amp; Energy'!$L$1*'Mass &amp; Energy'!$L$12)*'Mass &amp; Energy'!$C$3/24</f>
        <v>12007721.508231601</v>
      </c>
      <c r="F32" s="248">
        <f>'Mass &amp; Energy'!$J$13*1000*0.716*'Mass &amp; Energy'!$C$3/24</f>
        <v>5770137.1167293144</v>
      </c>
      <c r="G32" s="24" t="s">
        <v>373</v>
      </c>
      <c r="H32" s="24">
        <v>1</v>
      </c>
      <c r="I32" s="343">
        <v>1299917.3973079051</v>
      </c>
      <c r="J32" s="221">
        <f>I32</f>
        <v>1299917.3973079051</v>
      </c>
      <c r="K32" s="231">
        <f t="shared" si="2"/>
        <v>1325915.7452540633</v>
      </c>
      <c r="N32" t="s">
        <v>407</v>
      </c>
      <c r="O32" s="334">
        <f>SUM(P20:P28) * L46</f>
        <v>158213.29999999999</v>
      </c>
      <c r="P32" s="334">
        <f t="shared" ref="P32:P34" si="5">O32</f>
        <v>158213.29999999999</v>
      </c>
    </row>
    <row r="33" spans="1:16">
      <c r="K33" s="26">
        <v>19528036.390000001</v>
      </c>
      <c r="N33" t="s">
        <v>408</v>
      </c>
      <c r="O33" s="334">
        <f>0.05*SUM(P20:P28)</f>
        <v>100135</v>
      </c>
      <c r="P33" s="334">
        <f t="shared" si="5"/>
        <v>100135</v>
      </c>
    </row>
    <row r="34" spans="1:16">
      <c r="B34" s="1" t="s">
        <v>409</v>
      </c>
      <c r="K34">
        <v>19528036.390847761</v>
      </c>
      <c r="N34" t="s">
        <v>410</v>
      </c>
      <c r="O34" s="335">
        <f>0.1* SUM(P20:P28)</f>
        <v>200270</v>
      </c>
      <c r="P34" s="334">
        <f t="shared" si="5"/>
        <v>200270</v>
      </c>
    </row>
    <row r="35" spans="1:16">
      <c r="B35" s="1" t="s">
        <v>411</v>
      </c>
      <c r="C35" s="1" t="s">
        <v>412</v>
      </c>
      <c r="F35" s="1" t="s">
        <v>418</v>
      </c>
      <c r="G35" s="244">
        <f>SUM(K6:K10)</f>
        <v>5172304.3234312935</v>
      </c>
      <c r="H35" s="25">
        <f>ROUND(G35,-2)</f>
        <v>5172300</v>
      </c>
      <c r="I35" s="580">
        <v>31248700</v>
      </c>
      <c r="K35" s="257">
        <f>SUM(K33)</f>
        <v>19528036.390000001</v>
      </c>
    </row>
    <row r="36" spans="1:16">
      <c r="F36" s="1" t="s">
        <v>419</v>
      </c>
      <c r="G36" s="244">
        <f>K5</f>
        <v>619130.18578229682</v>
      </c>
      <c r="H36" s="25">
        <f>ROUND(G36,-2)</f>
        <v>619100</v>
      </c>
      <c r="I36" s="581">
        <v>4000800</v>
      </c>
      <c r="J36"/>
      <c r="K36" s="257"/>
    </row>
    <row r="37" spans="1:16">
      <c r="A37" s="177"/>
      <c r="F37" s="1" t="s">
        <v>420</v>
      </c>
      <c r="G37" s="25">
        <f>SUM(K12:K14)</f>
        <v>5485.1458877642635</v>
      </c>
      <c r="H37" s="25">
        <f>ROUND(G37,-2)</f>
        <v>5500</v>
      </c>
      <c r="I37" s="581">
        <v>11000</v>
      </c>
      <c r="J37"/>
    </row>
    <row r="38" spans="1:16">
      <c r="F38" s="1" t="s">
        <v>421</v>
      </c>
      <c r="G38" s="25">
        <f>SUM(K15:K16)</f>
        <v>0</v>
      </c>
      <c r="H38" s="25">
        <f>ROUND(G38,-2)</f>
        <v>0</v>
      </c>
      <c r="I38" s="581">
        <v>0</v>
      </c>
      <c r="J38"/>
    </row>
    <row r="39" spans="1:16">
      <c r="F39" s="1" t="s">
        <v>382</v>
      </c>
      <c r="G39" s="244">
        <f>SUM(K28:K30)</f>
        <v>7562439.4252814474</v>
      </c>
      <c r="H39" s="25">
        <f t="shared" ref="H39:H40" si="6">ROUND(G39,-2)</f>
        <v>7562400</v>
      </c>
      <c r="I39" s="581">
        <v>8481600</v>
      </c>
      <c r="J39"/>
    </row>
    <row r="40" spans="1:16">
      <c r="F40" s="1" t="s">
        <v>759</v>
      </c>
      <c r="G40" s="180">
        <f>SUM(K31:K32)</f>
        <v>2366732.0717846756</v>
      </c>
      <c r="H40" s="25">
        <f t="shared" si="6"/>
        <v>2366700</v>
      </c>
      <c r="I40" s="581">
        <v>2366700</v>
      </c>
      <c r="J40"/>
    </row>
    <row r="41" spans="1:16">
      <c r="F41" s="1" t="s">
        <v>422</v>
      </c>
      <c r="G41" s="244">
        <f>SUM(G35:G40)</f>
        <v>15726091.152167477</v>
      </c>
      <c r="H41" s="25">
        <f>ROUND(G41,-2)</f>
        <v>15726100</v>
      </c>
      <c r="I41" s="581">
        <v>46109000</v>
      </c>
      <c r="J41" s="257"/>
    </row>
    <row r="42" spans="1:16" ht="14" thickBot="1">
      <c r="B42">
        <f>567/521</f>
        <v>1.0882917466410749</v>
      </c>
      <c r="I42"/>
      <c r="J42"/>
    </row>
    <row r="43" spans="1:16">
      <c r="G43"/>
      <c r="H43"/>
      <c r="I43"/>
      <c r="J43"/>
      <c r="K43" s="336" t="s">
        <v>413</v>
      </c>
      <c r="L43" s="337"/>
    </row>
    <row r="44" spans="1:16">
      <c r="H44" s="25"/>
      <c r="I44" s="25"/>
      <c r="J44" s="178"/>
      <c r="K44" s="338" t="s">
        <v>414</v>
      </c>
      <c r="L44" s="339">
        <v>6.5000000000000002E-2</v>
      </c>
    </row>
    <row r="45" spans="1:16">
      <c r="H45" s="25"/>
      <c r="I45" s="25"/>
      <c r="J45" s="178"/>
      <c r="K45" s="340" t="s">
        <v>415</v>
      </c>
      <c r="L45" s="339">
        <v>1.4E-2</v>
      </c>
    </row>
    <row r="46" spans="1:16" ht="14" thickBot="1">
      <c r="F46" s="177" t="s">
        <v>416</v>
      </c>
      <c r="H46" s="25"/>
      <c r="I46" s="25"/>
      <c r="J46" s="178"/>
      <c r="K46" s="341" t="s">
        <v>417</v>
      </c>
      <c r="L46" s="342">
        <v>7.9000000000000001E-2</v>
      </c>
    </row>
    <row r="47" spans="1:16">
      <c r="F47" s="1" t="s">
        <v>418</v>
      </c>
      <c r="G47" s="244">
        <f>SUM(K6:K10)</f>
        <v>5172304.3234312935</v>
      </c>
      <c r="H47" s="25">
        <f>ROUND(G47,-2)</f>
        <v>5172300</v>
      </c>
      <c r="I47" s="25"/>
      <c r="J47" s="178"/>
    </row>
    <row r="48" spans="1:16">
      <c r="F48" s="1" t="s">
        <v>419</v>
      </c>
      <c r="G48" s="244">
        <f>K5</f>
        <v>619130.18578229682</v>
      </c>
      <c r="H48" s="25">
        <f>ROUND(G48,-2)</f>
        <v>619100</v>
      </c>
      <c r="I48" s="25"/>
      <c r="J48" s="178"/>
    </row>
    <row r="49" spans="5:12">
      <c r="F49" s="1" t="s">
        <v>420</v>
      </c>
      <c r="G49" s="25">
        <f>SUM(K12:K14)</f>
        <v>5485.1458877642635</v>
      </c>
      <c r="H49" s="25">
        <f>ROUND(G49,-2)</f>
        <v>5500</v>
      </c>
    </row>
    <row r="50" spans="5:12">
      <c r="F50" s="1" t="s">
        <v>421</v>
      </c>
      <c r="G50" s="25">
        <f>SUM(K15:K16)</f>
        <v>0</v>
      </c>
      <c r="H50" s="25">
        <f>ROUND(G50,-2)</f>
        <v>0</v>
      </c>
    </row>
    <row r="51" spans="5:12">
      <c r="F51" s="1" t="s">
        <v>422</v>
      </c>
      <c r="G51" s="244">
        <f>SUM(G47:G50)</f>
        <v>5796919.6551013542</v>
      </c>
      <c r="H51" s="25">
        <f>ROUND(G51,-2)</f>
        <v>5796900</v>
      </c>
      <c r="I51" s="25">
        <f>H51/2400</f>
        <v>2415.375</v>
      </c>
      <c r="J51" s="178"/>
    </row>
    <row r="52" spans="5:12">
      <c r="H52" s="25"/>
      <c r="I52" s="25"/>
      <c r="J52" s="178"/>
    </row>
    <row r="54" spans="5:12">
      <c r="E54" s="1" t="s">
        <v>357</v>
      </c>
      <c r="F54" t="s">
        <v>358</v>
      </c>
      <c r="G54" t="s">
        <v>359</v>
      </c>
      <c r="H54" t="s">
        <v>360</v>
      </c>
      <c r="I54" s="24" t="s">
        <v>361</v>
      </c>
      <c r="J54" s="27" t="s">
        <v>362</v>
      </c>
      <c r="K54" s="176" t="s">
        <v>363</v>
      </c>
      <c r="L54" s="25" t="s">
        <v>364</v>
      </c>
    </row>
    <row r="55" spans="5:12">
      <c r="E55" t="s">
        <v>72</v>
      </c>
      <c r="F55">
        <v>500</v>
      </c>
      <c r="G55" s="575">
        <v>48958.406250000007</v>
      </c>
      <c r="H55" s="24" t="s">
        <v>365</v>
      </c>
      <c r="I55" s="24">
        <v>0.72</v>
      </c>
      <c r="J55" s="25">
        <v>568000</v>
      </c>
      <c r="K55">
        <v>15408684.689905548</v>
      </c>
      <c r="L55">
        <v>15716858.38370366</v>
      </c>
    </row>
    <row r="56" spans="5:12">
      <c r="E56" t="s">
        <v>46</v>
      </c>
      <c r="F56">
        <v>9434.4</v>
      </c>
      <c r="G56" s="575">
        <v>3777.9166666666665</v>
      </c>
      <c r="H56" s="24" t="s">
        <v>351</v>
      </c>
      <c r="I56" s="24">
        <v>0.6</v>
      </c>
      <c r="J56" s="25">
        <v>27000000</v>
      </c>
      <c r="K56">
        <v>93548723.89522329</v>
      </c>
      <c r="L56">
        <v>95419698.373127759</v>
      </c>
    </row>
    <row r="57" spans="5:12">
      <c r="E57" t="s">
        <v>49</v>
      </c>
      <c r="F57">
        <v>9434.4</v>
      </c>
      <c r="G57" s="575">
        <v>3777.9166666666665</v>
      </c>
      <c r="H57" s="24" t="s">
        <v>351</v>
      </c>
      <c r="I57" s="24">
        <v>0.6</v>
      </c>
      <c r="J57" s="25">
        <v>231488</v>
      </c>
      <c r="K57">
        <v>802052.11100212764</v>
      </c>
      <c r="L57">
        <v>818093.15322217019</v>
      </c>
    </row>
    <row r="58" spans="5:12">
      <c r="E58" t="s">
        <v>51</v>
      </c>
      <c r="F58">
        <v>9434.4</v>
      </c>
      <c r="G58" s="575">
        <v>3777.9166666666665</v>
      </c>
      <c r="H58" s="25" t="s">
        <v>351</v>
      </c>
      <c r="I58" s="25">
        <v>0.6</v>
      </c>
      <c r="J58" s="178" t="s">
        <v>369</v>
      </c>
      <c r="L58">
        <v>0</v>
      </c>
    </row>
    <row r="59" spans="5:12">
      <c r="E59" t="s">
        <v>57</v>
      </c>
      <c r="F59">
        <v>9434.4</v>
      </c>
      <c r="G59" s="575">
        <v>3777.9166666666665</v>
      </c>
      <c r="H59" s="25" t="s">
        <v>351</v>
      </c>
      <c r="I59" s="25">
        <v>0.6</v>
      </c>
      <c r="J59" s="178">
        <v>93300</v>
      </c>
      <c r="K59">
        <v>323262.81257127156</v>
      </c>
      <c r="L59">
        <v>329728.06882269698</v>
      </c>
    </row>
    <row r="60" spans="5:12">
      <c r="E60" t="s">
        <v>56</v>
      </c>
      <c r="F60">
        <v>9434.4</v>
      </c>
      <c r="G60" s="575">
        <v>3777.9166666666665</v>
      </c>
      <c r="H60" s="25" t="s">
        <v>351</v>
      </c>
      <c r="I60" s="25">
        <v>0.6</v>
      </c>
      <c r="J60" s="178" t="s">
        <v>369</v>
      </c>
      <c r="L60">
        <v>0</v>
      </c>
    </row>
    <row r="61" spans="5:12">
      <c r="E61" t="s">
        <v>372</v>
      </c>
      <c r="F61">
        <v>1072189096.875</v>
      </c>
      <c r="G61" s="575">
        <v>100701400.27683161</v>
      </c>
      <c r="H61" s="25" t="s">
        <v>373</v>
      </c>
      <c r="I61" s="25">
        <v>0.72</v>
      </c>
      <c r="J61" s="27">
        <v>5203252.5712059913</v>
      </c>
      <c r="K61">
        <v>5686124.0017164964</v>
      </c>
      <c r="L61">
        <v>5799846.4817508264</v>
      </c>
    </row>
    <row r="62" spans="5:12">
      <c r="E62" t="s">
        <v>63</v>
      </c>
      <c r="F62">
        <v>9434.4</v>
      </c>
      <c r="G62" s="575">
        <v>3777.9166666666665</v>
      </c>
      <c r="H62" s="24" t="s">
        <v>351</v>
      </c>
      <c r="I62" s="24">
        <v>0.6</v>
      </c>
      <c r="J62" s="25" t="s">
        <v>369</v>
      </c>
      <c r="L62">
        <v>0</v>
      </c>
    </row>
    <row r="63" spans="5:12">
      <c r="E63" t="s">
        <v>62</v>
      </c>
      <c r="F63">
        <v>9434.4</v>
      </c>
      <c r="G63" s="575">
        <v>3777.9166666666665</v>
      </c>
      <c r="H63" s="24" t="s">
        <v>351</v>
      </c>
      <c r="I63" s="24">
        <v>0.6</v>
      </c>
      <c r="J63" s="25">
        <v>25000</v>
      </c>
      <c r="K63">
        <v>14436.531465312235</v>
      </c>
      <c r="L63">
        <v>14725.26209461848</v>
      </c>
    </row>
    <row r="64" spans="5:12">
      <c r="E64" t="s">
        <v>65</v>
      </c>
      <c r="F64">
        <v>9434.4</v>
      </c>
      <c r="G64" s="575">
        <v>3777.9166666666665</v>
      </c>
      <c r="H64" s="25" t="s">
        <v>351</v>
      </c>
      <c r="I64" s="24">
        <v>0.6</v>
      </c>
      <c r="J64" s="178">
        <v>32955</v>
      </c>
      <c r="K64">
        <v>19030.235777574588</v>
      </c>
      <c r="L64">
        <v>19410.840493126081</v>
      </c>
    </row>
    <row r="65" spans="5:12">
      <c r="E65" s="576" t="s">
        <v>387</v>
      </c>
      <c r="F65">
        <v>1072189096.875</v>
      </c>
      <c r="G65" s="24">
        <v>604208401.66098964</v>
      </c>
      <c r="H65" s="25" t="s">
        <v>373</v>
      </c>
      <c r="I65" s="25">
        <v>0.72</v>
      </c>
      <c r="J65" s="178">
        <v>9348058.392207399</v>
      </c>
      <c r="K65">
        <v>6185580.8151791086</v>
      </c>
      <c r="L65">
        <v>6309292.4314826913</v>
      </c>
    </row>
    <row r="66" spans="5:12">
      <c r="E66" s="576" t="s">
        <v>392</v>
      </c>
      <c r="F66">
        <v>1072189096.875</v>
      </c>
      <c r="G66" s="24">
        <v>604208401.66098964</v>
      </c>
      <c r="H66" s="25" t="s">
        <v>373</v>
      </c>
      <c r="I66" s="25">
        <v>0.72</v>
      </c>
      <c r="J66" s="178">
        <v>2764902.1345604016</v>
      </c>
      <c r="K66">
        <v>1829527.0399296351</v>
      </c>
      <c r="L66">
        <v>1866117.580728228</v>
      </c>
    </row>
    <row r="67" spans="5:12">
      <c r="E67" s="576" t="s">
        <v>403</v>
      </c>
      <c r="F67">
        <v>1072189096.875</v>
      </c>
      <c r="G67" s="24">
        <v>604208401.66098964</v>
      </c>
      <c r="H67" s="25" t="s">
        <v>373</v>
      </c>
      <c r="I67" s="25">
        <v>0.72</v>
      </c>
      <c r="J67" s="178">
        <v>453684.80242117238</v>
      </c>
      <c r="K67">
        <v>300201.8057925356</v>
      </c>
      <c r="L67">
        <v>306205.84190838633</v>
      </c>
    </row>
    <row r="68" spans="5:12">
      <c r="E68" s="576" t="s">
        <v>404</v>
      </c>
      <c r="F68">
        <v>1072189096.875</v>
      </c>
      <c r="G68" s="24">
        <v>604208401.66098964</v>
      </c>
      <c r="H68" s="25" t="s">
        <v>373</v>
      </c>
      <c r="I68" s="25">
        <v>1</v>
      </c>
      <c r="J68" s="178">
        <v>1020408.1632653062</v>
      </c>
      <c r="K68">
        <v>1020408.1632653062</v>
      </c>
      <c r="L68">
        <v>1040816.3265306123</v>
      </c>
    </row>
    <row r="69" spans="5:12">
      <c r="E69" s="576" t="s">
        <v>406</v>
      </c>
      <c r="F69">
        <v>1072189096.875</v>
      </c>
      <c r="G69" s="24">
        <v>604208401.66098964</v>
      </c>
      <c r="H69" s="24" t="s">
        <v>373</v>
      </c>
      <c r="I69" s="24">
        <v>1</v>
      </c>
      <c r="J69" s="25">
        <v>1299917.3973079051</v>
      </c>
      <c r="K69">
        <v>1299917.3973079051</v>
      </c>
      <c r="L69">
        <v>1325915.7452540633</v>
      </c>
    </row>
    <row r="74" spans="5:12">
      <c r="E74" s="1" t="s">
        <v>357</v>
      </c>
      <c r="F74" t="s">
        <v>358</v>
      </c>
      <c r="G74" t="s">
        <v>359</v>
      </c>
      <c r="H74" t="s">
        <v>360</v>
      </c>
      <c r="I74" s="24" t="s">
        <v>361</v>
      </c>
      <c r="J74" s="27" t="s">
        <v>362</v>
      </c>
      <c r="K74" s="176" t="s">
        <v>363</v>
      </c>
      <c r="L74" s="25" t="s">
        <v>364</v>
      </c>
    </row>
    <row r="75" spans="5:12">
      <c r="E75" t="s">
        <v>72</v>
      </c>
      <c r="F75" s="578">
        <v>500</v>
      </c>
      <c r="G75" s="579">
        <f>ROUND(G55,-3)</f>
        <v>49000</v>
      </c>
      <c r="H75" s="24" t="s">
        <v>365</v>
      </c>
      <c r="I75" s="574">
        <v>0.72</v>
      </c>
      <c r="J75" s="577">
        <f>ROUND(J55,-3)</f>
        <v>568000</v>
      </c>
      <c r="K75" s="577">
        <f>ROUND(K55,-3)</f>
        <v>15409000</v>
      </c>
      <c r="L75" s="577">
        <f>ROUND(L55,-3)</f>
        <v>15717000</v>
      </c>
    </row>
    <row r="76" spans="5:12">
      <c r="E76" t="s">
        <v>46</v>
      </c>
      <c r="F76" s="579">
        <f t="shared" ref="F76:G89" si="7">ROUND(F56,-3)</f>
        <v>9000</v>
      </c>
      <c r="G76" s="579">
        <f t="shared" si="7"/>
        <v>4000</v>
      </c>
      <c r="H76" s="24" t="s">
        <v>351</v>
      </c>
      <c r="I76" s="574">
        <v>0.6</v>
      </c>
      <c r="J76" s="577">
        <f t="shared" ref="J76:J89" si="8">ROUND(J56,-3)</f>
        <v>27000000</v>
      </c>
      <c r="K76" s="577">
        <f t="shared" ref="K76:L76" si="9">ROUND(K56,-3)</f>
        <v>93549000</v>
      </c>
      <c r="L76" s="577">
        <f t="shared" si="9"/>
        <v>95420000</v>
      </c>
    </row>
    <row r="77" spans="5:12">
      <c r="E77" t="s">
        <v>49</v>
      </c>
      <c r="F77" s="579">
        <f t="shared" ref="F77" si="10">ROUND(F57,-3)</f>
        <v>9000</v>
      </c>
      <c r="G77" s="579">
        <f t="shared" si="7"/>
        <v>4000</v>
      </c>
      <c r="H77" s="24" t="s">
        <v>351</v>
      </c>
      <c r="I77" s="574">
        <v>0.6</v>
      </c>
      <c r="J77" s="577">
        <f t="shared" si="8"/>
        <v>231000</v>
      </c>
      <c r="K77" s="577">
        <f t="shared" ref="K77:L77" si="11">ROUND(K57,-3)</f>
        <v>802000</v>
      </c>
      <c r="L77" s="577">
        <f t="shared" si="11"/>
        <v>818000</v>
      </c>
    </row>
    <row r="78" spans="5:12">
      <c r="E78" t="s">
        <v>51</v>
      </c>
      <c r="F78" s="579">
        <f t="shared" ref="F78" si="12">ROUND(F58,-3)</f>
        <v>9000</v>
      </c>
      <c r="G78" s="579">
        <f t="shared" si="7"/>
        <v>4000</v>
      </c>
      <c r="H78" s="25" t="s">
        <v>351</v>
      </c>
      <c r="I78" s="574">
        <v>0.6</v>
      </c>
      <c r="J78" s="248" t="str">
        <f>J58</f>
        <v>Included</v>
      </c>
      <c r="K78">
        <f t="shared" ref="K78:L78" si="13">ROUND(K58,-3)</f>
        <v>0</v>
      </c>
      <c r="L78">
        <f t="shared" si="13"/>
        <v>0</v>
      </c>
    </row>
    <row r="79" spans="5:12">
      <c r="E79" t="s">
        <v>57</v>
      </c>
      <c r="F79" s="579">
        <f t="shared" ref="F79" si="14">ROUND(F59,-3)</f>
        <v>9000</v>
      </c>
      <c r="G79" s="579">
        <f t="shared" si="7"/>
        <v>4000</v>
      </c>
      <c r="H79" s="25" t="s">
        <v>351</v>
      </c>
      <c r="I79" s="574">
        <v>0.6</v>
      </c>
      <c r="J79" s="577">
        <f t="shared" si="8"/>
        <v>93000</v>
      </c>
      <c r="K79" s="577">
        <f t="shared" ref="K79:L79" si="15">ROUND(K59,-3)</f>
        <v>323000</v>
      </c>
      <c r="L79" s="577">
        <f t="shared" si="15"/>
        <v>330000</v>
      </c>
    </row>
    <row r="80" spans="5:12">
      <c r="E80" t="s">
        <v>56</v>
      </c>
      <c r="F80" s="579">
        <f t="shared" ref="F80" si="16">ROUND(F60,-3)</f>
        <v>9000</v>
      </c>
      <c r="G80" s="579">
        <f t="shared" si="7"/>
        <v>4000</v>
      </c>
      <c r="H80" s="25" t="s">
        <v>351</v>
      </c>
      <c r="I80" s="574">
        <v>0.6</v>
      </c>
      <c r="J80" t="s">
        <v>369</v>
      </c>
      <c r="K80">
        <f t="shared" ref="K80:L80" si="17">ROUND(K60,-3)</f>
        <v>0</v>
      </c>
      <c r="L80">
        <f t="shared" si="17"/>
        <v>0</v>
      </c>
    </row>
    <row r="81" spans="5:12">
      <c r="E81" t="s">
        <v>372</v>
      </c>
      <c r="F81" s="579">
        <f t="shared" ref="F81" si="18">ROUND(F61,-3)</f>
        <v>1072189000</v>
      </c>
      <c r="G81" s="579">
        <f t="shared" si="7"/>
        <v>100701000</v>
      </c>
      <c r="H81" s="25" t="s">
        <v>373</v>
      </c>
      <c r="I81" s="574">
        <v>0.72</v>
      </c>
      <c r="J81" s="577">
        <f t="shared" si="8"/>
        <v>5203000</v>
      </c>
      <c r="K81" s="577">
        <f t="shared" ref="K81:L81" si="19">ROUND(K61,-3)</f>
        <v>5686000</v>
      </c>
      <c r="L81" s="577">
        <f t="shared" si="19"/>
        <v>5800000</v>
      </c>
    </row>
    <row r="82" spans="5:12">
      <c r="E82" t="s">
        <v>63</v>
      </c>
      <c r="F82" s="579">
        <f t="shared" ref="F82" si="20">ROUND(F62,-3)</f>
        <v>9000</v>
      </c>
      <c r="G82" s="579">
        <f t="shared" si="7"/>
        <v>4000</v>
      </c>
      <c r="H82" s="24" t="s">
        <v>351</v>
      </c>
      <c r="I82" s="574">
        <v>0.6</v>
      </c>
      <c r="J82" t="s">
        <v>369</v>
      </c>
      <c r="K82">
        <f t="shared" ref="K82:L82" si="21">ROUND(K62,-3)</f>
        <v>0</v>
      </c>
      <c r="L82">
        <f t="shared" si="21"/>
        <v>0</v>
      </c>
    </row>
    <row r="83" spans="5:12">
      <c r="E83" t="s">
        <v>62</v>
      </c>
      <c r="F83" s="579">
        <f t="shared" ref="F83" si="22">ROUND(F63,-3)</f>
        <v>9000</v>
      </c>
      <c r="G83" s="579">
        <f t="shared" si="7"/>
        <v>4000</v>
      </c>
      <c r="H83" s="24" t="s">
        <v>351</v>
      </c>
      <c r="I83" s="574">
        <v>0.6</v>
      </c>
      <c r="J83" s="577">
        <f t="shared" si="8"/>
        <v>25000</v>
      </c>
      <c r="K83" s="577">
        <f t="shared" ref="K83:L83" si="23">ROUND(K63,-3)</f>
        <v>14000</v>
      </c>
      <c r="L83" s="577">
        <f t="shared" si="23"/>
        <v>15000</v>
      </c>
    </row>
    <row r="84" spans="5:12">
      <c r="E84" t="s">
        <v>65</v>
      </c>
      <c r="F84" s="579">
        <f t="shared" ref="F84" si="24">ROUND(F64,-3)</f>
        <v>9000</v>
      </c>
      <c r="G84" s="579">
        <f t="shared" si="7"/>
        <v>4000</v>
      </c>
      <c r="H84" s="25" t="s">
        <v>351</v>
      </c>
      <c r="I84" s="574">
        <v>0.6</v>
      </c>
      <c r="J84" s="577">
        <f t="shared" si="8"/>
        <v>33000</v>
      </c>
      <c r="K84" s="577">
        <f t="shared" ref="K84:L84" si="25">ROUND(K64,-3)</f>
        <v>19000</v>
      </c>
      <c r="L84" s="577">
        <f t="shared" si="25"/>
        <v>19000</v>
      </c>
    </row>
    <row r="85" spans="5:12">
      <c r="E85" s="576" t="s">
        <v>387</v>
      </c>
      <c r="F85" s="579">
        <f t="shared" ref="F85" si="26">ROUND(F65,-3)</f>
        <v>1072189000</v>
      </c>
      <c r="G85" s="579">
        <f t="shared" si="7"/>
        <v>604208000</v>
      </c>
      <c r="H85" s="25" t="s">
        <v>373</v>
      </c>
      <c r="I85" s="574">
        <v>0.72</v>
      </c>
      <c r="J85" s="577">
        <f t="shared" si="8"/>
        <v>9348000</v>
      </c>
      <c r="K85" s="577">
        <f t="shared" ref="K85:L85" si="27">ROUND(K65,-3)</f>
        <v>6186000</v>
      </c>
      <c r="L85" s="577">
        <f t="shared" si="27"/>
        <v>6309000</v>
      </c>
    </row>
    <row r="86" spans="5:12">
      <c r="E86" s="576" t="s">
        <v>392</v>
      </c>
      <c r="F86" s="579">
        <f t="shared" ref="F86" si="28">ROUND(F66,-3)</f>
        <v>1072189000</v>
      </c>
      <c r="G86" s="579">
        <f t="shared" si="7"/>
        <v>604208000</v>
      </c>
      <c r="H86" s="25" t="s">
        <v>373</v>
      </c>
      <c r="I86" s="574">
        <v>0.72</v>
      </c>
      <c r="J86" s="577">
        <f t="shared" si="8"/>
        <v>2765000</v>
      </c>
      <c r="K86" s="577">
        <f t="shared" ref="K86:L86" si="29">ROUND(K66,-3)</f>
        <v>1830000</v>
      </c>
      <c r="L86" s="577">
        <f t="shared" si="29"/>
        <v>1866000</v>
      </c>
    </row>
    <row r="87" spans="5:12">
      <c r="E87" s="576" t="s">
        <v>403</v>
      </c>
      <c r="F87" s="579">
        <f t="shared" ref="F87" si="30">ROUND(F67,-3)</f>
        <v>1072189000</v>
      </c>
      <c r="G87" s="579">
        <f t="shared" si="7"/>
        <v>604208000</v>
      </c>
      <c r="H87" s="25" t="s">
        <v>373</v>
      </c>
      <c r="I87" s="574">
        <v>0.72</v>
      </c>
      <c r="J87" s="577">
        <f t="shared" si="8"/>
        <v>454000</v>
      </c>
      <c r="K87" s="577">
        <f t="shared" ref="K87:L87" si="31">ROUND(K67,-3)</f>
        <v>300000</v>
      </c>
      <c r="L87" s="577">
        <f t="shared" si="31"/>
        <v>306000</v>
      </c>
    </row>
    <row r="88" spans="5:12">
      <c r="E88" s="576" t="s">
        <v>404</v>
      </c>
      <c r="F88" s="579">
        <f t="shared" ref="F88" si="32">ROUND(F68,-3)</f>
        <v>1072189000</v>
      </c>
      <c r="G88" s="579">
        <f t="shared" si="7"/>
        <v>604208000</v>
      </c>
      <c r="H88" s="25" t="s">
        <v>373</v>
      </c>
      <c r="I88" s="574">
        <v>1</v>
      </c>
      <c r="J88" s="577">
        <f t="shared" si="8"/>
        <v>1020000</v>
      </c>
      <c r="K88" s="577">
        <f t="shared" ref="K88:L88" si="33">ROUND(K68,-3)</f>
        <v>1020000</v>
      </c>
      <c r="L88" s="577">
        <f t="shared" si="33"/>
        <v>1041000</v>
      </c>
    </row>
    <row r="89" spans="5:12">
      <c r="E89" s="576" t="s">
        <v>406</v>
      </c>
      <c r="F89" s="579">
        <f t="shared" ref="F89" si="34">ROUND(F69,-3)</f>
        <v>1072189000</v>
      </c>
      <c r="G89" s="579">
        <f t="shared" si="7"/>
        <v>604208000</v>
      </c>
      <c r="H89" s="24" t="s">
        <v>373</v>
      </c>
      <c r="I89" s="574">
        <v>1</v>
      </c>
      <c r="J89" s="577">
        <f t="shared" si="8"/>
        <v>1300000</v>
      </c>
      <c r="K89" s="577">
        <f t="shared" ref="K89:L89" si="35">ROUND(K69,-3)</f>
        <v>1300000</v>
      </c>
      <c r="L89" s="577">
        <f t="shared" si="35"/>
        <v>1326000</v>
      </c>
    </row>
  </sheetData>
  <sortState xmlns:xlrd2="http://schemas.microsoft.com/office/spreadsheetml/2017/richdata2" ref="A5:K28">
    <sortCondition descending="1" ref="A5:A28"/>
    <sortCondition ref="B5:B28"/>
  </sortState>
  <mergeCells count="1">
    <mergeCell ref="N19:O19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7B0D-C5EC-4646-BF68-B8B985A1ACF5}">
  <sheetPr codeName="Sheet20"/>
  <dimension ref="A2:V42"/>
  <sheetViews>
    <sheetView topLeftCell="A13" workbookViewId="0">
      <selection activeCell="Q44" sqref="Q44"/>
    </sheetView>
  </sheetViews>
  <sheetFormatPr baseColWidth="10" defaultColWidth="8.83203125" defaultRowHeight="13"/>
  <cols>
    <col min="1" max="1" width="19.83203125" bestFit="1" customWidth="1"/>
  </cols>
  <sheetData>
    <row r="2" spans="1:22">
      <c r="A2">
        <f>1/C3</f>
        <v>1.1023109950010197</v>
      </c>
      <c r="B2" s="1" t="s">
        <v>645</v>
      </c>
      <c r="C2">
        <v>1</v>
      </c>
      <c r="D2">
        <v>401</v>
      </c>
      <c r="E2">
        <v>2087</v>
      </c>
      <c r="F2">
        <v>324.2</v>
      </c>
      <c r="G2">
        <v>80</v>
      </c>
      <c r="H2">
        <v>2569.1999999999998</v>
      </c>
      <c r="I2">
        <v>1314.34</v>
      </c>
      <c r="J2">
        <v>71.3</v>
      </c>
      <c r="K2">
        <v>1716</v>
      </c>
      <c r="L2">
        <v>241</v>
      </c>
      <c r="M2">
        <v>40.5</v>
      </c>
      <c r="N2">
        <v>391</v>
      </c>
      <c r="O2">
        <v>46.6</v>
      </c>
      <c r="P2">
        <v>221.2</v>
      </c>
      <c r="Q2">
        <v>165.9</v>
      </c>
      <c r="R2">
        <v>612.16</v>
      </c>
      <c r="S2">
        <v>212.5</v>
      </c>
      <c r="T2">
        <v>13.1</v>
      </c>
      <c r="U2">
        <v>1957.04</v>
      </c>
      <c r="V2">
        <v>111.8</v>
      </c>
    </row>
    <row r="3" spans="1:22">
      <c r="A3">
        <v>1</v>
      </c>
      <c r="B3" s="1" t="s">
        <v>724</v>
      </c>
      <c r="C3">
        <v>0.90718500000000002</v>
      </c>
      <c r="D3">
        <f>D2*$C$3</f>
        <v>363.78118499999999</v>
      </c>
      <c r="E3">
        <f t="shared" ref="E3:L3" si="0">E2*$C$3</f>
        <v>1893.2950949999999</v>
      </c>
      <c r="F3">
        <f t="shared" si="0"/>
        <v>294.10937699999999</v>
      </c>
      <c r="G3">
        <f>G2*$C$3</f>
        <v>72.574799999999996</v>
      </c>
      <c r="H3">
        <f t="shared" si="0"/>
        <v>2330.7397019999999</v>
      </c>
      <c r="I3">
        <f t="shared" si="0"/>
        <v>1192.3495329</v>
      </c>
      <c r="J3">
        <f t="shared" si="0"/>
        <v>64.682290499999993</v>
      </c>
      <c r="K3">
        <f t="shared" si="0"/>
        <v>1556.72946</v>
      </c>
      <c r="L3">
        <f t="shared" si="0"/>
        <v>218.631585</v>
      </c>
      <c r="M3">
        <f>M2*$C$3</f>
        <v>36.740992499999997</v>
      </c>
      <c r="N3">
        <f t="shared" ref="N3:O3" si="1">N2*$C$3</f>
        <v>354.70933500000001</v>
      </c>
      <c r="O3">
        <f t="shared" si="1"/>
        <v>42.274821000000003</v>
      </c>
      <c r="P3">
        <f t="shared" ref="P3" si="2">P2*$C$3</f>
        <v>200.66932199999999</v>
      </c>
      <c r="Q3">
        <f>Q2*$C$3</f>
        <v>150.5019915</v>
      </c>
      <c r="R3">
        <f t="shared" ref="R3" si="3">R2*$C$3</f>
        <v>555.34236959999998</v>
      </c>
      <c r="S3">
        <f t="shared" ref="S3" si="4">S2*$C$3</f>
        <v>192.77681250000001</v>
      </c>
      <c r="T3">
        <f t="shared" ref="T3" si="5">T2*$C$3</f>
        <v>11.884123499999999</v>
      </c>
      <c r="U3">
        <f t="shared" ref="U3" si="6">U2*$C$3</f>
        <v>1775.3973324000001</v>
      </c>
      <c r="V3">
        <f t="shared" ref="V3" si="7">V2*$C$3</f>
        <v>101.423283</v>
      </c>
    </row>
    <row r="9" spans="1:22">
      <c r="B9" t="s">
        <v>725</v>
      </c>
      <c r="C9">
        <v>1</v>
      </c>
      <c r="D9">
        <v>382</v>
      </c>
    </row>
    <row r="10" spans="1:22">
      <c r="B10" t="s">
        <v>726</v>
      </c>
      <c r="C10">
        <v>1.1023099999999999</v>
      </c>
      <c r="D10">
        <f>D9*$C$10</f>
        <v>421.08241999999996</v>
      </c>
    </row>
    <row r="13" spans="1:22">
      <c r="B13">
        <v>24.5</v>
      </c>
      <c r="C13" t="s">
        <v>330</v>
      </c>
    </row>
    <row r="14" spans="1:22">
      <c r="B14">
        <f>B13*$A$2</f>
        <v>27.006619377524984</v>
      </c>
      <c r="C14" t="s">
        <v>727</v>
      </c>
    </row>
    <row r="19" spans="1:9" ht="15">
      <c r="B19" s="527" t="s">
        <v>739</v>
      </c>
      <c r="C19" s="10">
        <v>1</v>
      </c>
    </row>
    <row r="20" spans="1:9" ht="15">
      <c r="B20" s="552" t="s">
        <v>758</v>
      </c>
      <c r="C20" s="527">
        <v>1.05505585262</v>
      </c>
    </row>
    <row r="21" spans="1:9" ht="15">
      <c r="B21" s="527" t="s">
        <v>740</v>
      </c>
      <c r="C21" s="10">
        <f>C19/3412.14</f>
        <v>2.9307121044271339E-4</v>
      </c>
    </row>
    <row r="25" spans="1:9">
      <c r="B25" t="s">
        <v>746</v>
      </c>
      <c r="C25" t="s">
        <v>754</v>
      </c>
      <c r="D25" t="s">
        <v>747</v>
      </c>
      <c r="E25" t="s">
        <v>748</v>
      </c>
    </row>
    <row r="26" spans="1:9">
      <c r="A26" t="s">
        <v>755</v>
      </c>
      <c r="B26">
        <v>3</v>
      </c>
      <c r="C26" s="451">
        <f>B26/$C$20</f>
        <v>2.8434513609399517</v>
      </c>
      <c r="D26">
        <f>B26/$C$21</f>
        <v>10236.42</v>
      </c>
      <c r="E26" s="554">
        <f>C26*100</f>
        <v>284.34513609399517</v>
      </c>
    </row>
    <row r="27" spans="1:9" ht="16">
      <c r="A27" t="s">
        <v>657</v>
      </c>
      <c r="B27">
        <v>0.41</v>
      </c>
      <c r="C27" s="451">
        <f t="shared" ref="C27:C33" si="8">B27/$C$20</f>
        <v>0.38860501932846003</v>
      </c>
      <c r="D27">
        <f t="shared" ref="D27:D28" si="9">B27/$C$21</f>
        <v>1398.9773999999998</v>
      </c>
      <c r="E27" s="554">
        <f t="shared" ref="E27:E28" si="10">C27*100</f>
        <v>38.860501932846006</v>
      </c>
      <c r="I27" s="553" t="s">
        <v>657</v>
      </c>
    </row>
    <row r="28" spans="1:9" ht="16">
      <c r="A28" t="s">
        <v>658</v>
      </c>
      <c r="B28">
        <v>3.9750000000000001</v>
      </c>
      <c r="C28" s="451">
        <f t="shared" si="8"/>
        <v>3.7675730532454361</v>
      </c>
      <c r="D28">
        <f t="shared" si="9"/>
        <v>13563.2565</v>
      </c>
      <c r="E28" s="554">
        <f t="shared" si="10"/>
        <v>376.75730532454361</v>
      </c>
      <c r="I28" s="553" t="s">
        <v>658</v>
      </c>
    </row>
    <row r="29" spans="1:9" ht="16">
      <c r="A29" s="1" t="s">
        <v>749</v>
      </c>
      <c r="B29">
        <v>39.75</v>
      </c>
      <c r="C29" s="451">
        <f t="shared" si="8"/>
        <v>37.675730532454359</v>
      </c>
      <c r="D29">
        <f>B29/$C$21</f>
        <v>135632.565</v>
      </c>
      <c r="E29" s="554">
        <f>C29*100</f>
        <v>3767.5730532454359</v>
      </c>
      <c r="I29" s="553" t="s">
        <v>659</v>
      </c>
    </row>
    <row r="30" spans="1:9">
      <c r="A30" s="1" t="s">
        <v>750</v>
      </c>
      <c r="B30">
        <v>8.1999999999999993</v>
      </c>
      <c r="C30" s="451">
        <f t="shared" si="8"/>
        <v>7.7721003865692007</v>
      </c>
      <c r="D30">
        <f>B30/$C$21</f>
        <v>27979.547999999995</v>
      </c>
      <c r="E30" s="554">
        <f>C30*100</f>
        <v>777.21003865692012</v>
      </c>
    </row>
    <row r="31" spans="1:9">
      <c r="A31" s="1" t="s">
        <v>751</v>
      </c>
      <c r="B31">
        <v>6.7</v>
      </c>
      <c r="C31" s="451">
        <f t="shared" si="8"/>
        <v>6.3503747060992257</v>
      </c>
      <c r="D31">
        <f>B31/$C$21</f>
        <v>22861.338</v>
      </c>
      <c r="E31" s="554">
        <f>C31*100</f>
        <v>635.03747060992259</v>
      </c>
    </row>
    <row r="32" spans="1:9">
      <c r="A32" s="1" t="s">
        <v>752</v>
      </c>
      <c r="B32">
        <v>7.4</v>
      </c>
      <c r="C32" s="451">
        <f t="shared" si="8"/>
        <v>7.0138466903185472</v>
      </c>
      <c r="D32">
        <f>B32/$C$21</f>
        <v>25249.835999999999</v>
      </c>
      <c r="E32" s="554">
        <f>C32*100</f>
        <v>701.38466903185474</v>
      </c>
    </row>
    <row r="33" spans="1:5">
      <c r="A33" s="1" t="s">
        <v>597</v>
      </c>
      <c r="B33">
        <v>19.100000000000001</v>
      </c>
      <c r="C33" s="451">
        <f t="shared" si="8"/>
        <v>18.103306997984358</v>
      </c>
      <c r="D33">
        <f>B33/$C$21</f>
        <v>65171.874000000003</v>
      </c>
      <c r="E33" s="554">
        <f>C33*100</f>
        <v>1810.3306997984357</v>
      </c>
    </row>
    <row r="34" spans="1:5">
      <c r="E34" s="554"/>
    </row>
    <row r="35" spans="1:5">
      <c r="E35" s="554"/>
    </row>
    <row r="36" spans="1:5">
      <c r="E36" s="554"/>
    </row>
    <row r="37" spans="1:5">
      <c r="E37" s="554"/>
    </row>
    <row r="38" spans="1:5">
      <c r="E38" s="554"/>
    </row>
    <row r="39" spans="1:5">
      <c r="E39" s="554"/>
    </row>
    <row r="40" spans="1:5">
      <c r="E40" s="554"/>
    </row>
    <row r="41" spans="1:5">
      <c r="E41" s="554"/>
    </row>
    <row r="42" spans="1:5">
      <c r="E42" s="55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352F-96DB-4A05-B5E5-170D2A517088}">
  <sheetPr codeName="Sheet14"/>
  <dimension ref="B2:G64"/>
  <sheetViews>
    <sheetView zoomScale="110" zoomScaleNormal="110" workbookViewId="0">
      <selection activeCell="G6" sqref="G6"/>
    </sheetView>
  </sheetViews>
  <sheetFormatPr baseColWidth="10" defaultColWidth="8.83203125" defaultRowHeight="13"/>
  <cols>
    <col min="2" max="2" width="39" customWidth="1"/>
    <col min="3" max="3" width="26.5" bestFit="1" customWidth="1"/>
    <col min="4" max="4" width="12.6640625" customWidth="1"/>
    <col min="6" max="6" width="29.6640625" customWidth="1"/>
    <col min="7" max="7" width="38" customWidth="1"/>
  </cols>
  <sheetData>
    <row r="2" spans="2:7">
      <c r="B2" s="479" t="s">
        <v>646</v>
      </c>
      <c r="C2" s="480" t="s">
        <v>228</v>
      </c>
      <c r="D2" s="479" t="s">
        <v>496</v>
      </c>
    </row>
    <row r="3" spans="2:7">
      <c r="B3" s="492" t="s">
        <v>614</v>
      </c>
      <c r="C3" s="1"/>
    </row>
    <row r="4" spans="2:7">
      <c r="B4" s="1" t="s">
        <v>667</v>
      </c>
      <c r="C4" s="484">
        <v>-3</v>
      </c>
      <c r="D4" s="1" t="s">
        <v>327</v>
      </c>
    </row>
    <row r="5" spans="2:7">
      <c r="B5" t="s">
        <v>647</v>
      </c>
      <c r="C5" s="179">
        <v>0</v>
      </c>
      <c r="D5" t="s">
        <v>330</v>
      </c>
    </row>
    <row r="6" spans="2:7">
      <c r="B6" t="s">
        <v>648</v>
      </c>
      <c r="C6" s="179">
        <v>6</v>
      </c>
      <c r="D6" t="s">
        <v>649</v>
      </c>
    </row>
    <row r="7" spans="2:7">
      <c r="B7" t="s">
        <v>545</v>
      </c>
      <c r="C7" s="179">
        <v>22.2</v>
      </c>
      <c r="D7" t="s">
        <v>727</v>
      </c>
    </row>
    <row r="8" spans="2:7">
      <c r="B8" t="s">
        <v>191</v>
      </c>
      <c r="C8" s="179">
        <v>1.3</v>
      </c>
    </row>
    <row r="9" spans="2:7">
      <c r="B9" t="s">
        <v>650</v>
      </c>
      <c r="C9" s="485">
        <v>0.6</v>
      </c>
    </row>
    <row r="10" spans="2:7">
      <c r="B10" t="s">
        <v>651</v>
      </c>
      <c r="C10" s="179">
        <v>3.86</v>
      </c>
      <c r="D10" t="s">
        <v>330</v>
      </c>
    </row>
    <row r="11" spans="2:7">
      <c r="B11" t="s">
        <v>652</v>
      </c>
      <c r="C11" s="179">
        <v>0.08</v>
      </c>
      <c r="D11" t="s">
        <v>653</v>
      </c>
    </row>
    <row r="12" spans="2:7">
      <c r="B12" t="s">
        <v>654</v>
      </c>
      <c r="C12" s="179">
        <v>40</v>
      </c>
      <c r="D12" t="s">
        <v>527</v>
      </c>
    </row>
    <row r="13" spans="2:7">
      <c r="C13" s="179"/>
    </row>
    <row r="14" spans="2:7">
      <c r="B14" s="493" t="s">
        <v>655</v>
      </c>
      <c r="C14" s="179"/>
      <c r="G14" s="1"/>
    </row>
    <row r="15" spans="2:7">
      <c r="B15" t="s">
        <v>656</v>
      </c>
      <c r="C15" s="179">
        <v>6.7000000000000004E-2</v>
      </c>
      <c r="D15" t="s">
        <v>325</v>
      </c>
    </row>
    <row r="16" spans="2:7">
      <c r="B16" t="s">
        <v>657</v>
      </c>
      <c r="C16" s="179">
        <v>0.41</v>
      </c>
      <c r="D16" t="s">
        <v>327</v>
      </c>
    </row>
    <row r="17" spans="2:4">
      <c r="B17" t="s">
        <v>658</v>
      </c>
      <c r="C17" s="179">
        <v>3.9750000000000001</v>
      </c>
      <c r="D17" t="s">
        <v>327</v>
      </c>
    </row>
    <row r="18" spans="2:4">
      <c r="B18" t="s">
        <v>659</v>
      </c>
      <c r="C18" s="179">
        <v>0.15</v>
      </c>
      <c r="D18" t="s">
        <v>327</v>
      </c>
    </row>
    <row r="19" spans="2:4">
      <c r="C19" s="179"/>
    </row>
    <row r="20" spans="2:4">
      <c r="B20" s="493" t="s">
        <v>660</v>
      </c>
      <c r="C20" s="179"/>
    </row>
    <row r="21" spans="2:4">
      <c r="B21" t="s">
        <v>321</v>
      </c>
      <c r="C21" s="179">
        <v>5</v>
      </c>
      <c r="D21" t="s">
        <v>317</v>
      </c>
    </row>
    <row r="22" spans="2:4">
      <c r="B22" t="s">
        <v>661</v>
      </c>
      <c r="C22" s="179">
        <v>0.09</v>
      </c>
      <c r="D22" t="s">
        <v>317</v>
      </c>
    </row>
    <row r="23" spans="2:4">
      <c r="C23" s="179"/>
    </row>
    <row r="24" spans="2:4">
      <c r="B24" s="493" t="s">
        <v>338</v>
      </c>
      <c r="C24" s="179"/>
    </row>
    <row r="25" spans="2:4">
      <c r="B25" t="s">
        <v>662</v>
      </c>
      <c r="C25" s="179">
        <v>-35.25</v>
      </c>
      <c r="D25" t="s">
        <v>317</v>
      </c>
    </row>
    <row r="26" spans="2:4">
      <c r="B26" t="s">
        <v>663</v>
      </c>
      <c r="C26" s="179">
        <v>-2.64</v>
      </c>
      <c r="D26" t="s">
        <v>317</v>
      </c>
    </row>
    <row r="27" spans="2:4">
      <c r="C27" s="179"/>
    </row>
    <row r="28" spans="2:4">
      <c r="B28" s="493" t="s">
        <v>670</v>
      </c>
      <c r="C28" s="179"/>
    </row>
    <row r="29" spans="2:4">
      <c r="B29" s="1" t="s">
        <v>669</v>
      </c>
      <c r="C29" s="484" t="s">
        <v>676</v>
      </c>
      <c r="D29" s="1" t="s">
        <v>677</v>
      </c>
    </row>
    <row r="30" spans="2:4">
      <c r="B30" s="1" t="s">
        <v>671</v>
      </c>
      <c r="C30" s="484" t="s">
        <v>675</v>
      </c>
      <c r="D30" s="1" t="s">
        <v>677</v>
      </c>
    </row>
    <row r="31" spans="2:4" ht="14">
      <c r="B31" s="1" t="s">
        <v>447</v>
      </c>
      <c r="C31" s="486" t="s">
        <v>673</v>
      </c>
      <c r="D31" s="59" t="s">
        <v>677</v>
      </c>
    </row>
    <row r="32" spans="2:4" ht="14">
      <c r="B32" s="1" t="s">
        <v>672</v>
      </c>
      <c r="C32" s="487" t="s">
        <v>674</v>
      </c>
      <c r="D32" s="59" t="s">
        <v>677</v>
      </c>
    </row>
    <row r="33" spans="2:7">
      <c r="C33" s="179"/>
    </row>
    <row r="34" spans="2:7">
      <c r="B34" s="493" t="s">
        <v>668</v>
      </c>
      <c r="C34" s="179"/>
    </row>
    <row r="35" spans="2:7">
      <c r="B35" t="s">
        <v>664</v>
      </c>
      <c r="C35" s="179">
        <v>-39.75</v>
      </c>
      <c r="D35" t="s">
        <v>327</v>
      </c>
    </row>
    <row r="36" spans="2:7" ht="14" thickBot="1">
      <c r="B36" s="483" t="s">
        <v>665</v>
      </c>
      <c r="C36" s="488">
        <v>-1.5</v>
      </c>
      <c r="D36" s="483" t="s">
        <v>666</v>
      </c>
    </row>
    <row r="42" spans="2:7">
      <c r="F42" s="480" t="s">
        <v>603</v>
      </c>
      <c r="G42" s="480" t="s">
        <v>150</v>
      </c>
    </row>
    <row r="43" spans="2:7">
      <c r="F43" s="1" t="s">
        <v>235</v>
      </c>
      <c r="G43" s="489" t="s">
        <v>688</v>
      </c>
    </row>
    <row r="44" spans="2:7">
      <c r="F44" s="1" t="s">
        <v>678</v>
      </c>
      <c r="G44" s="489" t="s">
        <v>689</v>
      </c>
    </row>
    <row r="45" spans="2:7">
      <c r="F45" s="1" t="s">
        <v>679</v>
      </c>
      <c r="G45" s="490">
        <v>7.4999999999999997E-2</v>
      </c>
    </row>
    <row r="46" spans="2:7">
      <c r="F46" s="1" t="s">
        <v>680</v>
      </c>
      <c r="G46" s="1" t="s">
        <v>690</v>
      </c>
    </row>
    <row r="47" spans="2:7">
      <c r="F47" s="1" t="s">
        <v>683</v>
      </c>
      <c r="G47" s="1" t="s">
        <v>691</v>
      </c>
    </row>
    <row r="48" spans="2:7">
      <c r="F48" s="1" t="s">
        <v>681</v>
      </c>
      <c r="G48" s="1" t="s">
        <v>692</v>
      </c>
    </row>
    <row r="49" spans="2:7">
      <c r="F49" s="1" t="s">
        <v>682</v>
      </c>
      <c r="G49" s="1" t="s">
        <v>693</v>
      </c>
    </row>
    <row r="50" spans="2:7">
      <c r="F50" s="1" t="s">
        <v>684</v>
      </c>
      <c r="G50" s="1" t="s">
        <v>694</v>
      </c>
    </row>
    <row r="51" spans="2:7">
      <c r="F51" s="1" t="s">
        <v>685</v>
      </c>
      <c r="G51" s="1" t="s">
        <v>695</v>
      </c>
    </row>
    <row r="52" spans="2:7">
      <c r="F52" s="1" t="s">
        <v>686</v>
      </c>
      <c r="G52" s="1" t="s">
        <v>696</v>
      </c>
    </row>
    <row r="53" spans="2:7">
      <c r="F53" s="482" t="s">
        <v>687</v>
      </c>
      <c r="G53" s="491">
        <v>0.85</v>
      </c>
    </row>
    <row r="57" spans="2:7">
      <c r="B57" s="479" t="s">
        <v>614</v>
      </c>
      <c r="C57" s="479" t="s">
        <v>617</v>
      </c>
    </row>
    <row r="58" spans="2:7">
      <c r="B58" t="s">
        <v>598</v>
      </c>
      <c r="C58">
        <v>2.5000000000000001E-2</v>
      </c>
    </row>
    <row r="59" spans="2:7">
      <c r="B59" t="s">
        <v>626</v>
      </c>
      <c r="C59">
        <v>0.44902976385807741</v>
      </c>
    </row>
    <row r="60" spans="2:7">
      <c r="B60" t="s">
        <v>602</v>
      </c>
      <c r="C60">
        <v>30</v>
      </c>
    </row>
    <row r="61" spans="2:7">
      <c r="B61" t="s">
        <v>628</v>
      </c>
      <c r="C61">
        <v>0.44900444742354878</v>
      </c>
    </row>
    <row r="62" spans="2:7">
      <c r="B62" t="s">
        <v>599</v>
      </c>
      <c r="C62">
        <v>-11.699999999999998</v>
      </c>
    </row>
    <row r="63" spans="2:7">
      <c r="B63" t="s">
        <v>601</v>
      </c>
      <c r="C63">
        <v>0.03</v>
      </c>
    </row>
    <row r="64" spans="2:7">
      <c r="B64" s="481" t="s">
        <v>600</v>
      </c>
      <c r="C64" s="481">
        <v>7.8020000000000006E-2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9B7F-7377-43DA-8DEE-DB751FBFE1F0}">
  <sheetPr codeName="Sheet13"/>
  <dimension ref="A1:P32"/>
  <sheetViews>
    <sheetView workbookViewId="0">
      <selection activeCell="I3" sqref="I3"/>
    </sheetView>
  </sheetViews>
  <sheetFormatPr baseColWidth="10" defaultColWidth="8.83203125" defaultRowHeight="13"/>
  <cols>
    <col min="1" max="1" width="14.5" bestFit="1" customWidth="1"/>
    <col min="2" max="2" width="10.33203125" customWidth="1"/>
    <col min="3" max="3" width="31.1640625" bestFit="1" customWidth="1"/>
    <col min="4" max="6" width="15" bestFit="1" customWidth="1"/>
    <col min="7" max="9" width="15.5" bestFit="1" customWidth="1"/>
  </cols>
  <sheetData>
    <row r="1" spans="1:16">
      <c r="D1" s="663"/>
      <c r="E1" s="663"/>
      <c r="F1" s="663"/>
      <c r="G1" s="664" t="s">
        <v>568</v>
      </c>
      <c r="H1" s="663"/>
      <c r="I1" s="663"/>
    </row>
    <row r="2" spans="1:16">
      <c r="A2" s="1" t="s">
        <v>483</v>
      </c>
      <c r="B2" s="1" t="s">
        <v>484</v>
      </c>
      <c r="C2" t="s">
        <v>485</v>
      </c>
      <c r="D2" t="s">
        <v>486</v>
      </c>
      <c r="E2" t="s">
        <v>487</v>
      </c>
      <c r="F2" t="s">
        <v>488</v>
      </c>
      <c r="G2" t="s">
        <v>486</v>
      </c>
      <c r="H2" t="s">
        <v>487</v>
      </c>
      <c r="I2" t="s">
        <v>488</v>
      </c>
    </row>
    <row r="3" spans="1:16">
      <c r="A3" s="1" t="s">
        <v>64</v>
      </c>
      <c r="B3" s="1" t="s">
        <v>562</v>
      </c>
      <c r="C3" s="1" t="s">
        <v>579</v>
      </c>
      <c r="D3">
        <v>-24.674999999999997</v>
      </c>
      <c r="E3">
        <v>-45.825000000000003</v>
      </c>
      <c r="F3">
        <v>-35.25</v>
      </c>
      <c r="G3" s="595">
        <v>44.086899340599999</v>
      </c>
      <c r="H3" s="595">
        <v>44.800993324699995</v>
      </c>
      <c r="I3" s="595">
        <v>44.443946332599999</v>
      </c>
      <c r="J3" s="451">
        <f t="shared" ref="J3:J12" si="0">ABS(I3-G3)</f>
        <v>0.35704699200000078</v>
      </c>
      <c r="N3">
        <f>E3/F3</f>
        <v>1.3</v>
      </c>
    </row>
    <row r="4" spans="1:16">
      <c r="A4" s="1" t="s">
        <v>64</v>
      </c>
      <c r="B4" s="1" t="s">
        <v>569</v>
      </c>
      <c r="C4" s="1" t="s">
        <v>580</v>
      </c>
      <c r="D4">
        <v>-1.8479999999999999</v>
      </c>
      <c r="E4">
        <v>-3.4320000000000004</v>
      </c>
      <c r="F4">
        <v>-2.64</v>
      </c>
      <c r="G4" s="595">
        <v>44.069578763099997</v>
      </c>
      <c r="H4" s="595">
        <v>44.818313902199996</v>
      </c>
      <c r="I4" s="595">
        <v>44.443946332599999</v>
      </c>
      <c r="J4" s="451">
        <f t="shared" si="0"/>
        <v>0.37436756950000216</v>
      </c>
      <c r="N4">
        <f>E4/F4</f>
        <v>1.3</v>
      </c>
    </row>
    <row r="5" spans="1:16">
      <c r="A5" s="1" t="s">
        <v>64</v>
      </c>
      <c r="B5" s="1" t="s">
        <v>560</v>
      </c>
      <c r="C5" s="1" t="s">
        <v>576</v>
      </c>
      <c r="D5">
        <v>0.23799999999999999</v>
      </c>
      <c r="E5">
        <v>0.44200000000000006</v>
      </c>
      <c r="F5">
        <v>0.34</v>
      </c>
      <c r="G5" s="595">
        <v>45.2691944193</v>
      </c>
      <c r="H5" s="595">
        <v>43.639701687799999</v>
      </c>
      <c r="I5" s="595">
        <v>44.443946332599999</v>
      </c>
      <c r="J5" s="451">
        <f t="shared" si="0"/>
        <v>0.82524808670000027</v>
      </c>
      <c r="N5">
        <f t="shared" ref="N5:N10" si="1">E5/F5</f>
        <v>1.3</v>
      </c>
      <c r="O5">
        <v>1000</v>
      </c>
      <c r="P5">
        <v>1102.31</v>
      </c>
    </row>
    <row r="6" spans="1:16">
      <c r="A6" s="1" t="s">
        <v>493</v>
      </c>
      <c r="B6" s="1" t="s">
        <v>495</v>
      </c>
      <c r="C6" s="1" t="s">
        <v>571</v>
      </c>
      <c r="D6">
        <v>0.7</v>
      </c>
      <c r="E6">
        <v>1</v>
      </c>
      <c r="F6">
        <v>0.85</v>
      </c>
      <c r="G6" s="595">
        <v>43.381382310699998</v>
      </c>
      <c r="H6" s="595">
        <v>45.223604962899998</v>
      </c>
      <c r="I6" s="595">
        <v>44.443946332599999</v>
      </c>
      <c r="J6" s="451">
        <f t="shared" si="0"/>
        <v>1.0625640219000019</v>
      </c>
      <c r="N6">
        <f t="shared" si="1"/>
        <v>1.1764705882352942</v>
      </c>
      <c r="O6">
        <v>298</v>
      </c>
      <c r="P6">
        <f t="shared" ref="P6:P15" si="2">$P$5/$O$5 *O6</f>
        <v>328.48837999999995</v>
      </c>
    </row>
    <row r="7" spans="1:16">
      <c r="A7" s="1" t="s">
        <v>493</v>
      </c>
      <c r="B7" s="1" t="s">
        <v>570</v>
      </c>
      <c r="C7" s="1" t="s">
        <v>577</v>
      </c>
      <c r="D7">
        <v>2.5</v>
      </c>
      <c r="E7">
        <v>3.5</v>
      </c>
      <c r="F7">
        <v>3</v>
      </c>
      <c r="G7" s="595">
        <v>43.1098931342</v>
      </c>
      <c r="H7" s="595">
        <v>45.777999531000006</v>
      </c>
      <c r="I7" s="595">
        <v>44.443946332599999</v>
      </c>
      <c r="J7" s="451">
        <f t="shared" si="0"/>
        <v>1.3340531983999995</v>
      </c>
      <c r="O7">
        <v>382.5</v>
      </c>
      <c r="P7">
        <f t="shared" si="2"/>
        <v>421.63357499999995</v>
      </c>
    </row>
    <row r="8" spans="1:16">
      <c r="A8" s="1" t="s">
        <v>494</v>
      </c>
      <c r="B8" s="1" t="s">
        <v>567</v>
      </c>
      <c r="C8" s="1" t="s">
        <v>575</v>
      </c>
      <c r="D8">
        <v>-11</v>
      </c>
      <c r="E8">
        <v>11</v>
      </c>
      <c r="F8">
        <v>0</v>
      </c>
      <c r="G8" s="595">
        <v>46.969920715899995</v>
      </c>
      <c r="H8" s="595">
        <v>41.917971949399998</v>
      </c>
      <c r="I8" s="595">
        <v>44.443946332599999</v>
      </c>
      <c r="J8" s="451">
        <f t="shared" si="0"/>
        <v>2.5259743832999959</v>
      </c>
      <c r="N8" t="e">
        <f t="shared" si="1"/>
        <v>#DIV/0!</v>
      </c>
      <c r="O8">
        <v>467</v>
      </c>
      <c r="P8">
        <f t="shared" si="2"/>
        <v>514.77877000000001</v>
      </c>
    </row>
    <row r="9" spans="1:16">
      <c r="A9" t="s">
        <v>40</v>
      </c>
      <c r="B9" s="1" t="s">
        <v>563</v>
      </c>
      <c r="C9" s="1" t="s">
        <v>779</v>
      </c>
      <c r="D9" s="318">
        <f>0.7*F9</f>
        <v>13669625.473593432</v>
      </c>
      <c r="E9" s="318">
        <f>1.3*F9</f>
        <v>25386447.30810209</v>
      </c>
      <c r="F9" s="318">
        <f>'Capital Cost'!K34</f>
        <v>19528036.390847761</v>
      </c>
      <c r="G9" s="595">
        <v>55.152681843800003</v>
      </c>
      <c r="H9" s="595">
        <v>33.727031455199999</v>
      </c>
      <c r="I9" s="595">
        <v>44.4439463342</v>
      </c>
      <c r="J9" s="451">
        <f t="shared" si="0"/>
        <v>10.708735509600004</v>
      </c>
      <c r="N9">
        <f t="shared" si="1"/>
        <v>1.3</v>
      </c>
      <c r="O9">
        <v>10</v>
      </c>
      <c r="P9">
        <f t="shared" si="2"/>
        <v>11.023099999999999</v>
      </c>
    </row>
    <row r="10" spans="1:16">
      <c r="A10" s="1" t="s">
        <v>64</v>
      </c>
      <c r="B10" s="1" t="s">
        <v>564</v>
      </c>
      <c r="C10" s="1" t="s">
        <v>573</v>
      </c>
      <c r="D10">
        <v>-11.696999999999999</v>
      </c>
      <c r="E10">
        <v>-21.722999999999999</v>
      </c>
      <c r="F10">
        <v>-16.71</v>
      </c>
      <c r="G10" s="595">
        <v>32.424593179799999</v>
      </c>
      <c r="H10" s="595">
        <v>56.463299485500002</v>
      </c>
      <c r="I10" s="595">
        <v>44.443946332599999</v>
      </c>
      <c r="J10" s="451">
        <f t="shared" si="0"/>
        <v>12.019353152800001</v>
      </c>
      <c r="N10">
        <f t="shared" si="1"/>
        <v>1.2999999999999998</v>
      </c>
      <c r="O10">
        <v>1.8480000000000001</v>
      </c>
      <c r="P10">
        <f t="shared" si="2"/>
        <v>2.0370688800000001</v>
      </c>
    </row>
    <row r="11" spans="1:16">
      <c r="A11" s="1" t="s">
        <v>64</v>
      </c>
      <c r="B11" s="1" t="s">
        <v>565</v>
      </c>
      <c r="C11" s="1" t="s">
        <v>572</v>
      </c>
      <c r="D11">
        <v>-1.05</v>
      </c>
      <c r="E11">
        <v>-1.95</v>
      </c>
      <c r="F11">
        <v>-1.5</v>
      </c>
      <c r="G11" s="595">
        <v>30.431783362100003</v>
      </c>
      <c r="H11" s="595">
        <v>58.456109303200002</v>
      </c>
      <c r="I11" s="595">
        <v>44.443946332599999</v>
      </c>
      <c r="J11" s="451">
        <f t="shared" si="0"/>
        <v>14.012162970499997</v>
      </c>
      <c r="O11">
        <v>3.4319999999999999</v>
      </c>
      <c r="P11">
        <f t="shared" si="2"/>
        <v>3.7831279199999996</v>
      </c>
    </row>
    <row r="12" spans="1:16" ht="15">
      <c r="A12" s="1" t="s">
        <v>494</v>
      </c>
      <c r="B12" s="1" t="s">
        <v>566</v>
      </c>
      <c r="C12" s="1" t="s">
        <v>578</v>
      </c>
      <c r="D12">
        <v>270.34113000000002</v>
      </c>
      <c r="E12">
        <v>423.655395</v>
      </c>
      <c r="F12">
        <v>346.99799999999999</v>
      </c>
      <c r="G12" s="595">
        <v>24.2130901606</v>
      </c>
      <c r="H12" s="595">
        <v>64.6640477686</v>
      </c>
      <c r="I12" s="595">
        <v>44.4439463342</v>
      </c>
      <c r="J12" s="451">
        <f t="shared" si="0"/>
        <v>20.230856173599999</v>
      </c>
      <c r="O12">
        <v>2.64</v>
      </c>
      <c r="P12">
        <f t="shared" si="2"/>
        <v>2.9100983999999999</v>
      </c>
    </row>
    <row r="13" spans="1:16">
      <c r="D13">
        <f>F12-D12</f>
        <v>76.656869999999969</v>
      </c>
      <c r="E13">
        <f>E12-F12</f>
        <v>76.657395000000008</v>
      </c>
      <c r="O13">
        <v>24.675000000000001</v>
      </c>
      <c r="P13">
        <f t="shared" si="2"/>
        <v>27.199499249999999</v>
      </c>
    </row>
    <row r="14" spans="1:16">
      <c r="D14" s="495">
        <f>D13/F12</f>
        <v>0.22091444331091237</v>
      </c>
      <c r="O14">
        <v>45.825000000000003</v>
      </c>
      <c r="P14">
        <f t="shared" si="2"/>
        <v>50.513355749999995</v>
      </c>
    </row>
    <row r="15" spans="1:16">
      <c r="O15">
        <v>35.25</v>
      </c>
      <c r="P15">
        <f t="shared" si="2"/>
        <v>38.856427499999995</v>
      </c>
    </row>
    <row r="16" spans="1:16">
      <c r="D16">
        <v>270.34113000000002</v>
      </c>
      <c r="E16">
        <v>346.99826250000001</v>
      </c>
      <c r="F16">
        <v>423.655395</v>
      </c>
      <c r="J16" s="1" t="s">
        <v>486</v>
      </c>
      <c r="K16" t="s">
        <v>487</v>
      </c>
    </row>
    <row r="17" spans="1:11">
      <c r="I17" s="1" t="s">
        <v>576</v>
      </c>
      <c r="J17" s="495">
        <f>(G3-I3)/I3</f>
        <v>-8.0336473572353295E-3</v>
      </c>
      <c r="K17" s="495">
        <f>(H3-I3)/I3</f>
        <v>8.0336473594852346E-3</v>
      </c>
    </row>
    <row r="18" spans="1:11">
      <c r="I18" s="1" t="s">
        <v>579</v>
      </c>
      <c r="J18" s="495">
        <f t="shared" ref="J18:J26" si="3">(G4-I4)/I4</f>
        <v>-8.4233647187491201E-3</v>
      </c>
      <c r="K18" s="495">
        <f t="shared" ref="K18:K26" si="4">(H4-I4)/I4</f>
        <v>8.4233647209990253E-3</v>
      </c>
    </row>
    <row r="19" spans="1:11">
      <c r="I19" s="1" t="s">
        <v>580</v>
      </c>
      <c r="J19" s="495">
        <f t="shared" si="3"/>
        <v>1.8568290055167178E-2</v>
      </c>
      <c r="K19" s="495">
        <f t="shared" si="4"/>
        <v>-1.8095707315938337E-2</v>
      </c>
    </row>
    <row r="20" spans="1:11">
      <c r="I20" s="1" t="s">
        <v>577</v>
      </c>
      <c r="J20" s="495">
        <f t="shared" si="3"/>
        <v>-2.3907958441588759E-2</v>
      </c>
      <c r="K20" s="495">
        <f t="shared" si="4"/>
        <v>1.7542515789785128E-2</v>
      </c>
    </row>
    <row r="21" spans="1:11">
      <c r="I21" s="1" t="s">
        <v>575</v>
      </c>
      <c r="J21" s="495">
        <f t="shared" si="3"/>
        <v>-3.0016533374793059E-2</v>
      </c>
      <c r="K21" s="495">
        <f t="shared" si="4"/>
        <v>3.0016533374793219E-2</v>
      </c>
    </row>
    <row r="22" spans="1:11">
      <c r="A22" s="1" t="s">
        <v>483</v>
      </c>
      <c r="B22" s="1" t="s">
        <v>484</v>
      </c>
      <c r="C22" t="s">
        <v>485</v>
      </c>
      <c r="D22" t="s">
        <v>486</v>
      </c>
      <c r="E22" t="s">
        <v>487</v>
      </c>
      <c r="F22" t="s">
        <v>488</v>
      </c>
      <c r="I22" s="1" t="s">
        <v>574</v>
      </c>
      <c r="J22" s="495">
        <f t="shared" si="3"/>
        <v>5.6835060604129406E-2</v>
      </c>
      <c r="K22" s="495">
        <f t="shared" si="4"/>
        <v>-5.6835060601879504E-2</v>
      </c>
    </row>
    <row r="23" spans="1:11">
      <c r="A23" s="1" t="s">
        <v>494</v>
      </c>
      <c r="B23" s="1" t="s">
        <v>566</v>
      </c>
      <c r="C23" s="1" t="s">
        <v>553</v>
      </c>
      <c r="D23">
        <v>298</v>
      </c>
      <c r="E23">
        <v>467</v>
      </c>
      <c r="F23">
        <v>382.5</v>
      </c>
      <c r="I23" s="1" t="s">
        <v>573</v>
      </c>
      <c r="J23" s="495">
        <f t="shared" si="3"/>
        <v>0.24094924940001422</v>
      </c>
      <c r="K23" s="495">
        <f t="shared" si="4"/>
        <v>-0.24113328727411504</v>
      </c>
    </row>
    <row r="24" spans="1:11">
      <c r="A24" s="1" t="s">
        <v>64</v>
      </c>
      <c r="B24" s="1" t="s">
        <v>565</v>
      </c>
      <c r="C24" s="1" t="s">
        <v>554</v>
      </c>
      <c r="D24">
        <v>-1.05</v>
      </c>
      <c r="E24">
        <v>-1.95</v>
      </c>
      <c r="F24">
        <v>-1.5</v>
      </c>
      <c r="I24" s="1" t="s">
        <v>572</v>
      </c>
      <c r="J24" s="495">
        <f t="shared" si="3"/>
        <v>-0.27043847688169192</v>
      </c>
      <c r="K24" s="495">
        <f t="shared" si="4"/>
        <v>0.27043847688394196</v>
      </c>
    </row>
    <row r="25" spans="1:11">
      <c r="A25" s="1" t="s">
        <v>64</v>
      </c>
      <c r="B25" s="1" t="s">
        <v>564</v>
      </c>
      <c r="C25" s="1" t="s">
        <v>555</v>
      </c>
      <c r="D25">
        <v>-11.696999999999999</v>
      </c>
      <c r="E25">
        <v>-21.722999999999999</v>
      </c>
      <c r="F25">
        <v>-16.71</v>
      </c>
      <c r="I25" s="1" t="s">
        <v>571</v>
      </c>
      <c r="J25" s="495">
        <f t="shared" si="3"/>
        <v>-0.31527720031067447</v>
      </c>
      <c r="K25" s="495">
        <f t="shared" si="4"/>
        <v>0.31527720031292461</v>
      </c>
    </row>
    <row r="26" spans="1:11" ht="15">
      <c r="A26" t="s">
        <v>40</v>
      </c>
      <c r="B26" s="1" t="s">
        <v>563</v>
      </c>
      <c r="C26" s="1" t="s">
        <v>556</v>
      </c>
      <c r="D26">
        <v>37287104.269773118</v>
      </c>
      <c r="E26">
        <v>69247479.35815008</v>
      </c>
      <c r="F26">
        <v>53267291.813961603</v>
      </c>
      <c r="I26" s="1" t="s">
        <v>578</v>
      </c>
      <c r="J26" s="495">
        <f t="shared" si="3"/>
        <v>-0.45519936554401291</v>
      </c>
      <c r="K26" s="495">
        <f t="shared" si="4"/>
        <v>0.45495738119997814</v>
      </c>
    </row>
    <row r="27" spans="1:11">
      <c r="A27" s="1" t="s">
        <v>494</v>
      </c>
      <c r="B27" s="1" t="s">
        <v>567</v>
      </c>
      <c r="C27" s="1" t="s">
        <v>557</v>
      </c>
      <c r="D27">
        <v>-10</v>
      </c>
      <c r="E27">
        <v>10</v>
      </c>
      <c r="F27">
        <v>0</v>
      </c>
    </row>
    <row r="28" spans="1:11">
      <c r="A28" s="1" t="s">
        <v>64</v>
      </c>
      <c r="B28" s="1" t="s">
        <v>491</v>
      </c>
      <c r="C28" s="1" t="s">
        <v>492</v>
      </c>
      <c r="D28">
        <v>-1.8479999999999999</v>
      </c>
      <c r="E28">
        <v>-3.4320000000000004</v>
      </c>
      <c r="F28">
        <v>-2.64</v>
      </c>
    </row>
    <row r="29" spans="1:11">
      <c r="A29" s="1" t="s">
        <v>64</v>
      </c>
      <c r="B29" s="1" t="s">
        <v>489</v>
      </c>
      <c r="C29" s="1" t="s">
        <v>490</v>
      </c>
      <c r="D29">
        <v>-24.674999999999997</v>
      </c>
      <c r="E29">
        <v>-45.825000000000003</v>
      </c>
      <c r="F29">
        <v>-35.25</v>
      </c>
    </row>
    <row r="30" spans="1:11">
      <c r="A30" s="1" t="s">
        <v>493</v>
      </c>
      <c r="B30" s="1" t="s">
        <v>562</v>
      </c>
      <c r="C30" s="1" t="s">
        <v>561</v>
      </c>
      <c r="D30">
        <v>2.5</v>
      </c>
      <c r="E30">
        <v>3.5</v>
      </c>
      <c r="F30">
        <v>3</v>
      </c>
    </row>
    <row r="31" spans="1:11">
      <c r="A31" s="1" t="s">
        <v>64</v>
      </c>
      <c r="B31" s="1" t="s">
        <v>560</v>
      </c>
      <c r="C31" s="1" t="s">
        <v>558</v>
      </c>
      <c r="D31">
        <v>0.23799999999999999</v>
      </c>
      <c r="E31">
        <v>0.44200000000000006</v>
      </c>
      <c r="F31">
        <v>0.34</v>
      </c>
    </row>
    <row r="32" spans="1:11">
      <c r="A32" s="1" t="s">
        <v>493</v>
      </c>
      <c r="B32" s="1" t="s">
        <v>495</v>
      </c>
      <c r="C32" s="1" t="s">
        <v>559</v>
      </c>
      <c r="D32">
        <v>0.7</v>
      </c>
      <c r="E32">
        <v>1</v>
      </c>
      <c r="F32">
        <v>0.85</v>
      </c>
    </row>
  </sheetData>
  <autoFilter ref="A2:J12" xr:uid="{4D6E9B7F-7377-43DA-8DEE-DB751FBFE1F0}">
    <sortState xmlns:xlrd2="http://schemas.microsoft.com/office/spreadsheetml/2017/richdata2" ref="A3:J14">
      <sortCondition ref="J2:J12"/>
    </sortState>
  </autoFilter>
  <mergeCells count="2">
    <mergeCell ref="G1:I1"/>
    <mergeCell ref="D1:F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6BB1-CB83-4722-A0ED-795BFCF27A18}">
  <sheetPr codeName="Sheet18"/>
  <dimension ref="A1:N43"/>
  <sheetViews>
    <sheetView tabSelected="1" topLeftCell="A15" workbookViewId="0">
      <selection activeCell="D31" sqref="D31:D36"/>
    </sheetView>
  </sheetViews>
  <sheetFormatPr baseColWidth="10" defaultColWidth="8.83203125" defaultRowHeight="13"/>
  <cols>
    <col min="1" max="3" width="29.33203125" customWidth="1"/>
    <col min="4" max="4" width="29" customWidth="1"/>
    <col min="5" max="5" width="17.6640625" bestFit="1" customWidth="1"/>
    <col min="6" max="6" width="19" customWidth="1"/>
    <col min="7" max="13" width="22.1640625" customWidth="1"/>
  </cols>
  <sheetData>
    <row r="1" spans="1:14">
      <c r="B1" s="1" t="s">
        <v>604</v>
      </c>
    </row>
    <row r="2" spans="1:14">
      <c r="A2" s="1" t="s">
        <v>98</v>
      </c>
      <c r="B2" s="343">
        <v>1</v>
      </c>
      <c r="C2" s="1" t="s">
        <v>605</v>
      </c>
      <c r="D2" s="343">
        <v>1</v>
      </c>
    </row>
    <row r="3" spans="1:14">
      <c r="A3" s="1" t="s">
        <v>606</v>
      </c>
      <c r="B3" s="343">
        <f>220130/1000000</f>
        <v>0.22012999999999999</v>
      </c>
      <c r="C3" s="1" t="s">
        <v>607</v>
      </c>
      <c r="D3" s="343">
        <f>220130/1000000</f>
        <v>0.22012999999999999</v>
      </c>
    </row>
    <row r="4" spans="1:14">
      <c r="A4" s="1" t="s">
        <v>126</v>
      </c>
      <c r="B4" s="343">
        <f>10.2/10.57*(1-B6)</f>
        <v>0.9456953642384105</v>
      </c>
      <c r="C4" s="1" t="s">
        <v>608</v>
      </c>
      <c r="D4" s="343">
        <f>10.2/10.57*(1-D6)</f>
        <v>0.96499526963103111</v>
      </c>
    </row>
    <row r="5" spans="1:14">
      <c r="A5" s="1"/>
      <c r="B5" s="343"/>
    </row>
    <row r="6" spans="1:14">
      <c r="A6" s="1" t="s">
        <v>609</v>
      </c>
      <c r="B6" s="469">
        <v>0.02</v>
      </c>
    </row>
    <row r="7" spans="1:14">
      <c r="A7" s="1"/>
      <c r="B7" s="343"/>
    </row>
    <row r="8" spans="1:14" ht="15">
      <c r="A8" s="470" t="s">
        <v>610</v>
      </c>
      <c r="B8" s="10">
        <v>11.7</v>
      </c>
      <c r="C8" s="470" t="s">
        <v>222</v>
      </c>
      <c r="D8" s="377" t="s">
        <v>213</v>
      </c>
    </row>
    <row r="9" spans="1:14" ht="18">
      <c r="A9" s="1" t="s">
        <v>611</v>
      </c>
      <c r="B9" s="378">
        <v>11.8</v>
      </c>
      <c r="C9" s="1" t="s">
        <v>612</v>
      </c>
    </row>
    <row r="10" spans="1:14" ht="18">
      <c r="A10" s="1"/>
      <c r="B10" s="378"/>
      <c r="C10" s="1"/>
    </row>
    <row r="11" spans="1:14" ht="28">
      <c r="A11" s="254" t="s">
        <v>613</v>
      </c>
      <c r="B11" s="254" t="s">
        <v>614</v>
      </c>
      <c r="C11" s="254" t="s">
        <v>615</v>
      </c>
      <c r="D11" s="254" t="s">
        <v>616</v>
      </c>
      <c r="E11" s="254" t="s">
        <v>617</v>
      </c>
      <c r="F11" s="254" t="s">
        <v>618</v>
      </c>
      <c r="G11" s="255"/>
      <c r="J11" s="254" t="s">
        <v>619</v>
      </c>
      <c r="K11" s="254" t="s">
        <v>620</v>
      </c>
      <c r="L11" s="254" t="s">
        <v>621</v>
      </c>
      <c r="M11" s="254" t="s">
        <v>622</v>
      </c>
    </row>
    <row r="12" spans="1:14">
      <c r="A12" s="1" t="s">
        <v>624</v>
      </c>
      <c r="B12" s="1" t="s">
        <v>598</v>
      </c>
      <c r="C12">
        <v>1</v>
      </c>
      <c r="D12" s="472">
        <f>C12*E12</f>
        <v>1.2E-2</v>
      </c>
      <c r="E12" s="472">
        <v>1.2E-2</v>
      </c>
      <c r="F12">
        <v>1</v>
      </c>
      <c r="G12" s="1" t="s">
        <v>126</v>
      </c>
      <c r="J12" s="473">
        <f t="shared" ref="J12:J18" si="0">D12/F12</f>
        <v>1.2E-2</v>
      </c>
      <c r="K12" s="474">
        <v>1</v>
      </c>
      <c r="L12" s="472">
        <f t="shared" ref="L12:L18" si="1">D12/F12/K12</f>
        <v>1.2E-2</v>
      </c>
      <c r="M12" s="248">
        <f t="shared" ref="M12:M18" si="2">L12/$B$20*1000</f>
        <v>0.25451269451269454</v>
      </c>
      <c r="N12">
        <v>0.26320854490854501</v>
      </c>
    </row>
    <row r="13" spans="1:14">
      <c r="A13" s="1" t="s">
        <v>625</v>
      </c>
      <c r="B13" s="1" t="s">
        <v>626</v>
      </c>
      <c r="C13" s="343">
        <v>7.12</v>
      </c>
      <c r="D13" s="472">
        <f t="shared" ref="D13:D18" si="3">C13*E13</f>
        <v>3.197091918669511</v>
      </c>
      <c r="E13" s="472">
        <v>0.44902976385807741</v>
      </c>
      <c r="F13" s="248">
        <f>10.2*(1-$B$6)</f>
        <v>9.9959999999999987</v>
      </c>
      <c r="G13" s="1" t="s">
        <v>126</v>
      </c>
      <c r="J13" s="473">
        <f t="shared" si="0"/>
        <v>0.3198371267176382</v>
      </c>
      <c r="K13" s="343">
        <v>1</v>
      </c>
      <c r="L13" s="472">
        <f t="shared" si="1"/>
        <v>0.3198371267176382</v>
      </c>
      <c r="M13" s="248">
        <f t="shared" si="2"/>
        <v>6.7835507438420173</v>
      </c>
      <c r="N13">
        <v>6.785477499763215</v>
      </c>
    </row>
    <row r="14" spans="1:14">
      <c r="A14" s="1" t="s">
        <v>625</v>
      </c>
      <c r="B14" s="1" t="s">
        <v>602</v>
      </c>
      <c r="C14" s="248">
        <f>10.2*B6</f>
        <v>0.20399999999999999</v>
      </c>
      <c r="D14" s="472">
        <f t="shared" si="3"/>
        <v>6.1199999999999992</v>
      </c>
      <c r="E14" s="472">
        <v>29.999999999999996</v>
      </c>
      <c r="F14" s="248">
        <f>10.2*(1-$B$6)</f>
        <v>9.9959999999999987</v>
      </c>
      <c r="G14" s="1" t="s">
        <v>126</v>
      </c>
      <c r="J14" s="473">
        <f t="shared" si="0"/>
        <v>0.61224489795918369</v>
      </c>
      <c r="K14" s="343">
        <v>1</v>
      </c>
      <c r="L14" s="472">
        <f t="shared" si="1"/>
        <v>0.61224489795918369</v>
      </c>
      <c r="M14" s="248">
        <f t="shared" si="2"/>
        <v>12.985341556770129</v>
      </c>
      <c r="N14">
        <v>12.985341556770129</v>
      </c>
    </row>
    <row r="15" spans="1:14">
      <c r="A15" s="1" t="s">
        <v>627</v>
      </c>
      <c r="B15" s="1" t="s">
        <v>628</v>
      </c>
      <c r="C15" s="475">
        <v>0.958342400546637</v>
      </c>
      <c r="D15" s="472">
        <f t="shared" si="3"/>
        <v>0.43030000000000002</v>
      </c>
      <c r="E15" s="472">
        <v>0.44900444742354878</v>
      </c>
      <c r="F15">
        <v>220130</v>
      </c>
      <c r="G15" s="1" t="s">
        <v>606</v>
      </c>
      <c r="J15" s="473">
        <f t="shared" si="0"/>
        <v>1.9547540089946851E-6</v>
      </c>
      <c r="K15" s="343">
        <f>$B$4</f>
        <v>0.9456953642384105</v>
      </c>
      <c r="L15" s="472">
        <f t="shared" si="1"/>
        <v>2.0670017882226714E-6</v>
      </c>
      <c r="M15" s="248">
        <f t="shared" si="2"/>
        <v>4.3839849556925837E-5</v>
      </c>
      <c r="N15">
        <v>4.3839849556925837E-5</v>
      </c>
    </row>
    <row r="16" spans="1:14">
      <c r="A16" s="1" t="s">
        <v>627</v>
      </c>
      <c r="B16" s="1" t="s">
        <v>599</v>
      </c>
      <c r="C16">
        <f>B9/1000*1000000</f>
        <v>11800.000000000002</v>
      </c>
      <c r="D16" s="472">
        <f t="shared" si="3"/>
        <v>-138060</v>
      </c>
      <c r="E16" s="472">
        <v>-11.699999999999998</v>
      </c>
      <c r="F16">
        <v>220130</v>
      </c>
      <c r="G16" s="1" t="s">
        <v>606</v>
      </c>
      <c r="J16" s="473">
        <f t="shared" si="0"/>
        <v>-0.62717485122427652</v>
      </c>
      <c r="K16" s="343">
        <f>$B$4</f>
        <v>0.9456953642384105</v>
      </c>
      <c r="L16" s="472">
        <f t="shared" si="1"/>
        <v>-0.66318909338141296</v>
      </c>
      <c r="M16" s="248">
        <f t="shared" si="2"/>
        <v>-14.065836927327865</v>
      </c>
      <c r="N16">
        <v>-14.065836927327865</v>
      </c>
    </row>
    <row r="17" spans="1:14">
      <c r="A17" s="1" t="s">
        <v>624</v>
      </c>
      <c r="B17" s="1" t="s">
        <v>601</v>
      </c>
      <c r="C17">
        <v>1</v>
      </c>
      <c r="D17" s="472">
        <f t="shared" si="3"/>
        <v>2.7E-2</v>
      </c>
      <c r="E17" s="472">
        <v>2.7E-2</v>
      </c>
      <c r="F17">
        <v>1</v>
      </c>
      <c r="G17" s="1" t="s">
        <v>629</v>
      </c>
      <c r="J17" s="473">
        <f t="shared" si="0"/>
        <v>2.7E-2</v>
      </c>
      <c r="K17" s="343">
        <f>B2*B3*B4</f>
        <v>0.2081759205298013</v>
      </c>
      <c r="L17" s="472">
        <f t="shared" si="1"/>
        <v>0.12969799740184088</v>
      </c>
      <c r="M17" s="248">
        <f t="shared" si="2"/>
        <v>2.7508155659702478</v>
      </c>
      <c r="N17">
        <v>2.7385897190103767</v>
      </c>
    </row>
    <row r="18" spans="1:14">
      <c r="A18" s="1" t="s">
        <v>630</v>
      </c>
      <c r="B18" s="1" t="s">
        <v>600</v>
      </c>
      <c r="C18">
        <v>1</v>
      </c>
      <c r="D18" s="472">
        <f t="shared" si="3"/>
        <v>7.8E-2</v>
      </c>
      <c r="E18" s="472">
        <v>7.8E-2</v>
      </c>
      <c r="F18">
        <v>1</v>
      </c>
      <c r="G18" s="1" t="s">
        <v>629</v>
      </c>
      <c r="J18" s="473">
        <f t="shared" si="0"/>
        <v>7.8E-2</v>
      </c>
      <c r="K18" s="343">
        <f>B2*B3*B4</f>
        <v>0.2081759205298013</v>
      </c>
      <c r="L18" s="472">
        <f t="shared" si="1"/>
        <v>0.37468310360531804</v>
      </c>
      <c r="M18" s="248">
        <f t="shared" si="2"/>
        <v>7.9468005239140478</v>
      </c>
      <c r="N18">
        <v>7.9488381650740267</v>
      </c>
    </row>
    <row r="20" spans="1:14">
      <c r="A20" s="1" t="s">
        <v>631</v>
      </c>
      <c r="B20" s="451">
        <f>36.63/0.0007769/1000</f>
        <v>47.148925215600464</v>
      </c>
      <c r="C20" s="190">
        <f>M20</f>
        <v>16.655227997530829</v>
      </c>
      <c r="L20" s="476">
        <f>SUM(L12:L18)</f>
        <v>0.78527609930435593</v>
      </c>
      <c r="M20" s="190">
        <f>SUM(M12:M18)</f>
        <v>16.655227997530829</v>
      </c>
    </row>
    <row r="21" spans="1:14">
      <c r="A21" s="1" t="s">
        <v>632</v>
      </c>
      <c r="B21" s="478">
        <v>15.774258054327353</v>
      </c>
      <c r="D21" s="248"/>
      <c r="E21" s="248"/>
    </row>
    <row r="23" spans="1:14">
      <c r="A23" s="377" t="s">
        <v>633</v>
      </c>
      <c r="B23" s="377"/>
      <c r="C23" s="377"/>
    </row>
    <row r="25" spans="1:14">
      <c r="A25" s="377" t="s">
        <v>634</v>
      </c>
      <c r="B25" s="377"/>
      <c r="C25" s="377"/>
      <c r="D25" s="1"/>
      <c r="E25" s="1"/>
    </row>
    <row r="29" spans="1:14">
      <c r="E29" s="663"/>
      <c r="F29" s="663"/>
      <c r="G29" s="663"/>
      <c r="H29" s="664" t="s">
        <v>709</v>
      </c>
      <c r="I29" s="663"/>
      <c r="J29" s="663"/>
    </row>
    <row r="30" spans="1:14">
      <c r="A30" s="1" t="s">
        <v>484</v>
      </c>
      <c r="B30" s="1"/>
      <c r="C30" s="1" t="s">
        <v>496</v>
      </c>
      <c r="D30" t="s">
        <v>485</v>
      </c>
      <c r="E30" t="s">
        <v>486</v>
      </c>
      <c r="F30" t="s">
        <v>487</v>
      </c>
      <c r="G30" t="s">
        <v>488</v>
      </c>
      <c r="H30" t="s">
        <v>486</v>
      </c>
      <c r="I30" t="s">
        <v>487</v>
      </c>
      <c r="J30" t="s">
        <v>488</v>
      </c>
    </row>
    <row r="31" spans="1:14" ht="12.25" customHeight="1">
      <c r="A31" t="s">
        <v>712</v>
      </c>
      <c r="B31" s="1" t="s">
        <v>715</v>
      </c>
      <c r="C31" s="1" t="s">
        <v>717</v>
      </c>
      <c r="D31" s="1" t="str">
        <f>_xlfn.CONCAT(B31," (",E31,",",G31,",",F31," ",C31, ")")</f>
        <v>RNG Transportation EF (0.0096,0.012,0.0144 kg CO2eq)</v>
      </c>
      <c r="E31" s="248">
        <v>9.6000000000000009E-3</v>
      </c>
      <c r="F31" s="248">
        <v>1.44E-2</v>
      </c>
      <c r="G31" s="248">
        <v>1.2E-2</v>
      </c>
      <c r="H31" s="451">
        <v>16.594137252828396</v>
      </c>
      <c r="I31" s="451">
        <v>16.695942330633475</v>
      </c>
      <c r="J31" s="451">
        <v>16.645039791730937</v>
      </c>
    </row>
    <row r="32" spans="1:14">
      <c r="A32" t="s">
        <v>713</v>
      </c>
      <c r="B32" s="1" t="s">
        <v>716</v>
      </c>
      <c r="C32" s="1" t="s">
        <v>717</v>
      </c>
      <c r="D32" s="1" t="str">
        <f t="shared" ref="D32:D35" si="4">_xlfn.CONCAT(B32," (",E32,",",G32,",",F32," ",C32, ")")</f>
        <v>Grass Transportation EF (0.0216,0.027,0.0324 kg CO2eq)</v>
      </c>
      <c r="E32" s="248">
        <v>2.1600000000000001E-2</v>
      </c>
      <c r="F32" s="248">
        <v>3.2399999999999998E-2</v>
      </c>
      <c r="G32" s="248">
        <v>2.7E-2</v>
      </c>
      <c r="H32" s="451">
        <v>16.10710252549676</v>
      </c>
      <c r="I32" s="451">
        <v>17.207428751884859</v>
      </c>
      <c r="J32" s="451">
        <v>16.649999999999999</v>
      </c>
    </row>
    <row r="33" spans="1:10" ht="14.5" customHeight="1">
      <c r="A33" t="s">
        <v>706</v>
      </c>
      <c r="B33" s="1" t="s">
        <v>626</v>
      </c>
      <c r="C33" s="1" t="s">
        <v>168</v>
      </c>
      <c r="D33" s="1" t="str">
        <f t="shared" si="4"/>
        <v>Upgrading Electricity (kWh) (5.696,7.12,8.544 kWh)</v>
      </c>
      <c r="E33" s="248">
        <v>5.6960000000000006</v>
      </c>
      <c r="F33" s="248">
        <v>8.5440000000000005</v>
      </c>
      <c r="G33" s="248">
        <v>7.12</v>
      </c>
      <c r="H33" s="451">
        <v>15.297025493358383</v>
      </c>
      <c r="I33" s="451">
        <v>18.01044579089519</v>
      </c>
      <c r="J33" s="451">
        <v>16.653735642126787</v>
      </c>
    </row>
    <row r="34" spans="1:10">
      <c r="A34" t="s">
        <v>714</v>
      </c>
      <c r="B34" s="1" t="s">
        <v>722</v>
      </c>
      <c r="C34" s="1" t="s">
        <v>717</v>
      </c>
      <c r="D34" s="1" t="str">
        <f t="shared" si="4"/>
        <v>Grass Production EF  (0.0624,0.078,0.0936 kg CO2eq)</v>
      </c>
      <c r="E34" s="248">
        <v>6.2400000000000004E-2</v>
      </c>
      <c r="F34" s="248">
        <v>9.3600000000000003E-2</v>
      </c>
      <c r="G34" s="248">
        <v>7.8E-2</v>
      </c>
      <c r="H34" s="451">
        <v>15.065867892748022</v>
      </c>
      <c r="I34" s="451">
        <v>18.244588102313642</v>
      </c>
      <c r="J34" s="451">
        <v>16.649999999999999</v>
      </c>
    </row>
    <row r="35" spans="1:10" ht="15">
      <c r="A35" t="s">
        <v>208</v>
      </c>
      <c r="B35" s="507" t="s">
        <v>611</v>
      </c>
      <c r="C35" s="507" t="s">
        <v>612</v>
      </c>
      <c r="D35" s="1" t="str">
        <f t="shared" si="4"/>
        <v>Digestate Fertilizer Equivalent (9.44,11.8,14.16 gm N/kg Digestate)</v>
      </c>
      <c r="E35" s="248">
        <v>9.4400000000000013</v>
      </c>
      <c r="F35" s="248">
        <v>14.16</v>
      </c>
      <c r="G35" s="248">
        <v>11.8</v>
      </c>
      <c r="H35" s="451">
        <v>19.466903027592362</v>
      </c>
      <c r="I35" s="451">
        <v>13.840568256661214</v>
      </c>
      <c r="J35" s="451">
        <v>16.653735642126787</v>
      </c>
    </row>
    <row r="36" spans="1:10" ht="12.25" customHeight="1">
      <c r="A36" t="s">
        <v>112</v>
      </c>
      <c r="B36" s="1" t="s">
        <v>602</v>
      </c>
      <c r="C36" s="1"/>
      <c r="D36" t="s">
        <v>718</v>
      </c>
      <c r="E36" s="319">
        <v>0.01</v>
      </c>
      <c r="F36" s="495">
        <v>0.05</v>
      </c>
      <c r="G36" s="495">
        <v>0.02</v>
      </c>
      <c r="H36" s="451">
        <v>10.062993810827017</v>
      </c>
      <c r="I36" s="451">
        <v>37.266426297044056</v>
      </c>
      <c r="J36" s="451">
        <v>16.649999999999999</v>
      </c>
    </row>
    <row r="37" spans="1:10">
      <c r="D37" t="s">
        <v>718</v>
      </c>
    </row>
    <row r="38" spans="1:10">
      <c r="G38" s="1" t="s">
        <v>717</v>
      </c>
      <c r="H38" s="495">
        <f>($J$31-H31)/$J$31</f>
        <v>3.0581205896442992E-3</v>
      </c>
      <c r="I38" s="495">
        <f>(I31-$J$31)/$J$31</f>
        <v>3.0581205896440858E-3</v>
      </c>
    </row>
    <row r="39" spans="1:10">
      <c r="G39" s="1" t="s">
        <v>717</v>
      </c>
      <c r="H39" s="495">
        <f t="shared" ref="H39:H43" si="5">($J$31-H32)/$J$31</f>
        <v>3.231817243845931E-2</v>
      </c>
      <c r="I39" s="495">
        <f t="shared" ref="I39:I43" si="6">(I32-$J$31)/$J$31</f>
        <v>3.3787180276571613E-2</v>
      </c>
    </row>
    <row r="40" spans="1:10">
      <c r="G40" s="1" t="s">
        <v>168</v>
      </c>
      <c r="H40" s="495">
        <f t="shared" si="5"/>
        <v>8.0985946278255949E-2</v>
      </c>
      <c r="I40" s="495">
        <f t="shared" si="6"/>
        <v>8.2030804146384223E-2</v>
      </c>
    </row>
    <row r="41" spans="1:10">
      <c r="G41" s="1" t="s">
        <v>717</v>
      </c>
      <c r="H41" s="495">
        <f t="shared" si="5"/>
        <v>9.4873422878053407E-2</v>
      </c>
      <c r="I41" s="495">
        <f t="shared" si="6"/>
        <v>9.609759607648051E-2</v>
      </c>
    </row>
    <row r="42" spans="1:10" ht="15">
      <c r="G42" s="507" t="s">
        <v>612</v>
      </c>
      <c r="H42" s="495">
        <f t="shared" si="5"/>
        <v>-0.16953178070882677</v>
      </c>
      <c r="I42" s="495">
        <f t="shared" si="6"/>
        <v>-0.1684869228406983</v>
      </c>
    </row>
    <row r="43" spans="1:10">
      <c r="G43" s="1" t="s">
        <v>602</v>
      </c>
      <c r="H43" s="495">
        <f t="shared" si="5"/>
        <v>0.39543588139535746</v>
      </c>
      <c r="I43" s="495">
        <f t="shared" si="6"/>
        <v>1.2388907904898843</v>
      </c>
    </row>
  </sheetData>
  <autoFilter ref="A30:J36" xr:uid="{A2EB6BB1-CB83-4722-A0ED-795BFCF27A18}">
    <sortState xmlns:xlrd2="http://schemas.microsoft.com/office/spreadsheetml/2017/richdata2" ref="A31:J36">
      <sortCondition ref="I30:I36"/>
    </sortState>
  </autoFilter>
  <mergeCells count="2">
    <mergeCell ref="E29:G29"/>
    <mergeCell ref="H29:J29"/>
  </mergeCells>
  <hyperlinks>
    <hyperlink ref="D8" r:id="rId1" display="https://www.sciencedirect.com/science/article/pii/S0959652619320402" xr:uid="{FA0F49F4-6FC9-43CD-BF8B-7380F410AA31}"/>
    <hyperlink ref="A23" r:id="rId2" xr:uid="{C7A73B9A-D586-4B4A-9253-42246F7283AA}"/>
    <hyperlink ref="A25" r:id="rId3" xr:uid="{C475C9DB-326E-46A8-A7FD-A90551AAC4FA}"/>
  </hyperlinks>
  <pageMargins left="0.7" right="0.7" top="0.75" bottom="0.75" header="0.3" footer="0.3"/>
  <pageSetup orientation="portrait" horizontalDpi="0" verticalDpi="0"/>
  <drawing r:id="rId4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1519-B1F6-43F5-B159-750548DCCB11}">
  <sheetPr codeName="Sheet15"/>
  <dimension ref="A1:V68"/>
  <sheetViews>
    <sheetView zoomScale="90" zoomScaleNormal="90" workbookViewId="0">
      <selection activeCell="A41" sqref="A41"/>
    </sheetView>
  </sheetViews>
  <sheetFormatPr baseColWidth="10" defaultColWidth="8.83203125" defaultRowHeight="13"/>
  <cols>
    <col min="1" max="1" width="64.1640625" customWidth="1"/>
    <col min="2" max="2" width="28.5" bestFit="1" customWidth="1"/>
    <col min="3" max="3" width="18.33203125" bestFit="1" customWidth="1"/>
    <col min="4" max="4" width="29.5" customWidth="1"/>
    <col min="5" max="5" width="17.33203125" bestFit="1" customWidth="1"/>
    <col min="6" max="6" width="29.33203125" bestFit="1" customWidth="1"/>
    <col min="8" max="9" width="17.6640625" customWidth="1"/>
    <col min="10" max="11" width="16.33203125" customWidth="1"/>
  </cols>
  <sheetData>
    <row r="1" spans="1:22">
      <c r="B1" s="1" t="s">
        <v>604</v>
      </c>
    </row>
    <row r="2" spans="1:22">
      <c r="A2" s="1" t="s">
        <v>98</v>
      </c>
      <c r="B2" s="343">
        <v>1</v>
      </c>
      <c r="C2" s="1" t="s">
        <v>605</v>
      </c>
      <c r="D2" s="343">
        <v>1</v>
      </c>
    </row>
    <row r="3" spans="1:22">
      <c r="A3" s="1" t="s">
        <v>606</v>
      </c>
      <c r="B3" s="343">
        <f>220130/1000000</f>
        <v>0.22012999999999999</v>
      </c>
      <c r="C3" s="1" t="s">
        <v>607</v>
      </c>
      <c r="D3" s="343">
        <f>220130/1000000</f>
        <v>0.22012999999999999</v>
      </c>
    </row>
    <row r="4" spans="1:22">
      <c r="A4" s="1" t="s">
        <v>126</v>
      </c>
      <c r="B4" s="343">
        <f>10.2/10.57*(1-B6)</f>
        <v>0.9456953642384105</v>
      </c>
      <c r="C4" s="1" t="s">
        <v>608</v>
      </c>
      <c r="D4" s="343">
        <f>10.2/10.57*(1-D6)</f>
        <v>0.96499526963103111</v>
      </c>
    </row>
    <row r="5" spans="1:22">
      <c r="A5" s="1"/>
      <c r="B5" s="343"/>
    </row>
    <row r="6" spans="1:22">
      <c r="A6" s="1" t="s">
        <v>609</v>
      </c>
      <c r="B6" s="469">
        <v>0.02</v>
      </c>
    </row>
    <row r="7" spans="1:22">
      <c r="A7" s="1"/>
      <c r="B7" s="343"/>
    </row>
    <row r="8" spans="1:22" ht="15">
      <c r="A8" s="470" t="s">
        <v>610</v>
      </c>
      <c r="B8" s="10">
        <v>11.7</v>
      </c>
      <c r="C8" s="470" t="s">
        <v>222</v>
      </c>
      <c r="D8" s="377" t="s">
        <v>213</v>
      </c>
    </row>
    <row r="9" spans="1:22" ht="18">
      <c r="A9" s="1" t="s">
        <v>611</v>
      </c>
      <c r="B9" s="378">
        <v>11.8</v>
      </c>
      <c r="C9" s="1" t="s">
        <v>612</v>
      </c>
    </row>
    <row r="10" spans="1:22" ht="18">
      <c r="A10" s="1"/>
      <c r="B10" s="378"/>
      <c r="C10" s="1"/>
    </row>
    <row r="11" spans="1:22" ht="28">
      <c r="A11" s="254" t="s">
        <v>613</v>
      </c>
      <c r="B11" s="254" t="s">
        <v>614</v>
      </c>
      <c r="C11" s="254" t="s">
        <v>615</v>
      </c>
      <c r="D11" s="254" t="s">
        <v>616</v>
      </c>
      <c r="E11" s="254" t="s">
        <v>617</v>
      </c>
      <c r="F11" s="254" t="s">
        <v>618</v>
      </c>
      <c r="G11" s="255"/>
      <c r="H11" s="254" t="s">
        <v>619</v>
      </c>
      <c r="I11" s="254" t="s">
        <v>620</v>
      </c>
      <c r="J11" s="254" t="s">
        <v>621</v>
      </c>
      <c r="K11" s="254" t="s">
        <v>622</v>
      </c>
      <c r="L11" s="447"/>
      <c r="M11" s="447"/>
      <c r="N11" s="471" t="s">
        <v>623</v>
      </c>
      <c r="O11" s="447"/>
      <c r="P11" s="447"/>
      <c r="Q11" s="447"/>
      <c r="R11" s="447"/>
      <c r="S11" s="447"/>
      <c r="T11" s="447"/>
      <c r="U11" s="447"/>
      <c r="V11" s="447"/>
    </row>
    <row r="12" spans="1:22">
      <c r="A12" s="1" t="s">
        <v>624</v>
      </c>
      <c r="B12" s="1" t="s">
        <v>598</v>
      </c>
      <c r="C12">
        <v>1</v>
      </c>
      <c r="D12" s="472">
        <f>0.09635-0.08394</f>
        <v>1.2410000000000004E-2</v>
      </c>
      <c r="E12" s="343">
        <f>D12/C12</f>
        <v>1.2410000000000004E-2</v>
      </c>
      <c r="F12">
        <v>1</v>
      </c>
      <c r="G12" s="1" t="s">
        <v>126</v>
      </c>
      <c r="H12" s="473">
        <f t="shared" ref="H12:H18" si="0">D12/F12</f>
        <v>1.2410000000000004E-2</v>
      </c>
      <c r="I12" s="474">
        <v>1</v>
      </c>
      <c r="J12" s="472">
        <f t="shared" ref="J12:J18" si="1">D12/F12/I12</f>
        <v>1.2410000000000004E-2</v>
      </c>
      <c r="K12" s="248">
        <f t="shared" ref="K12:K18" si="2">J12/$B$20*1000</f>
        <v>0.26320854490854501</v>
      </c>
    </row>
    <row r="13" spans="1:22">
      <c r="A13" s="1" t="s">
        <v>625</v>
      </c>
      <c r="B13" s="1" t="s">
        <v>626</v>
      </c>
      <c r="C13" s="343">
        <v>7.12202231879394</v>
      </c>
      <c r="D13" s="472">
        <v>3.198</v>
      </c>
      <c r="E13" s="343">
        <f t="shared" ref="E13:E18" si="3">D13/C13</f>
        <v>0.44902976385807741</v>
      </c>
      <c r="F13" s="248">
        <f>10.2*(1-$B$6)</f>
        <v>9.9959999999999987</v>
      </c>
      <c r="G13" s="1" t="s">
        <v>126</v>
      </c>
      <c r="H13" s="473">
        <f t="shared" si="0"/>
        <v>0.31992797118847544</v>
      </c>
      <c r="I13" s="343">
        <v>1</v>
      </c>
      <c r="J13" s="472">
        <f t="shared" si="1"/>
        <v>0.31992797118847544</v>
      </c>
      <c r="K13" s="248">
        <f t="shared" si="2"/>
        <v>6.785477499763215</v>
      </c>
    </row>
    <row r="14" spans="1:22">
      <c r="A14" s="1" t="s">
        <v>625</v>
      </c>
      <c r="B14" s="1" t="s">
        <v>602</v>
      </c>
      <c r="C14" s="248">
        <f>10.2*B6</f>
        <v>0.20399999999999999</v>
      </c>
      <c r="D14" s="472">
        <f>10.2*B6*30</f>
        <v>6.1199999999999992</v>
      </c>
      <c r="E14" s="343">
        <f t="shared" si="3"/>
        <v>29.999999999999996</v>
      </c>
      <c r="F14" s="248">
        <f>10.2*(1-$B$6)</f>
        <v>9.9959999999999987</v>
      </c>
      <c r="G14" s="1" t="s">
        <v>126</v>
      </c>
      <c r="H14" s="473">
        <f t="shared" si="0"/>
        <v>0.61224489795918369</v>
      </c>
      <c r="I14" s="343">
        <v>1</v>
      </c>
      <c r="J14" s="472">
        <f t="shared" si="1"/>
        <v>0.61224489795918369</v>
      </c>
      <c r="K14" s="248">
        <f t="shared" si="2"/>
        <v>12.985341556770129</v>
      </c>
    </row>
    <row r="15" spans="1:22">
      <c r="A15" s="1" t="s">
        <v>627</v>
      </c>
      <c r="B15" s="1" t="s">
        <v>628</v>
      </c>
      <c r="C15" s="475">
        <v>0.958342400546637</v>
      </c>
      <c r="D15" s="472">
        <v>0.43030000000000002</v>
      </c>
      <c r="E15" s="343">
        <f t="shared" si="3"/>
        <v>0.44900444742354878</v>
      </c>
      <c r="F15">
        <v>220130</v>
      </c>
      <c r="G15" s="1" t="s">
        <v>606</v>
      </c>
      <c r="H15" s="473">
        <f t="shared" si="0"/>
        <v>1.9547540089946851E-6</v>
      </c>
      <c r="I15" s="343">
        <f>$B$4</f>
        <v>0.9456953642384105</v>
      </c>
      <c r="J15" s="472">
        <f t="shared" si="1"/>
        <v>2.0670017882226714E-6</v>
      </c>
      <c r="K15" s="248">
        <f t="shared" si="2"/>
        <v>4.3839849556925837E-5</v>
      </c>
      <c r="N15" s="377" t="s">
        <v>213</v>
      </c>
    </row>
    <row r="16" spans="1:22">
      <c r="A16" s="1" t="s">
        <v>627</v>
      </c>
      <c r="B16" s="1" t="s">
        <v>599</v>
      </c>
      <c r="C16">
        <f>B9/1000*1000000</f>
        <v>11800.000000000002</v>
      </c>
      <c r="D16" s="472">
        <f>-B8*C16</f>
        <v>-138060</v>
      </c>
      <c r="E16" s="343">
        <f t="shared" si="3"/>
        <v>-11.699999999999998</v>
      </c>
      <c r="F16">
        <v>220130</v>
      </c>
      <c r="G16" s="1" t="s">
        <v>606</v>
      </c>
      <c r="H16" s="473">
        <f t="shared" si="0"/>
        <v>-0.62717485122427652</v>
      </c>
      <c r="I16" s="343">
        <f>$B$4</f>
        <v>0.9456953642384105</v>
      </c>
      <c r="J16" s="472">
        <f t="shared" si="1"/>
        <v>-0.66318909338141296</v>
      </c>
      <c r="K16" s="248">
        <f t="shared" si="2"/>
        <v>-14.065836927327865</v>
      </c>
    </row>
    <row r="17" spans="1:13">
      <c r="A17" s="1" t="s">
        <v>624</v>
      </c>
      <c r="B17" s="1" t="s">
        <v>601</v>
      </c>
      <c r="C17">
        <v>1</v>
      </c>
      <c r="D17" s="472">
        <f>(0.08922-D18)*24/10</f>
        <v>2.687999999999997E-2</v>
      </c>
      <c r="E17" s="343">
        <f t="shared" si="3"/>
        <v>2.687999999999997E-2</v>
      </c>
      <c r="F17">
        <v>1</v>
      </c>
      <c r="G17" s="1" t="s">
        <v>629</v>
      </c>
      <c r="H17" s="473">
        <f t="shared" si="0"/>
        <v>2.687999999999997E-2</v>
      </c>
      <c r="I17" s="343">
        <f>B2*B3*B4</f>
        <v>0.2081759205298013</v>
      </c>
      <c r="J17" s="472">
        <f t="shared" si="1"/>
        <v>0.12912156185783255</v>
      </c>
      <c r="K17" s="248">
        <f t="shared" si="2"/>
        <v>2.7385897190103767</v>
      </c>
    </row>
    <row r="18" spans="1:13">
      <c r="A18" s="1" t="s">
        <v>630</v>
      </c>
      <c r="B18" s="1" t="s">
        <v>600</v>
      </c>
      <c r="C18">
        <v>1</v>
      </c>
      <c r="D18" s="472">
        <v>7.8020000000000006E-2</v>
      </c>
      <c r="E18" s="343">
        <f t="shared" si="3"/>
        <v>7.8020000000000006E-2</v>
      </c>
      <c r="F18">
        <v>1</v>
      </c>
      <c r="G18" s="1" t="s">
        <v>629</v>
      </c>
      <c r="H18" s="473">
        <f t="shared" si="0"/>
        <v>7.8020000000000006E-2</v>
      </c>
      <c r="I18" s="343">
        <f>B2*B3*B4</f>
        <v>0.2081759205298013</v>
      </c>
      <c r="J18" s="472">
        <f t="shared" si="1"/>
        <v>0.37477917619598611</v>
      </c>
      <c r="K18" s="248">
        <f t="shared" si="2"/>
        <v>7.9488381650740267</v>
      </c>
    </row>
    <row r="20" spans="1:13">
      <c r="A20" s="1" t="s">
        <v>631</v>
      </c>
      <c r="B20" s="451">
        <f>36.63/0.0007769/1000</f>
        <v>47.148925215600464</v>
      </c>
      <c r="J20" s="476">
        <f>SUM(J12:J18)</f>
        <v>0.78529658082185294</v>
      </c>
      <c r="K20" s="190">
        <f>SUM(K12:K18)</f>
        <v>16.655662398047983</v>
      </c>
      <c r="M20" s="477">
        <v>9.6350000000000005E-2</v>
      </c>
    </row>
    <row r="21" spans="1:13">
      <c r="A21" s="1" t="s">
        <v>632</v>
      </c>
      <c r="B21" s="478">
        <v>15.774169129493881</v>
      </c>
      <c r="D21" s="248"/>
      <c r="E21" s="248"/>
    </row>
    <row r="23" spans="1:13">
      <c r="A23" s="377" t="s">
        <v>633</v>
      </c>
    </row>
    <row r="25" spans="1:13">
      <c r="A25" s="377" t="s">
        <v>634</v>
      </c>
      <c r="B25" s="1"/>
      <c r="C25" s="1"/>
    </row>
    <row r="26" spans="1:13">
      <c r="A26" s="1"/>
      <c r="D26" s="472"/>
    </row>
    <row r="27" spans="1:13">
      <c r="D27" s="472"/>
    </row>
    <row r="28" spans="1:13">
      <c r="D28" s="472"/>
    </row>
    <row r="32" spans="1:13" ht="28">
      <c r="A32" s="254" t="s">
        <v>613</v>
      </c>
      <c r="B32" s="255" t="s">
        <v>701</v>
      </c>
      <c r="C32" s="255" t="s">
        <v>617</v>
      </c>
      <c r="D32" t="s">
        <v>622</v>
      </c>
      <c r="E32" s="255" t="s">
        <v>700</v>
      </c>
    </row>
    <row r="33" spans="1:5">
      <c r="A33" s="1" t="s">
        <v>624</v>
      </c>
      <c r="B33" t="s">
        <v>598</v>
      </c>
      <c r="C33" s="343">
        <v>2.5000000000000001E-2</v>
      </c>
      <c r="D33">
        <v>0.26320854490854501</v>
      </c>
      <c r="E33" s="495">
        <f t="shared" ref="E33:E38" si="4">D33/$D$40</f>
        <v>9.0375170797473686E-3</v>
      </c>
    </row>
    <row r="34" spans="1:5">
      <c r="A34" s="1" t="s">
        <v>625</v>
      </c>
      <c r="B34" s="1" t="s">
        <v>719</v>
      </c>
      <c r="C34" s="343">
        <v>0.44902976385807741</v>
      </c>
      <c r="D34">
        <v>6.785477499763215</v>
      </c>
      <c r="E34" s="495">
        <f t="shared" si="4"/>
        <v>0.23298585849353504</v>
      </c>
    </row>
    <row r="35" spans="1:5">
      <c r="A35" s="1" t="s">
        <v>625</v>
      </c>
      <c r="B35" t="s">
        <v>602</v>
      </c>
      <c r="C35" s="343">
        <v>30</v>
      </c>
      <c r="D35">
        <v>12.985341556770129</v>
      </c>
      <c r="E35" s="495">
        <f t="shared" si="4"/>
        <v>0.44586411944353793</v>
      </c>
    </row>
    <row r="36" spans="1:5">
      <c r="A36" s="1" t="s">
        <v>627</v>
      </c>
      <c r="B36" s="1" t="s">
        <v>720</v>
      </c>
      <c r="C36" s="343">
        <v>0.44900444742354878</v>
      </c>
      <c r="D36">
        <v>4.3839849556925837E-5</v>
      </c>
      <c r="E36" s="495">
        <f t="shared" si="4"/>
        <v>1.505283155917062E-6</v>
      </c>
    </row>
    <row r="37" spans="1:5">
      <c r="A37" s="1" t="s">
        <v>624</v>
      </c>
      <c r="B37" t="s">
        <v>601</v>
      </c>
      <c r="C37" s="343">
        <v>0.03</v>
      </c>
      <c r="D37">
        <v>1.141079049587657</v>
      </c>
      <c r="E37" s="495">
        <f t="shared" si="4"/>
        <v>3.9180040312040615E-2</v>
      </c>
    </row>
    <row r="38" spans="1:5">
      <c r="A38" s="1" t="s">
        <v>630</v>
      </c>
      <c r="B38" t="s">
        <v>600</v>
      </c>
      <c r="C38" s="343">
        <v>7.8020000000000006E-2</v>
      </c>
      <c r="D38">
        <v>7.9488381650740267</v>
      </c>
      <c r="E38" s="495">
        <f t="shared" si="4"/>
        <v>0.27293095938798323</v>
      </c>
    </row>
    <row r="39" spans="1:5">
      <c r="A39" s="1" t="s">
        <v>627</v>
      </c>
      <c r="B39" s="1" t="s">
        <v>721</v>
      </c>
      <c r="C39" s="343">
        <v>-11.699999999999998</v>
      </c>
      <c r="D39">
        <v>-14.065836927327865</v>
      </c>
      <c r="E39" s="495"/>
    </row>
    <row r="40" spans="1:5">
      <c r="D40">
        <f>SUM(D33:D36,D37:D38)</f>
        <v>29.123988655953127</v>
      </c>
      <c r="E40" s="319">
        <f>SUM(E33:E38)</f>
        <v>1</v>
      </c>
    </row>
    <row r="41" spans="1:5">
      <c r="B41" s="451">
        <f>36.63/0.0007769/1000</f>
        <v>47.148925215600464</v>
      </c>
      <c r="D41">
        <f>SUM(D33:D39)</f>
        <v>15.058151728625262</v>
      </c>
    </row>
    <row r="42" spans="1:5">
      <c r="B42" s="478" t="e">
        <v>#REF!</v>
      </c>
    </row>
    <row r="43" spans="1:5">
      <c r="C43">
        <v>0.25</v>
      </c>
    </row>
    <row r="50" spans="1:4">
      <c r="C50" t="s">
        <v>635</v>
      </c>
    </row>
    <row r="51" spans="1:4">
      <c r="B51" t="s">
        <v>636</v>
      </c>
      <c r="C51">
        <v>90</v>
      </c>
      <c r="D51">
        <v>0</v>
      </c>
    </row>
    <row r="52" spans="1:4">
      <c r="B52" t="s">
        <v>637</v>
      </c>
      <c r="C52">
        <v>25</v>
      </c>
      <c r="D52">
        <v>0</v>
      </c>
    </row>
    <row r="53" spans="1:4">
      <c r="B53" t="s">
        <v>638</v>
      </c>
      <c r="C53">
        <v>140</v>
      </c>
      <c r="D53">
        <v>40</v>
      </c>
    </row>
    <row r="54" spans="1:4">
      <c r="B54" t="s">
        <v>639</v>
      </c>
      <c r="C54">
        <v>-160</v>
      </c>
      <c r="D54">
        <v>-160</v>
      </c>
    </row>
    <row r="55" spans="1:4">
      <c r="B55" t="s">
        <v>640</v>
      </c>
      <c r="C55">
        <v>-210</v>
      </c>
      <c r="D55">
        <v>-20</v>
      </c>
    </row>
    <row r="56" spans="1:4">
      <c r="B56" t="s">
        <v>641</v>
      </c>
      <c r="C56">
        <v>-20</v>
      </c>
      <c r="D56">
        <v>0</v>
      </c>
    </row>
    <row r="57" spans="1:4">
      <c r="B57" t="s">
        <v>642</v>
      </c>
      <c r="C57">
        <v>-50</v>
      </c>
      <c r="D57">
        <v>0</v>
      </c>
    </row>
    <row r="58" spans="1:4">
      <c r="B58" t="s">
        <v>643</v>
      </c>
      <c r="C58">
        <f>0.8 * K20</f>
        <v>13.324529918438387</v>
      </c>
      <c r="D58">
        <v>14.247389999999999</v>
      </c>
    </row>
    <row r="62" spans="1:4">
      <c r="A62" s="1" t="s">
        <v>624</v>
      </c>
    </row>
    <row r="63" spans="1:4">
      <c r="A63" s="1" t="s">
        <v>625</v>
      </c>
    </row>
    <row r="64" spans="1:4">
      <c r="A64" s="1" t="s">
        <v>625</v>
      </c>
    </row>
    <row r="65" spans="1:1">
      <c r="A65" s="1" t="s">
        <v>627</v>
      </c>
    </row>
    <row r="66" spans="1:1">
      <c r="A66" s="1" t="s">
        <v>624</v>
      </c>
    </row>
    <row r="67" spans="1:1">
      <c r="A67" s="1" t="s">
        <v>630</v>
      </c>
    </row>
    <row r="68" spans="1:1">
      <c r="A68" s="1" t="s">
        <v>627</v>
      </c>
    </row>
  </sheetData>
  <hyperlinks>
    <hyperlink ref="N15" r:id="rId1" display="https://www.sciencedirect.com/science/article/pii/S0959652619320402" xr:uid="{9ECE717D-A2D8-4188-A29C-20A23393D27A}"/>
    <hyperlink ref="D8" r:id="rId2" display="https://www.sciencedirect.com/science/article/pii/S0959652619320402" xr:uid="{A2BDC2F8-77B7-44CC-A2C9-8DF7D5E6032B}"/>
    <hyperlink ref="A23" r:id="rId3" xr:uid="{307503CD-5359-4B26-AC3A-3D73B528B36C}"/>
    <hyperlink ref="A25" r:id="rId4" xr:uid="{B70317C1-878D-499E-B54E-7EE61216568F}"/>
  </hyperlinks>
  <pageMargins left="0.7" right="0.7" top="0.75" bottom="0.75" header="0.3" footer="0.3"/>
  <drawing r:id="rId5"/>
  <legacy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>
    <pageSetUpPr autoPageBreaks="0" fitToPage="1"/>
  </sheetPr>
  <dimension ref="A1:AP105"/>
  <sheetViews>
    <sheetView topLeftCell="A23" workbookViewId="0">
      <selection activeCell="H16" sqref="H16"/>
    </sheetView>
  </sheetViews>
  <sheetFormatPr baseColWidth="10" defaultColWidth="7.83203125" defaultRowHeight="17"/>
  <cols>
    <col min="1" max="1" width="5.5" style="35" customWidth="1"/>
    <col min="2" max="2" width="26.5" style="35" customWidth="1"/>
    <col min="3" max="3" width="16.5" style="88" customWidth="1"/>
    <col min="4" max="4" width="14.5" style="88" customWidth="1"/>
    <col min="5" max="5" width="11.1640625" style="32" customWidth="1"/>
    <col min="6" max="6" width="11.5" style="88" customWidth="1"/>
    <col min="7" max="7" width="15.1640625" style="35" customWidth="1"/>
    <col min="8" max="8" width="17.5" style="35" customWidth="1"/>
    <col min="9" max="9" width="10.5" style="35" customWidth="1"/>
    <col min="10" max="10" width="26.5" style="35" customWidth="1"/>
    <col min="11" max="11" width="16.5" style="35" customWidth="1"/>
    <col min="12" max="12" width="12.5" style="35" customWidth="1"/>
    <col min="13" max="13" width="10.5" style="35" bestFit="1" customWidth="1"/>
    <col min="14" max="16384" width="7.83203125" style="35"/>
  </cols>
  <sheetData>
    <row r="1" spans="1:15">
      <c r="A1" s="28"/>
      <c r="B1" s="29" t="s">
        <v>423</v>
      </c>
      <c r="C1" s="30" t="s">
        <v>424</v>
      </c>
      <c r="D1" s="31">
        <v>2002</v>
      </c>
      <c r="F1" s="33"/>
      <c r="G1" s="34"/>
      <c r="H1" s="28"/>
      <c r="I1" s="28"/>
      <c r="J1" s="28"/>
      <c r="K1" s="28"/>
      <c r="L1" s="28"/>
      <c r="M1" s="28"/>
      <c r="N1" s="28"/>
      <c r="O1" s="28"/>
    </row>
    <row r="2" spans="1:15" ht="31">
      <c r="A2" s="28"/>
      <c r="B2" s="36" t="s">
        <v>425</v>
      </c>
      <c r="C2" s="37" t="s">
        <v>61</v>
      </c>
      <c r="D2" s="38" t="s">
        <v>426</v>
      </c>
      <c r="E2" s="39" t="s">
        <v>427</v>
      </c>
      <c r="F2" s="40" t="str">
        <f>"$/y total in "&amp;D1&amp;"$"</f>
        <v>$/y total in 2002$</v>
      </c>
      <c r="G2" s="40" t="s">
        <v>428</v>
      </c>
      <c r="H2" s="40" t="s">
        <v>429</v>
      </c>
      <c r="I2" s="40" t="s">
        <v>430</v>
      </c>
      <c r="J2" s="34"/>
      <c r="O2" s="28"/>
    </row>
    <row r="3" spans="1:15">
      <c r="A3" s="28"/>
      <c r="B3" s="41" t="s">
        <v>431</v>
      </c>
      <c r="C3" s="42">
        <v>110000</v>
      </c>
      <c r="D3" s="42">
        <v>1</v>
      </c>
      <c r="E3" s="39">
        <f t="shared" ref="E3:E13" si="0">C3/(2080 )</f>
        <v>52.884615384615387</v>
      </c>
      <c r="F3" s="42">
        <f t="shared" ref="F3:F13" si="1">D3*C3</f>
        <v>110000</v>
      </c>
      <c r="G3" s="43">
        <v>131853.08848080135</v>
      </c>
      <c r="H3" s="43">
        <f t="shared" ref="H3:H13" si="2">D3*G3</f>
        <v>131853.08848080135</v>
      </c>
      <c r="I3" s="39">
        <f t="shared" ref="I3:I13" si="3">G3/2080</f>
        <v>63.390907923462187</v>
      </c>
      <c r="J3" s="34"/>
      <c r="O3" s="28"/>
    </row>
    <row r="4" spans="1:15">
      <c r="A4" s="28"/>
      <c r="B4" s="41" t="s">
        <v>432</v>
      </c>
      <c r="C4" s="42">
        <v>65000</v>
      </c>
      <c r="D4" s="42">
        <v>0</v>
      </c>
      <c r="E4" s="39">
        <f t="shared" si="0"/>
        <v>31.25</v>
      </c>
      <c r="F4" s="42">
        <f t="shared" si="1"/>
        <v>0</v>
      </c>
      <c r="G4" s="43">
        <v>77913.188647746254</v>
      </c>
      <c r="H4" s="43">
        <f t="shared" si="2"/>
        <v>0</v>
      </c>
      <c r="I4" s="39">
        <f t="shared" si="3"/>
        <v>37.458263772954929</v>
      </c>
      <c r="J4" s="44"/>
      <c r="O4" s="28"/>
    </row>
    <row r="5" spans="1:15">
      <c r="A5" s="28"/>
      <c r="B5" s="41" t="s">
        <v>433</v>
      </c>
      <c r="C5" s="42">
        <v>60000</v>
      </c>
      <c r="D5" s="42">
        <v>1</v>
      </c>
      <c r="E5" s="39">
        <f t="shared" si="0"/>
        <v>28.846153846153847</v>
      </c>
      <c r="F5" s="42">
        <f t="shared" si="1"/>
        <v>60000</v>
      </c>
      <c r="G5" s="43">
        <v>71919.866444073457</v>
      </c>
      <c r="H5" s="43">
        <f t="shared" si="2"/>
        <v>71919.866444073457</v>
      </c>
      <c r="I5" s="39">
        <f t="shared" si="3"/>
        <v>34.576858867343006</v>
      </c>
      <c r="J5" s="33">
        <f>ROUND(H5,-2)</f>
        <v>71900</v>
      </c>
      <c r="K5" s="34"/>
      <c r="L5" s="45"/>
      <c r="M5" s="32"/>
      <c r="O5" s="28"/>
    </row>
    <row r="6" spans="1:15">
      <c r="A6" s="28"/>
      <c r="B6" s="41" t="s">
        <v>434</v>
      </c>
      <c r="C6" s="42">
        <v>55000</v>
      </c>
      <c r="D6" s="42">
        <v>0</v>
      </c>
      <c r="E6" s="39">
        <f t="shared" si="0"/>
        <v>26.442307692307693</v>
      </c>
      <c r="F6" s="42">
        <f t="shared" si="1"/>
        <v>0</v>
      </c>
      <c r="G6" s="43">
        <v>65926.544240400675</v>
      </c>
      <c r="H6" s="43">
        <f t="shared" si="2"/>
        <v>0</v>
      </c>
      <c r="I6" s="39">
        <f t="shared" si="3"/>
        <v>31.695453961731094</v>
      </c>
      <c r="J6" s="33"/>
      <c r="K6" s="34"/>
      <c r="L6" s="45"/>
      <c r="M6" s="32"/>
      <c r="O6" s="28"/>
    </row>
    <row r="7" spans="1:15">
      <c r="A7" s="28"/>
      <c r="B7" s="41" t="s">
        <v>435</v>
      </c>
      <c r="C7" s="42">
        <v>55000</v>
      </c>
      <c r="D7" s="42">
        <v>0</v>
      </c>
      <c r="E7" s="39">
        <f t="shared" si="0"/>
        <v>26.442307692307693</v>
      </c>
      <c r="F7" s="42">
        <f t="shared" si="1"/>
        <v>0</v>
      </c>
      <c r="G7" s="43">
        <v>65926.544240400675</v>
      </c>
      <c r="H7" s="43">
        <f t="shared" si="2"/>
        <v>0</v>
      </c>
      <c r="I7" s="39">
        <f t="shared" si="3"/>
        <v>31.695453961731094</v>
      </c>
      <c r="J7" s="33"/>
      <c r="K7" s="34"/>
      <c r="L7" s="46"/>
      <c r="M7" s="32"/>
      <c r="O7" s="28"/>
    </row>
    <row r="8" spans="1:15">
      <c r="A8" s="28"/>
      <c r="B8" s="41" t="s">
        <v>436</v>
      </c>
      <c r="C8" s="42">
        <v>40000</v>
      </c>
      <c r="D8" s="42">
        <v>0</v>
      </c>
      <c r="E8" s="39">
        <f t="shared" si="0"/>
        <v>19.23076923076923</v>
      </c>
      <c r="F8" s="42">
        <f t="shared" si="1"/>
        <v>0</v>
      </c>
      <c r="G8" s="43">
        <v>47946.577629382307</v>
      </c>
      <c r="H8" s="43">
        <f t="shared" si="2"/>
        <v>0</v>
      </c>
      <c r="I8" s="39">
        <f t="shared" si="3"/>
        <v>23.051239244895338</v>
      </c>
      <c r="J8" s="33"/>
      <c r="L8" s="45"/>
      <c r="M8" s="32"/>
      <c r="O8" s="28"/>
    </row>
    <row r="9" spans="1:15">
      <c r="A9" s="28"/>
      <c r="B9" s="41" t="s">
        <v>437</v>
      </c>
      <c r="C9" s="42">
        <v>43000</v>
      </c>
      <c r="D9" s="42">
        <v>0</v>
      </c>
      <c r="E9" s="39">
        <f t="shared" si="0"/>
        <v>20.673076923076923</v>
      </c>
      <c r="F9" s="42">
        <f t="shared" si="1"/>
        <v>0</v>
      </c>
      <c r="G9" s="43">
        <v>51542.570951585978</v>
      </c>
      <c r="H9" s="43">
        <f t="shared" si="2"/>
        <v>0</v>
      </c>
      <c r="I9" s="39">
        <f t="shared" si="3"/>
        <v>24.78008218826249</v>
      </c>
      <c r="J9" s="33"/>
      <c r="L9" s="45"/>
      <c r="M9" s="32"/>
      <c r="O9" s="28"/>
    </row>
    <row r="10" spans="1:15">
      <c r="A10" s="28"/>
      <c r="B10" s="36" t="s">
        <v>438</v>
      </c>
      <c r="C10" s="47">
        <v>43000</v>
      </c>
      <c r="D10" s="47">
        <v>0</v>
      </c>
      <c r="E10" s="48">
        <f t="shared" si="0"/>
        <v>20.673076923076923</v>
      </c>
      <c r="F10" s="47">
        <f t="shared" si="1"/>
        <v>0</v>
      </c>
      <c r="G10" s="49">
        <v>51542.570951585978</v>
      </c>
      <c r="H10" s="49">
        <f t="shared" si="2"/>
        <v>0</v>
      </c>
      <c r="I10" s="48">
        <f t="shared" si="3"/>
        <v>24.78008218826249</v>
      </c>
      <c r="J10" s="33"/>
      <c r="K10" s="50"/>
      <c r="L10" s="46"/>
      <c r="M10" s="32"/>
      <c r="O10" s="28"/>
    </row>
    <row r="11" spans="1:15">
      <c r="A11" s="28"/>
      <c r="B11" s="41" t="s">
        <v>439</v>
      </c>
      <c r="C11" s="42">
        <v>25000</v>
      </c>
      <c r="D11" s="42">
        <v>2</v>
      </c>
      <c r="E11" s="39">
        <f t="shared" si="0"/>
        <v>12.01923076923077</v>
      </c>
      <c r="F11" s="42">
        <f t="shared" si="1"/>
        <v>50000</v>
      </c>
      <c r="G11" s="43">
        <v>29966.611018363943</v>
      </c>
      <c r="H11" s="43">
        <f t="shared" si="2"/>
        <v>59933.222036727886</v>
      </c>
      <c r="I11" s="39">
        <f t="shared" si="3"/>
        <v>14.407024528059589</v>
      </c>
      <c r="J11" s="33">
        <f>ROUND(H11,-2)</f>
        <v>59900</v>
      </c>
      <c r="L11" s="46"/>
      <c r="M11" s="32"/>
      <c r="O11" s="28"/>
    </row>
    <row r="12" spans="1:15">
      <c r="A12" s="28"/>
      <c r="B12" s="41" t="s">
        <v>440</v>
      </c>
      <c r="C12" s="42">
        <v>100000</v>
      </c>
      <c r="D12" s="42">
        <v>0</v>
      </c>
      <c r="E12" s="39">
        <f t="shared" si="0"/>
        <v>48.07692307692308</v>
      </c>
      <c r="F12" s="42">
        <f t="shared" si="1"/>
        <v>0</v>
      </c>
      <c r="G12" s="43">
        <v>119866.44407345577</v>
      </c>
      <c r="H12" s="43">
        <f t="shared" si="2"/>
        <v>0</v>
      </c>
      <c r="I12" s="39">
        <f t="shared" si="3"/>
        <v>57.628098112238355</v>
      </c>
      <c r="J12" s="33"/>
      <c r="K12" s="51"/>
      <c r="L12" s="52"/>
      <c r="M12" s="32"/>
      <c r="O12" s="28"/>
    </row>
    <row r="13" spans="1:15">
      <c r="A13" s="28"/>
      <c r="B13" s="41" t="s">
        <v>441</v>
      </c>
      <c r="C13" s="42">
        <v>30000</v>
      </c>
      <c r="D13" s="42">
        <v>0</v>
      </c>
      <c r="E13" s="39">
        <f t="shared" si="0"/>
        <v>14.423076923076923</v>
      </c>
      <c r="F13" s="42">
        <f t="shared" si="1"/>
        <v>0</v>
      </c>
      <c r="G13" s="43">
        <v>35959.933222036729</v>
      </c>
      <c r="H13" s="43">
        <f t="shared" si="2"/>
        <v>0</v>
      </c>
      <c r="I13" s="39">
        <f t="shared" si="3"/>
        <v>17.288429433671503</v>
      </c>
      <c r="J13" s="33"/>
      <c r="K13" s="53"/>
      <c r="L13" s="54"/>
      <c r="M13" s="32"/>
      <c r="N13" s="29"/>
      <c r="O13" s="28"/>
    </row>
    <row r="14" spans="1:15">
      <c r="A14" s="28"/>
      <c r="B14" s="28"/>
      <c r="C14" s="33"/>
      <c r="D14" s="33"/>
      <c r="F14" s="33"/>
      <c r="G14" s="34"/>
      <c r="H14" s="28"/>
      <c r="I14" s="34"/>
      <c r="J14" s="44"/>
      <c r="L14" s="28"/>
      <c r="M14" s="28"/>
      <c r="N14" s="28"/>
      <c r="O14" s="28"/>
    </row>
    <row r="15" spans="1:15" ht="31">
      <c r="A15" s="28"/>
      <c r="B15" s="28"/>
      <c r="C15" s="33"/>
      <c r="D15" s="55"/>
      <c r="F15" s="34"/>
      <c r="G15" s="33"/>
      <c r="H15" s="56" t="s">
        <v>442</v>
      </c>
      <c r="I15" s="56" t="s">
        <v>443</v>
      </c>
      <c r="J15" s="28"/>
      <c r="L15" s="28"/>
      <c r="M15" s="28"/>
      <c r="N15" s="28"/>
      <c r="O15" s="28"/>
    </row>
    <row r="16" spans="1:15">
      <c r="A16" s="28"/>
      <c r="B16" s="28" t="s">
        <v>444</v>
      </c>
      <c r="C16" s="28"/>
      <c r="D16" s="33">
        <f>SUM(D3:D13)</f>
        <v>4</v>
      </c>
      <c r="F16" s="33">
        <f>SUM(F3:F13)</f>
        <v>220000</v>
      </c>
      <c r="G16" s="34">
        <f>SUM(H3:H13)</f>
        <v>263706.1769616027</v>
      </c>
      <c r="H16" s="34">
        <f>SUM(H3:H13)/1000000</f>
        <v>0.2637061769616027</v>
      </c>
      <c r="I16" s="57">
        <v>7.7188320150334473E-4</v>
      </c>
      <c r="J16" s="28"/>
      <c r="L16" s="28"/>
      <c r="M16" s="28"/>
      <c r="N16" s="28"/>
      <c r="O16" s="28"/>
    </row>
    <row r="17" spans="1:15">
      <c r="A17" s="28"/>
      <c r="B17" s="28"/>
      <c r="C17" s="28"/>
      <c r="D17" s="33"/>
      <c r="F17" s="33"/>
      <c r="G17" s="34">
        <f>ROUND(G16,-2)</f>
        <v>263700</v>
      </c>
      <c r="H17" s="34"/>
      <c r="I17" s="34"/>
      <c r="J17" s="28"/>
      <c r="L17" s="28"/>
      <c r="M17" s="28"/>
      <c r="N17" s="28"/>
      <c r="O17" s="28"/>
    </row>
    <row r="18" spans="1:15" ht="31">
      <c r="A18" s="28"/>
      <c r="B18" s="28" t="s">
        <v>445</v>
      </c>
      <c r="C18" s="58">
        <v>0.05</v>
      </c>
      <c r="D18" s="59" t="s">
        <v>446</v>
      </c>
      <c r="F18" s="33">
        <f>C18*H16*1000000</f>
        <v>13185.308848080136</v>
      </c>
      <c r="G18" s="33">
        <f>C18*G17</f>
        <v>13185</v>
      </c>
      <c r="H18" s="34">
        <f>F18/1000000</f>
        <v>1.3185308848080135E-2</v>
      </c>
      <c r="I18" s="34">
        <v>3.8594160075167236E-5</v>
      </c>
      <c r="O18" s="28"/>
    </row>
    <row r="19" spans="1:15">
      <c r="A19" s="28"/>
      <c r="B19" s="28" t="s">
        <v>447</v>
      </c>
      <c r="C19" s="58">
        <v>0.01</v>
      </c>
      <c r="D19" s="59" t="s">
        <v>448</v>
      </c>
      <c r="F19" s="33">
        <f>'Capital Cost'!K33*C19</f>
        <v>195280.3639</v>
      </c>
      <c r="G19" s="33"/>
      <c r="H19" s="34">
        <f>F19/1000000</f>
        <v>0.1952803639</v>
      </c>
      <c r="I19" s="344">
        <v>2.8004575813968458E-4</v>
      </c>
      <c r="O19" s="28"/>
    </row>
    <row r="20" spans="1:15">
      <c r="A20" s="28"/>
      <c r="B20" s="28" t="s">
        <v>449</v>
      </c>
      <c r="C20" s="60">
        <v>0.02</v>
      </c>
      <c r="D20" s="59" t="s">
        <v>448</v>
      </c>
      <c r="F20" s="33">
        <f>'Capital Cost'!K33*'Labor Costs'!C20</f>
        <v>390560.72779999999</v>
      </c>
      <c r="G20" s="33">
        <f>ROUND(F20,-2)</f>
        <v>390600</v>
      </c>
      <c r="H20" s="34">
        <f>F20/1000000</f>
        <v>0.39056072780000001</v>
      </c>
      <c r="I20" s="34">
        <v>5.6009151627936917E-4</v>
      </c>
      <c r="O20" s="28"/>
    </row>
    <row r="21" spans="1:15">
      <c r="A21" s="28"/>
      <c r="B21" s="28"/>
      <c r="C21" s="28"/>
      <c r="D21" s="33"/>
      <c r="F21" s="33"/>
      <c r="G21" s="34"/>
      <c r="H21" s="34"/>
      <c r="I21" s="34"/>
      <c r="J21" s="28"/>
      <c r="L21" s="28"/>
      <c r="M21" s="28"/>
      <c r="N21" s="28"/>
      <c r="O21" s="28"/>
    </row>
    <row r="22" spans="1:15">
      <c r="A22" s="28"/>
      <c r="B22" s="29" t="s">
        <v>450</v>
      </c>
      <c r="C22" s="28"/>
      <c r="D22" s="33"/>
      <c r="F22" s="33"/>
      <c r="G22" s="34"/>
      <c r="H22" s="57">
        <f>SUM(H16:H20)</f>
        <v>0.8627325775096828</v>
      </c>
      <c r="I22" s="57">
        <f>SUM(I16:I20)</f>
        <v>1.6506146359975657E-3</v>
      </c>
      <c r="J22" s="28"/>
      <c r="L22" s="61"/>
      <c r="M22" s="28"/>
      <c r="N22" s="28"/>
      <c r="O22" s="28"/>
    </row>
    <row r="23" spans="1:15">
      <c r="A23" s="28"/>
      <c r="B23" s="28"/>
      <c r="C23" s="28"/>
      <c r="D23" s="33"/>
      <c r="F23" s="33"/>
      <c r="G23" s="34"/>
      <c r="H23" s="34"/>
      <c r="I23" s="34"/>
      <c r="J23" s="28"/>
      <c r="L23" s="28"/>
      <c r="M23" s="28"/>
      <c r="N23" s="28"/>
      <c r="O23" s="28"/>
    </row>
    <row r="24" spans="1:15">
      <c r="A24" s="28"/>
      <c r="B24" s="28"/>
      <c r="C24" s="33"/>
      <c r="D24" s="33"/>
      <c r="F24" s="33"/>
      <c r="G24" s="34"/>
      <c r="H24" s="34"/>
      <c r="I24" s="34"/>
      <c r="J24" s="28"/>
      <c r="L24" s="28"/>
      <c r="M24" s="28"/>
      <c r="N24" s="28"/>
      <c r="O24" s="28"/>
    </row>
    <row r="25" spans="1:15">
      <c r="A25" s="28"/>
      <c r="B25" s="62"/>
      <c r="C25" s="50"/>
      <c r="D25" s="33"/>
      <c r="F25" s="33"/>
      <c r="G25" s="34"/>
      <c r="H25" s="57"/>
      <c r="I25" s="57"/>
      <c r="J25" s="28"/>
      <c r="L25" s="28"/>
      <c r="M25" s="28"/>
      <c r="N25" s="28"/>
      <c r="O25" s="28"/>
    </row>
    <row r="26" spans="1:15" s="51" customFormat="1" ht="13">
      <c r="A26" s="50"/>
      <c r="B26" s="63" t="s">
        <v>451</v>
      </c>
      <c r="C26" s="50"/>
      <c r="D26" s="50"/>
      <c r="F26" s="50"/>
      <c r="G26" s="50"/>
      <c r="H26" s="50"/>
      <c r="I26" s="50"/>
      <c r="J26" s="63" t="s">
        <v>452</v>
      </c>
      <c r="L26" s="50"/>
      <c r="M26" s="50"/>
      <c r="N26" s="50"/>
      <c r="O26" s="50"/>
    </row>
    <row r="27" spans="1:15" s="51" customFormat="1" ht="14">
      <c r="A27" s="50"/>
      <c r="B27" s="50" t="s">
        <v>453</v>
      </c>
      <c r="C27" s="50" t="s">
        <v>454</v>
      </c>
      <c r="D27" s="50"/>
      <c r="F27" s="50"/>
      <c r="G27" s="50"/>
      <c r="J27" s="34" t="s">
        <v>455</v>
      </c>
      <c r="L27" s="64">
        <f>(F18+F16)/D16</f>
        <v>58296.327212020034</v>
      </c>
      <c r="M27" s="28"/>
      <c r="N27" s="28"/>
      <c r="O27" s="50"/>
    </row>
    <row r="28" spans="1:15" s="51" customFormat="1" ht="14">
      <c r="A28" s="50"/>
      <c r="B28" s="65" t="s">
        <v>456</v>
      </c>
      <c r="C28" s="50" t="s">
        <v>457</v>
      </c>
      <c r="D28" s="245" t="s">
        <v>458</v>
      </c>
      <c r="F28" s="65"/>
      <c r="G28" s="50"/>
      <c r="J28" s="28" t="s">
        <v>459</v>
      </c>
      <c r="L28" s="64">
        <f>H10/0.75</f>
        <v>0</v>
      </c>
      <c r="M28" s="28"/>
      <c r="O28" s="50"/>
    </row>
    <row r="29" spans="1:15" s="51" customFormat="1" ht="13">
      <c r="A29" s="50"/>
      <c r="B29" s="50" t="s">
        <v>460</v>
      </c>
      <c r="C29" s="50"/>
      <c r="D29" s="50"/>
      <c r="F29" s="50"/>
      <c r="G29" s="50"/>
      <c r="O29" s="50"/>
    </row>
    <row r="30" spans="1:15" s="51" customFormat="1" ht="14">
      <c r="A30" s="50"/>
      <c r="B30" s="50" t="s">
        <v>461</v>
      </c>
      <c r="C30" s="50"/>
      <c r="F30" s="50"/>
      <c r="G30" s="50"/>
      <c r="H30" s="50"/>
      <c r="I30" s="50"/>
      <c r="J30" s="34" t="s">
        <v>462</v>
      </c>
      <c r="L30" s="34">
        <f>L27/2080</f>
        <v>28.027080390394246</v>
      </c>
      <c r="M30" s="28"/>
      <c r="O30" s="50"/>
    </row>
    <row r="31" spans="1:15" s="51" customFormat="1" ht="28">
      <c r="A31" s="50"/>
      <c r="B31" s="65" t="s">
        <v>463</v>
      </c>
      <c r="C31" s="50"/>
      <c r="D31" s="50"/>
      <c r="F31" s="50"/>
      <c r="H31" s="50"/>
      <c r="I31" s="50"/>
      <c r="J31" s="66" t="s">
        <v>464</v>
      </c>
      <c r="K31" s="67"/>
      <c r="L31" s="66" t="e">
        <f>(L28/2080/D10)*1.1</f>
        <v>#DIV/0!</v>
      </c>
      <c r="M31" s="50"/>
      <c r="O31" s="50"/>
    </row>
    <row r="32" spans="1:15" s="51" customFormat="1" ht="14">
      <c r="A32" s="50"/>
      <c r="B32" s="50"/>
      <c r="C32" s="50"/>
      <c r="D32" s="50"/>
      <c r="F32" s="50"/>
      <c r="G32" s="50"/>
      <c r="H32" s="50"/>
      <c r="I32" s="50"/>
      <c r="J32" s="28" t="s">
        <v>465</v>
      </c>
      <c r="L32" s="68">
        <v>42.5</v>
      </c>
      <c r="M32" s="50"/>
      <c r="N32" s="50"/>
      <c r="O32" s="50"/>
    </row>
    <row r="33" spans="1:42" s="51" customFormat="1" ht="13">
      <c r="A33" s="50"/>
      <c r="B33" s="50"/>
      <c r="C33" s="50"/>
      <c r="D33" s="50"/>
      <c r="F33" s="50"/>
      <c r="G33" s="50"/>
      <c r="H33" s="50"/>
      <c r="I33" s="50"/>
      <c r="J33" s="50" t="s">
        <v>466</v>
      </c>
      <c r="L33" s="50"/>
      <c r="M33" s="50"/>
      <c r="N33" s="50"/>
      <c r="O33" s="50"/>
    </row>
    <row r="34" spans="1:42" s="51" customFormat="1" ht="13">
      <c r="A34" s="50"/>
      <c r="B34" s="69" t="s">
        <v>275</v>
      </c>
      <c r="C34" s="69" t="s">
        <v>467</v>
      </c>
      <c r="D34" s="63"/>
      <c r="E34" s="63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42" s="51" customFormat="1" ht="13">
      <c r="A35" s="50"/>
      <c r="B35" s="50">
        <v>1997</v>
      </c>
      <c r="C35" s="70">
        <v>15.78</v>
      </c>
      <c r="D35" s="63"/>
      <c r="E35" s="63"/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42" s="51" customFormat="1" ht="13">
      <c r="A36" s="50"/>
      <c r="B36" s="50">
        <v>1998</v>
      </c>
      <c r="C36" s="70">
        <v>16.23</v>
      </c>
      <c r="D36" s="63"/>
      <c r="E36" s="63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42" s="51" customFormat="1" ht="13">
      <c r="A37" s="50"/>
      <c r="B37" s="50">
        <v>1999</v>
      </c>
      <c r="C37" s="70">
        <v>16.399999999999999</v>
      </c>
      <c r="D37" s="63"/>
      <c r="E37" s="63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42" s="51" customFormat="1" ht="13">
      <c r="A38" s="50"/>
      <c r="B38" s="50">
        <v>2000</v>
      </c>
      <c r="C38" s="70">
        <v>17.09</v>
      </c>
      <c r="D38" s="63"/>
      <c r="E38" s="63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42" s="51" customFormat="1" ht="13">
      <c r="A39" s="50"/>
      <c r="B39" s="50">
        <v>2001</v>
      </c>
      <c r="C39" s="70">
        <v>17.57</v>
      </c>
      <c r="D39" s="63"/>
      <c r="E39" s="63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42" s="51" customFormat="1" ht="13">
      <c r="A40" s="50"/>
      <c r="B40" s="50">
        <v>2002</v>
      </c>
      <c r="C40" s="71">
        <v>17.97</v>
      </c>
      <c r="D40" s="72"/>
      <c r="E40" s="72"/>
      <c r="F40" s="50"/>
      <c r="G40" s="50"/>
      <c r="H40" s="50"/>
      <c r="I40" s="50"/>
      <c r="J40" s="50"/>
      <c r="K40" s="50"/>
      <c r="L40" s="73"/>
      <c r="M40" s="74"/>
      <c r="N40" s="68"/>
      <c r="O40" s="50"/>
    </row>
    <row r="41" spans="1:42" s="51" customFormat="1" ht="13">
      <c r="A41" s="50"/>
      <c r="B41" s="50">
        <v>2003</v>
      </c>
      <c r="C41" s="71">
        <v>18.5</v>
      </c>
      <c r="D41" s="72"/>
      <c r="E41" s="72"/>
      <c r="F41" s="50"/>
      <c r="G41" s="50"/>
      <c r="H41" s="50"/>
      <c r="I41" s="50"/>
      <c r="J41" s="50"/>
      <c r="K41" s="50"/>
      <c r="L41" s="73"/>
      <c r="M41" s="75"/>
      <c r="N41" s="68"/>
      <c r="O41" s="50"/>
    </row>
    <row r="42" spans="1:42" s="51" customFormat="1" ht="13">
      <c r="A42" s="50"/>
      <c r="B42" s="50">
        <v>2004</v>
      </c>
      <c r="C42" s="71">
        <v>19.170000000000002</v>
      </c>
      <c r="D42" s="72"/>
      <c r="E42" s="72"/>
      <c r="F42" s="50"/>
      <c r="G42" s="50"/>
      <c r="H42" s="50"/>
      <c r="I42" s="50"/>
      <c r="J42" s="50"/>
      <c r="K42" s="50"/>
      <c r="L42" s="73"/>
      <c r="M42" s="75"/>
      <c r="N42" s="68"/>
      <c r="O42" s="50"/>
    </row>
    <row r="43" spans="1:42" s="51" customFormat="1" ht="13">
      <c r="A43" s="50"/>
      <c r="B43" s="50">
        <v>2005</v>
      </c>
      <c r="C43" s="71">
        <v>19.670000000000002</v>
      </c>
      <c r="D43" s="72"/>
      <c r="E43" s="72"/>
      <c r="F43" s="50"/>
      <c r="G43" s="50"/>
      <c r="H43" s="50"/>
      <c r="I43" s="50"/>
      <c r="J43" s="50"/>
      <c r="K43" s="50"/>
      <c r="L43" s="73"/>
      <c r="M43" s="75"/>
      <c r="N43" s="68"/>
      <c r="O43" s="50"/>
    </row>
    <row r="44" spans="1:42" s="51" customFormat="1" ht="13">
      <c r="A44" s="50"/>
      <c r="B44" s="50">
        <v>2006</v>
      </c>
      <c r="C44" s="71">
        <v>19.600000000000001</v>
      </c>
      <c r="D44" s="72"/>
      <c r="E44" s="72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42" s="51" customFormat="1" ht="13">
      <c r="A45" s="50"/>
      <c r="B45" s="50">
        <v>2007</v>
      </c>
      <c r="C45" s="71">
        <v>19.55</v>
      </c>
      <c r="D45" s="72"/>
      <c r="E45" s="72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s="51" customFormat="1" ht="13">
      <c r="A46" s="50"/>
      <c r="B46" s="50">
        <v>2008</v>
      </c>
      <c r="C46" s="71">
        <v>19.5</v>
      </c>
      <c r="D46" s="76"/>
      <c r="E46" s="72"/>
      <c r="F46" s="77">
        <v>2011</v>
      </c>
      <c r="G46" s="78"/>
      <c r="H46" s="63">
        <v>2012</v>
      </c>
      <c r="I46" s="50"/>
      <c r="J46" s="50"/>
      <c r="K46" s="50"/>
      <c r="L46" s="50"/>
      <c r="M46" s="50"/>
      <c r="N46" s="50"/>
      <c r="O46" s="50"/>
      <c r="P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s="51" customFormat="1" ht="13">
      <c r="A47" s="50"/>
      <c r="B47" s="50">
        <v>2009</v>
      </c>
      <c r="C47" s="71">
        <v>20.3</v>
      </c>
      <c r="E47" s="72" t="s">
        <v>468</v>
      </c>
      <c r="F47" s="68">
        <v>21.39</v>
      </c>
      <c r="G47" s="8"/>
      <c r="H47" s="79">
        <v>22.68</v>
      </c>
      <c r="I47" s="51" t="s">
        <v>469</v>
      </c>
      <c r="P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s="51" customFormat="1" ht="13">
      <c r="A48" s="50"/>
      <c r="B48" s="50">
        <v>2010</v>
      </c>
      <c r="C48" s="72">
        <v>21.07</v>
      </c>
      <c r="D48" s="77"/>
      <c r="E48" s="72" t="s">
        <v>470</v>
      </c>
      <c r="F48" s="68">
        <v>21.1</v>
      </c>
      <c r="G48" s="78"/>
      <c r="H48" s="50"/>
      <c r="I48" s="50"/>
      <c r="J48" s="50"/>
      <c r="K48" s="50"/>
      <c r="L48" s="50"/>
      <c r="M48" s="50"/>
      <c r="N48" s="50"/>
      <c r="O48" s="50"/>
      <c r="P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s="51" customFormat="1" ht="13">
      <c r="A49" s="50"/>
      <c r="B49" s="50">
        <v>2011</v>
      </c>
      <c r="C49" s="80">
        <f>F59</f>
        <v>21.54</v>
      </c>
      <c r="D49" s="77"/>
      <c r="E49" s="72" t="s">
        <v>471</v>
      </c>
      <c r="F49" s="68">
        <v>21.34</v>
      </c>
      <c r="G49" s="78"/>
      <c r="H49" s="50"/>
      <c r="I49" s="50"/>
      <c r="J49" s="50"/>
      <c r="K49" s="50"/>
      <c r="L49" s="50"/>
      <c r="M49" s="50"/>
      <c r="N49" s="50"/>
      <c r="O49" s="50"/>
      <c r="P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1:42" s="51" customFormat="1" ht="13">
      <c r="A50" s="50"/>
      <c r="B50" s="50">
        <v>2012</v>
      </c>
      <c r="C50" s="50"/>
      <c r="D50" s="77"/>
      <c r="E50" s="72" t="s">
        <v>472</v>
      </c>
      <c r="F50" s="68">
        <v>21.25</v>
      </c>
      <c r="G50" s="78"/>
      <c r="H50" s="50"/>
      <c r="I50" s="50"/>
      <c r="J50" s="50"/>
      <c r="K50" s="50"/>
      <c r="L50" s="50"/>
      <c r="M50" s="50"/>
      <c r="N50" s="50"/>
      <c r="O50" s="50"/>
      <c r="P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spans="1:42" s="51" customFormat="1" ht="13">
      <c r="A51" s="50"/>
      <c r="B51" s="50">
        <v>2013</v>
      </c>
      <c r="C51" s="50"/>
      <c r="D51" s="77"/>
      <c r="E51" s="72" t="s">
        <v>473</v>
      </c>
      <c r="F51" s="68">
        <v>21.47</v>
      </c>
      <c r="G51" s="78"/>
      <c r="H51" s="50"/>
      <c r="I51" s="50"/>
      <c r="J51" s="50"/>
      <c r="K51" s="50"/>
      <c r="L51" s="50"/>
      <c r="M51" s="50"/>
      <c r="N51" s="50"/>
      <c r="O51" s="50"/>
      <c r="P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s="51" customFormat="1" ht="13">
      <c r="A52" s="50"/>
      <c r="B52" s="50">
        <v>2014</v>
      </c>
      <c r="C52" s="50"/>
      <c r="D52" s="77"/>
      <c r="E52" s="72" t="s">
        <v>474</v>
      </c>
      <c r="F52" s="68">
        <v>21.6</v>
      </c>
      <c r="G52" s="78"/>
      <c r="H52" s="50"/>
      <c r="I52" s="50"/>
      <c r="J52" s="50"/>
      <c r="K52" s="50"/>
      <c r="L52" s="50"/>
      <c r="M52" s="50"/>
      <c r="N52" s="50"/>
      <c r="O52" s="50"/>
      <c r="P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1:42" s="51" customFormat="1" ht="13">
      <c r="A53" s="50"/>
      <c r="B53" s="50">
        <v>2015</v>
      </c>
      <c r="C53" s="50"/>
      <c r="D53" s="77"/>
      <c r="E53" s="72" t="s">
        <v>475</v>
      </c>
      <c r="F53" s="68">
        <v>21.8</v>
      </c>
      <c r="H53" s="50"/>
      <c r="I53" s="50"/>
      <c r="J53" s="50"/>
      <c r="K53" s="50"/>
      <c r="L53" s="50"/>
      <c r="M53" s="50"/>
      <c r="N53" s="50"/>
      <c r="O53" s="50"/>
      <c r="P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s="51" customFormat="1" ht="13">
      <c r="A54" s="50"/>
      <c r="B54" s="50">
        <v>2016</v>
      </c>
      <c r="C54" s="50"/>
      <c r="D54" s="77"/>
      <c r="E54" s="72" t="s">
        <v>476</v>
      </c>
      <c r="F54" s="68">
        <v>21.46</v>
      </c>
      <c r="H54" s="50"/>
      <c r="I54" s="50"/>
      <c r="J54" s="50"/>
      <c r="K54" s="50"/>
      <c r="L54" s="50"/>
      <c r="M54" s="50"/>
      <c r="N54" s="50"/>
      <c r="O54" s="50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1:42" s="51" customFormat="1" ht="13">
      <c r="A55" s="50"/>
      <c r="B55" s="50">
        <v>2017</v>
      </c>
      <c r="C55" s="50"/>
      <c r="D55" s="77"/>
      <c r="E55" s="72" t="s">
        <v>477</v>
      </c>
      <c r="F55" s="68">
        <v>21.5</v>
      </c>
      <c r="G55" s="78"/>
      <c r="H55" s="50"/>
      <c r="I55" s="50"/>
      <c r="J55" s="50"/>
      <c r="K55" s="50"/>
      <c r="L55" s="50"/>
      <c r="M55" s="50"/>
      <c r="N55" s="50"/>
      <c r="O55" s="50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42" s="8" customFormat="1" ht="13">
      <c r="A56" s="78"/>
      <c r="B56" s="50">
        <v>2018</v>
      </c>
      <c r="C56" s="78"/>
      <c r="D56" s="77"/>
      <c r="E56" s="72" t="s">
        <v>478</v>
      </c>
      <c r="F56" s="68">
        <v>21.49</v>
      </c>
      <c r="H56" s="78"/>
      <c r="J56" s="78"/>
      <c r="K56" s="78"/>
      <c r="L56" s="78"/>
      <c r="M56" s="78"/>
      <c r="N56" s="78"/>
      <c r="O56" s="78"/>
    </row>
    <row r="57" spans="1:42" s="8" customFormat="1" ht="13">
      <c r="A57" s="78"/>
      <c r="B57" s="50">
        <v>2019</v>
      </c>
      <c r="C57" s="78"/>
      <c r="D57" s="77"/>
      <c r="E57" s="72" t="s">
        <v>479</v>
      </c>
      <c r="F57" s="68">
        <v>21.33</v>
      </c>
      <c r="H57" s="81"/>
      <c r="J57" s="81"/>
      <c r="K57" s="81"/>
      <c r="L57" s="78"/>
      <c r="M57" s="78"/>
      <c r="N57" s="78"/>
      <c r="O57" s="78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42" s="8" customFormat="1" ht="13">
      <c r="A58" s="78"/>
      <c r="B58" s="50">
        <v>2020</v>
      </c>
      <c r="C58" s="78"/>
      <c r="D58" s="77"/>
      <c r="E58" s="72" t="s">
        <v>480</v>
      </c>
      <c r="F58" s="83">
        <v>22.67</v>
      </c>
      <c r="G58" s="78" t="s">
        <v>469</v>
      </c>
      <c r="H58" s="81"/>
      <c r="J58" s="81"/>
      <c r="K58" s="81"/>
      <c r="L58" s="78"/>
      <c r="M58" s="78"/>
      <c r="N58" s="78"/>
      <c r="O58" s="78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42" s="8" customFormat="1" ht="13">
      <c r="A59" s="78"/>
      <c r="B59" s="50">
        <v>2021</v>
      </c>
      <c r="C59" s="78"/>
      <c r="D59" s="84" t="s">
        <v>481</v>
      </c>
      <c r="E59" s="85"/>
      <c r="F59" s="86">
        <v>21.54</v>
      </c>
      <c r="G59" s="81" t="s">
        <v>469</v>
      </c>
      <c r="H59" s="81"/>
      <c r="I59" s="81"/>
      <c r="J59" s="81"/>
      <c r="K59" s="81"/>
      <c r="L59" s="78"/>
      <c r="M59" s="78"/>
      <c r="N59" s="78"/>
      <c r="O59" s="78"/>
    </row>
    <row r="60" spans="1:42" s="51" customFormat="1" ht="13">
      <c r="A60" s="50"/>
      <c r="B60" s="50">
        <v>2022</v>
      </c>
      <c r="C60" s="78"/>
      <c r="D60" s="9" t="s">
        <v>482</v>
      </c>
      <c r="E60" s="84"/>
      <c r="F60" s="78"/>
      <c r="G60" s="78"/>
      <c r="H60" s="50"/>
      <c r="I60" s="50"/>
      <c r="J60" s="50"/>
      <c r="K60" s="50"/>
      <c r="L60" s="50"/>
      <c r="M60" s="50"/>
      <c r="N60" s="50"/>
      <c r="O60" s="50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1:42" s="51" customFormat="1" ht="13">
      <c r="A61" s="50"/>
      <c r="B61" s="50"/>
      <c r="C61" s="78"/>
      <c r="D61" s="9"/>
      <c r="E61" s="84"/>
      <c r="F61" s="78"/>
      <c r="G61" s="78"/>
      <c r="H61" s="50"/>
      <c r="I61" s="50"/>
      <c r="J61" s="50"/>
      <c r="K61" s="50"/>
      <c r="L61" s="50"/>
      <c r="M61" s="50"/>
      <c r="N61" s="50"/>
      <c r="O61" s="50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1:42" s="51" customFormat="1" ht="13">
      <c r="A62" s="50"/>
      <c r="B62" s="50"/>
      <c r="C62" s="50"/>
      <c r="D62" s="9"/>
      <c r="E62" s="84"/>
      <c r="F62" s="78"/>
      <c r="G62" s="78"/>
      <c r="H62" s="50"/>
      <c r="I62" s="50"/>
      <c r="J62" s="50"/>
      <c r="K62" s="50"/>
      <c r="L62" s="50"/>
      <c r="M62" s="50"/>
      <c r="N62" s="50"/>
      <c r="O62" s="50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s="51" customFormat="1" ht="16">
      <c r="A63" s="50"/>
      <c r="C63" s="50"/>
      <c r="D63" s="50"/>
      <c r="E63" s="50"/>
      <c r="F63" s="50"/>
      <c r="G63" s="50"/>
      <c r="H63" s="87"/>
      <c r="I63" s="50"/>
      <c r="J63" s="50"/>
      <c r="K63" s="50"/>
      <c r="L63" s="50"/>
      <c r="M63" s="50"/>
      <c r="N63" s="50"/>
      <c r="O63" s="50"/>
    </row>
    <row r="64" spans="1:42" s="51" customFormat="1" ht="16">
      <c r="A64" s="50"/>
      <c r="C64" s="50"/>
      <c r="D64" s="50"/>
      <c r="E64" s="50"/>
      <c r="F64" s="50"/>
      <c r="G64" s="50"/>
      <c r="H64" s="87"/>
      <c r="I64" s="50"/>
      <c r="J64" s="50"/>
      <c r="K64" s="50"/>
      <c r="L64" s="50"/>
      <c r="M64" s="50"/>
      <c r="N64" s="50"/>
      <c r="O64" s="50"/>
    </row>
    <row r="65" spans="1:15" s="51" customFormat="1" ht="16">
      <c r="A65" s="50"/>
      <c r="B65" s="50"/>
      <c r="C65" s="50"/>
      <c r="D65" s="50"/>
      <c r="E65" s="50"/>
      <c r="F65" s="50"/>
      <c r="G65" s="50"/>
      <c r="H65" s="87"/>
      <c r="I65" s="50"/>
      <c r="J65" s="50"/>
      <c r="K65" s="50"/>
      <c r="L65" s="50"/>
      <c r="M65" s="50"/>
      <c r="N65" s="50"/>
      <c r="O65" s="50"/>
    </row>
    <row r="66" spans="1:15" s="51" customFormat="1" ht="16">
      <c r="A66" s="50"/>
      <c r="G66" s="50"/>
      <c r="H66" s="87"/>
      <c r="I66" s="50"/>
      <c r="J66" s="50"/>
      <c r="K66" s="50"/>
      <c r="L66" s="50"/>
      <c r="M66" s="50"/>
      <c r="N66" s="50"/>
      <c r="O66" s="50"/>
    </row>
    <row r="67" spans="1:15" s="51" customFormat="1" ht="16">
      <c r="A67" s="50"/>
      <c r="G67" s="50"/>
      <c r="H67" s="87"/>
      <c r="I67" s="50"/>
      <c r="J67" s="50"/>
      <c r="K67" s="50"/>
      <c r="L67" s="50"/>
      <c r="M67" s="50"/>
      <c r="N67" s="50"/>
      <c r="O67" s="50"/>
    </row>
    <row r="68" spans="1:15" s="51" customFormat="1" ht="16">
      <c r="A68" s="50"/>
      <c r="G68" s="50"/>
      <c r="H68" s="87"/>
      <c r="I68" s="50"/>
      <c r="J68" s="50"/>
      <c r="K68" s="50"/>
      <c r="L68" s="50"/>
      <c r="M68" s="50"/>
      <c r="N68" s="50"/>
      <c r="O68" s="50"/>
    </row>
    <row r="69" spans="1:15" s="51" customFormat="1" ht="16">
      <c r="A69" s="50"/>
      <c r="G69" s="50"/>
      <c r="H69" s="87"/>
      <c r="I69" s="50"/>
      <c r="J69" s="50"/>
      <c r="K69" s="50"/>
      <c r="L69" s="50"/>
      <c r="M69" s="50"/>
      <c r="N69" s="50"/>
      <c r="O69" s="50"/>
    </row>
    <row r="70" spans="1:15" s="51" customFormat="1" ht="16">
      <c r="A70" s="50"/>
      <c r="G70" s="50"/>
      <c r="H70" s="87"/>
      <c r="I70" s="50"/>
      <c r="J70" s="50"/>
      <c r="K70" s="50"/>
      <c r="L70" s="50"/>
      <c r="M70" s="50"/>
      <c r="N70" s="50"/>
      <c r="O70" s="50"/>
    </row>
    <row r="71" spans="1:15" s="51" customFormat="1" ht="16">
      <c r="A71" s="50"/>
      <c r="G71" s="50"/>
      <c r="H71" s="87"/>
      <c r="I71" s="50"/>
      <c r="J71" s="50"/>
      <c r="K71" s="50"/>
      <c r="L71" s="50"/>
      <c r="M71" s="50"/>
      <c r="N71" s="50"/>
      <c r="O71" s="50"/>
    </row>
    <row r="72" spans="1:15" s="51" customFormat="1" ht="16">
      <c r="A72" s="50"/>
      <c r="G72" s="50"/>
      <c r="H72" s="87"/>
      <c r="I72" s="50"/>
      <c r="J72" s="50"/>
      <c r="K72" s="50"/>
      <c r="L72" s="50"/>
      <c r="M72" s="50"/>
      <c r="N72" s="50"/>
      <c r="O72" s="50"/>
    </row>
    <row r="73" spans="1:15" s="51" customFormat="1" ht="13">
      <c r="A73" s="50"/>
      <c r="G73" s="50"/>
      <c r="H73" s="50"/>
      <c r="I73" s="50"/>
      <c r="J73" s="50"/>
      <c r="K73" s="50"/>
      <c r="L73" s="50"/>
      <c r="M73" s="50"/>
      <c r="N73" s="50"/>
      <c r="O73" s="50"/>
    </row>
    <row r="74" spans="1:15" s="51" customFormat="1" ht="13">
      <c r="A74" s="50"/>
      <c r="G74" s="50"/>
      <c r="H74" s="50"/>
      <c r="I74" s="50"/>
      <c r="J74" s="50"/>
      <c r="K74" s="50"/>
      <c r="L74" s="50"/>
      <c r="M74" s="50"/>
      <c r="N74" s="50"/>
      <c r="O74" s="50"/>
    </row>
    <row r="75" spans="1:15" s="51" customFormat="1" ht="13">
      <c r="A75" s="50"/>
      <c r="G75" s="50"/>
      <c r="H75" s="50"/>
      <c r="I75" s="50"/>
      <c r="J75" s="50"/>
      <c r="K75" s="50"/>
      <c r="L75" s="50"/>
      <c r="M75" s="50"/>
      <c r="N75" s="50"/>
      <c r="O75" s="50"/>
    </row>
    <row r="76" spans="1:15" s="51" customFormat="1" ht="13">
      <c r="A76" s="50"/>
      <c r="G76" s="50"/>
      <c r="H76" s="50"/>
      <c r="I76" s="50"/>
      <c r="J76" s="50"/>
      <c r="K76" s="50"/>
      <c r="L76" s="50"/>
      <c r="M76" s="50"/>
      <c r="N76" s="50"/>
      <c r="O76" s="50"/>
    </row>
    <row r="77" spans="1:15" s="51" customFormat="1" ht="13">
      <c r="A77" s="50"/>
      <c r="G77" s="50"/>
      <c r="H77" s="50"/>
      <c r="I77" s="50"/>
      <c r="J77" s="50"/>
      <c r="K77" s="50"/>
      <c r="L77" s="50"/>
      <c r="M77" s="50"/>
      <c r="N77" s="50"/>
      <c r="O77" s="50"/>
    </row>
    <row r="78" spans="1:15" s="51" customFormat="1" ht="13">
      <c r="A78" s="50"/>
      <c r="G78" s="50"/>
      <c r="H78" s="50"/>
      <c r="I78" s="50"/>
      <c r="J78" s="50"/>
      <c r="K78" s="50"/>
      <c r="L78" s="50"/>
      <c r="M78" s="50"/>
      <c r="N78" s="50"/>
      <c r="O78" s="50"/>
    </row>
    <row r="79" spans="1:15" s="51" customFormat="1" ht="13">
      <c r="A79" s="50"/>
      <c r="G79" s="50"/>
      <c r="H79" s="50"/>
      <c r="I79" s="50"/>
      <c r="J79" s="50"/>
      <c r="K79" s="50"/>
      <c r="L79" s="50"/>
      <c r="M79" s="50"/>
      <c r="N79" s="50"/>
      <c r="O79" s="50"/>
    </row>
    <row r="80" spans="1:15" s="51" customFormat="1" ht="13">
      <c r="A80" s="50"/>
      <c r="G80" s="50"/>
      <c r="H80" s="50"/>
      <c r="I80" s="50"/>
      <c r="J80" s="50"/>
      <c r="K80" s="50"/>
      <c r="L80" s="50"/>
      <c r="M80" s="50"/>
      <c r="N80" s="50"/>
      <c r="O80" s="50"/>
    </row>
    <row r="81" spans="1:15" s="51" customFormat="1" ht="13">
      <c r="A81" s="50"/>
      <c r="G81" s="50"/>
      <c r="H81" s="50"/>
      <c r="I81" s="50"/>
      <c r="J81" s="50"/>
      <c r="K81" s="50"/>
      <c r="L81" s="50"/>
      <c r="M81" s="50"/>
      <c r="N81" s="50"/>
      <c r="O81" s="50"/>
    </row>
    <row r="82" spans="1:15" s="51" customFormat="1" ht="13">
      <c r="A82" s="50"/>
      <c r="G82" s="50"/>
      <c r="H82" s="50"/>
      <c r="I82" s="50"/>
      <c r="J82" s="50"/>
      <c r="K82" s="50"/>
      <c r="L82" s="50"/>
      <c r="M82" s="50"/>
      <c r="N82" s="50"/>
      <c r="O82" s="50"/>
    </row>
    <row r="83" spans="1:15" s="51" customFormat="1" ht="13">
      <c r="A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5" s="51" customFormat="1" ht="13">
      <c r="A84" s="50"/>
      <c r="G84" s="50"/>
      <c r="H84" s="50"/>
      <c r="I84" s="50"/>
      <c r="J84" s="50"/>
      <c r="K84" s="50"/>
      <c r="L84" s="50"/>
      <c r="M84" s="50"/>
      <c r="N84" s="50"/>
      <c r="O84" s="50"/>
    </row>
    <row r="85" spans="1:15" s="51" customFormat="1" ht="13">
      <c r="A85" s="50"/>
      <c r="G85" s="50"/>
      <c r="H85" s="50"/>
      <c r="I85" s="50"/>
      <c r="J85" s="50"/>
      <c r="K85" s="50"/>
      <c r="L85" s="50"/>
      <c r="M85" s="50"/>
      <c r="N85" s="50"/>
      <c r="O85" s="50"/>
    </row>
    <row r="86" spans="1:15">
      <c r="A86" s="28"/>
      <c r="C86" s="35"/>
      <c r="D86" s="35"/>
      <c r="E86" s="35"/>
      <c r="F86" s="35"/>
      <c r="G86" s="28"/>
      <c r="H86" s="28"/>
      <c r="I86" s="28"/>
      <c r="J86" s="28"/>
      <c r="K86" s="28"/>
      <c r="L86" s="28"/>
      <c r="M86" s="28"/>
      <c r="N86" s="28"/>
      <c r="O86" s="28"/>
    </row>
    <row r="87" spans="1:15">
      <c r="A87" s="28"/>
      <c r="C87" s="35"/>
      <c r="D87" s="35"/>
      <c r="E87" s="35"/>
      <c r="F87" s="35"/>
      <c r="G87" s="28"/>
      <c r="H87" s="28"/>
      <c r="I87" s="28"/>
      <c r="J87" s="28"/>
      <c r="K87" s="28"/>
      <c r="L87" s="28"/>
      <c r="M87" s="28"/>
      <c r="N87" s="28"/>
      <c r="O87" s="28"/>
    </row>
    <row r="88" spans="1:15">
      <c r="A88" s="28"/>
      <c r="C88" s="35"/>
      <c r="D88" s="35"/>
      <c r="E88" s="35"/>
      <c r="F88" s="35"/>
      <c r="G88" s="28"/>
      <c r="H88" s="28"/>
      <c r="I88" s="28"/>
      <c r="J88" s="28"/>
      <c r="K88" s="28"/>
      <c r="L88" s="28"/>
      <c r="M88" s="28"/>
      <c r="N88" s="28"/>
      <c r="O88" s="28"/>
    </row>
    <row r="89" spans="1:15">
      <c r="A89" s="28"/>
      <c r="C89" s="35"/>
      <c r="D89" s="35"/>
      <c r="E89" s="35"/>
      <c r="F89" s="35"/>
      <c r="G89" s="28"/>
      <c r="H89" s="28"/>
      <c r="I89" s="28"/>
      <c r="J89" s="28"/>
      <c r="K89" s="28"/>
      <c r="L89" s="28"/>
      <c r="M89" s="28"/>
      <c r="N89" s="28"/>
      <c r="O89" s="28"/>
    </row>
    <row r="90" spans="1:15">
      <c r="A90" s="28"/>
      <c r="C90" s="35"/>
      <c r="D90" s="35"/>
      <c r="E90" s="35"/>
      <c r="F90" s="35"/>
      <c r="G90" s="28"/>
      <c r="H90" s="28"/>
      <c r="I90" s="28"/>
      <c r="J90" s="28"/>
      <c r="K90" s="28"/>
      <c r="L90" s="28"/>
      <c r="M90" s="28"/>
      <c r="N90" s="28"/>
      <c r="O90" s="28"/>
    </row>
    <row r="91" spans="1:15">
      <c r="A91" s="29"/>
      <c r="C91" s="35"/>
      <c r="D91" s="35"/>
      <c r="E91" s="35"/>
      <c r="F91" s="35"/>
      <c r="G91" s="29"/>
      <c r="H91" s="29"/>
      <c r="I91" s="28"/>
      <c r="J91" s="28"/>
      <c r="K91" s="28"/>
      <c r="L91" s="28"/>
      <c r="M91" s="28"/>
      <c r="N91" s="28"/>
      <c r="O91" s="28"/>
    </row>
    <row r="92" spans="1:15">
      <c r="A92" s="28"/>
      <c r="C92" s="35"/>
      <c r="D92" s="35"/>
      <c r="E92" s="35"/>
      <c r="F92" s="35"/>
      <c r="G92" s="28"/>
      <c r="H92" s="28"/>
      <c r="I92" s="28"/>
      <c r="J92" s="28"/>
      <c r="K92" s="28"/>
      <c r="L92" s="28"/>
      <c r="M92" s="28"/>
      <c r="N92" s="28"/>
      <c r="O92" s="28"/>
    </row>
    <row r="93" spans="1:15">
      <c r="A93" s="28"/>
      <c r="C93" s="35"/>
      <c r="D93" s="35"/>
      <c r="E93" s="35"/>
      <c r="F93" s="35"/>
      <c r="G93" s="28"/>
      <c r="H93" s="28"/>
      <c r="I93" s="28"/>
      <c r="J93" s="28"/>
      <c r="K93" s="28"/>
      <c r="L93" s="28"/>
      <c r="M93" s="28"/>
      <c r="N93" s="28"/>
      <c r="O93" s="28"/>
    </row>
    <row r="94" spans="1:15">
      <c r="A94" s="28"/>
      <c r="C94" s="35"/>
      <c r="D94" s="35"/>
      <c r="E94" s="35"/>
      <c r="F94" s="35"/>
      <c r="G94" s="28"/>
      <c r="H94" s="28"/>
      <c r="I94" s="28"/>
      <c r="J94" s="28"/>
      <c r="K94" s="28"/>
      <c r="L94" s="28"/>
      <c r="M94" s="28"/>
      <c r="N94" s="28"/>
      <c r="O94" s="28"/>
    </row>
    <row r="95" spans="1:15">
      <c r="A95" s="28"/>
      <c r="C95" s="35"/>
      <c r="D95" s="35"/>
      <c r="E95" s="35"/>
      <c r="F95" s="35"/>
      <c r="G95" s="28"/>
      <c r="H95" s="28"/>
      <c r="I95" s="28"/>
      <c r="J95" s="28"/>
      <c r="K95" s="28"/>
      <c r="L95" s="28"/>
      <c r="M95" s="28"/>
      <c r="N95" s="28"/>
      <c r="O95" s="28"/>
    </row>
    <row r="96" spans="1:15">
      <c r="C96" s="35"/>
      <c r="D96" s="35"/>
      <c r="E96" s="35"/>
      <c r="F96" s="35"/>
    </row>
    <row r="97" s="35" customFormat="1"/>
    <row r="98" s="35" customFormat="1"/>
    <row r="99" s="35" customFormat="1"/>
    <row r="100" s="35" customFormat="1"/>
    <row r="101" s="35" customFormat="1"/>
    <row r="102" s="35" customFormat="1"/>
    <row r="103" s="35" customFormat="1"/>
    <row r="104" s="35" customFormat="1"/>
    <row r="105" s="35" customFormat="1"/>
  </sheetData>
  <hyperlinks>
    <hyperlink ref="D28" r:id="rId1" xr:uid="{00000000-0004-0000-0700-000000000000}"/>
  </hyperlinks>
  <printOptions gridLines="1" gridLinesSet="0"/>
  <pageMargins left="0.75" right="0.28000000000000003" top="0.87" bottom="0.59" header="0.5" footer="0.5"/>
  <pageSetup scale="45" orientation="landscape" horizontalDpi="4294967292" r:id="rId2"/>
  <headerFooter>
    <oddHeader>&amp;C&amp;D&amp;R&amp;A</oddHeader>
    <oddFooter>&amp;F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4A83-A413-4C84-BB1F-1F94AB5AA20C}">
  <sheetPr codeName="Sheet19"/>
  <dimension ref="A1:L36"/>
  <sheetViews>
    <sheetView zoomScaleNormal="100" workbookViewId="0">
      <selection activeCell="E35" sqref="E35"/>
    </sheetView>
  </sheetViews>
  <sheetFormatPr baseColWidth="10" defaultColWidth="8.83203125" defaultRowHeight="13"/>
  <cols>
    <col min="1" max="1" width="29.33203125" customWidth="1"/>
    <col min="2" max="2" width="29" customWidth="1"/>
    <col min="3" max="3" width="17.6640625" bestFit="1" customWidth="1"/>
    <col min="4" max="4" width="19" customWidth="1"/>
    <col min="5" max="11" width="22.1640625" customWidth="1"/>
  </cols>
  <sheetData>
    <row r="1" spans="1:12">
      <c r="B1" s="1" t="s">
        <v>604</v>
      </c>
    </row>
    <row r="2" spans="1:12">
      <c r="A2" s="1" t="s">
        <v>98</v>
      </c>
      <c r="B2" s="343">
        <v>1</v>
      </c>
      <c r="C2" s="1" t="s">
        <v>605</v>
      </c>
      <c r="D2" s="343">
        <v>1</v>
      </c>
    </row>
    <row r="3" spans="1:12">
      <c r="A3" s="1" t="s">
        <v>606</v>
      </c>
      <c r="B3" s="343">
        <f>220130/1000000</f>
        <v>0.22012999999999999</v>
      </c>
      <c r="C3" s="1" t="s">
        <v>607</v>
      </c>
      <c r="D3" s="343">
        <f>220130/1000000</f>
        <v>0.22012999999999999</v>
      </c>
    </row>
    <row r="4" spans="1:12">
      <c r="A4" s="1" t="s">
        <v>126</v>
      </c>
      <c r="B4" s="343">
        <f>10.2/10.57*(1-B6)</f>
        <v>0.9456953642384105</v>
      </c>
      <c r="C4" s="1" t="s">
        <v>608</v>
      </c>
      <c r="D4" s="343">
        <f>10.2/10.57*(1-D6)</f>
        <v>0.96499526963103111</v>
      </c>
    </row>
    <row r="5" spans="1:12">
      <c r="A5" s="1"/>
      <c r="B5" s="343"/>
    </row>
    <row r="6" spans="1:12">
      <c r="A6" s="1" t="s">
        <v>609</v>
      </c>
      <c r="B6" s="469">
        <v>0.02</v>
      </c>
    </row>
    <row r="7" spans="1:12">
      <c r="A7" s="1"/>
      <c r="B7" s="343"/>
    </row>
    <row r="8" spans="1:12" ht="15">
      <c r="A8" s="470" t="s">
        <v>610</v>
      </c>
      <c r="B8" s="10">
        <v>11.7</v>
      </c>
      <c r="C8" s="470" t="s">
        <v>222</v>
      </c>
      <c r="D8" s="377" t="s">
        <v>213</v>
      </c>
    </row>
    <row r="9" spans="1:12" ht="18">
      <c r="A9" s="1" t="s">
        <v>611</v>
      </c>
      <c r="B9" s="378">
        <v>11.8</v>
      </c>
      <c r="C9" s="1" t="s">
        <v>612</v>
      </c>
    </row>
    <row r="10" spans="1:12" ht="18">
      <c r="A10" s="1"/>
      <c r="B10" s="378"/>
      <c r="C10" s="1"/>
    </row>
    <row r="11" spans="1:12" ht="28">
      <c r="A11" s="254" t="s">
        <v>613</v>
      </c>
      <c r="B11" s="254" t="s">
        <v>614</v>
      </c>
      <c r="C11" s="254" t="s">
        <v>615</v>
      </c>
      <c r="D11" s="254" t="s">
        <v>616</v>
      </c>
      <c r="E11" s="254" t="s">
        <v>617</v>
      </c>
      <c r="F11" s="254" t="s">
        <v>618</v>
      </c>
      <c r="G11" s="255"/>
      <c r="H11" s="254" t="s">
        <v>619</v>
      </c>
      <c r="I11" s="254" t="s">
        <v>620</v>
      </c>
      <c r="J11" s="254" t="s">
        <v>621</v>
      </c>
      <c r="K11" s="254" t="s">
        <v>622</v>
      </c>
    </row>
    <row r="12" spans="1:12">
      <c r="A12" s="1" t="s">
        <v>624</v>
      </c>
      <c r="B12" s="1" t="s">
        <v>598</v>
      </c>
      <c r="C12">
        <v>1</v>
      </c>
      <c r="D12" s="472">
        <f>C12*E12</f>
        <v>1.2410000000000004E-2</v>
      </c>
      <c r="E12" s="472">
        <v>1.2410000000000004E-2</v>
      </c>
      <c r="F12">
        <v>1</v>
      </c>
      <c r="G12" s="1" t="s">
        <v>126</v>
      </c>
      <c r="H12" s="473">
        <f t="shared" ref="H12:H18" si="0">D12/F12</f>
        <v>1.2410000000000004E-2</v>
      </c>
      <c r="I12" s="474">
        <v>1</v>
      </c>
      <c r="J12" s="472">
        <f t="shared" ref="J12:J18" si="1">D12/F12/I12</f>
        <v>1.2410000000000004E-2</v>
      </c>
      <c r="K12" s="248">
        <f t="shared" ref="K12:K18" si="2">J12/$B$20*1000</f>
        <v>0.26320854490854501</v>
      </c>
      <c r="L12">
        <v>0.26320854490854501</v>
      </c>
    </row>
    <row r="13" spans="1:12">
      <c r="A13" s="1" t="s">
        <v>625</v>
      </c>
      <c r="B13" s="1" t="s">
        <v>626</v>
      </c>
      <c r="C13" s="343">
        <v>7.12202231879394</v>
      </c>
      <c r="D13" s="472">
        <f t="shared" ref="D13:D18" si="3">C13*E13</f>
        <v>3.198</v>
      </c>
      <c r="E13" s="472">
        <v>0.44902976385807741</v>
      </c>
      <c r="F13" s="248">
        <f>10.2*(1-$B$6)</f>
        <v>9.9959999999999987</v>
      </c>
      <c r="G13" s="1" t="s">
        <v>126</v>
      </c>
      <c r="H13" s="473">
        <f t="shared" si="0"/>
        <v>0.31992797118847544</v>
      </c>
      <c r="I13" s="343">
        <v>1</v>
      </c>
      <c r="J13" s="472">
        <f t="shared" si="1"/>
        <v>0.31992797118847544</v>
      </c>
      <c r="K13" s="248">
        <f t="shared" si="2"/>
        <v>6.785477499763215</v>
      </c>
      <c r="L13">
        <v>6.785477499763215</v>
      </c>
    </row>
    <row r="14" spans="1:12">
      <c r="A14" s="1" t="s">
        <v>625</v>
      </c>
      <c r="B14" s="1" t="s">
        <v>602</v>
      </c>
      <c r="C14" s="248">
        <f>10.2*B6</f>
        <v>0.20399999999999999</v>
      </c>
      <c r="D14" s="472">
        <f t="shared" si="3"/>
        <v>6.1199999999999992</v>
      </c>
      <c r="E14" s="472">
        <v>29.999999999999996</v>
      </c>
      <c r="F14" s="248">
        <f>10.2*(1-$B$6)</f>
        <v>9.9959999999999987</v>
      </c>
      <c r="G14" s="1" t="s">
        <v>126</v>
      </c>
      <c r="H14" s="473">
        <f t="shared" si="0"/>
        <v>0.61224489795918369</v>
      </c>
      <c r="I14" s="343">
        <v>1</v>
      </c>
      <c r="J14" s="472">
        <f t="shared" si="1"/>
        <v>0.61224489795918369</v>
      </c>
      <c r="K14" s="248">
        <f t="shared" si="2"/>
        <v>12.985341556770129</v>
      </c>
      <c r="L14">
        <v>12.985341556770129</v>
      </c>
    </row>
    <row r="15" spans="1:12">
      <c r="A15" s="1" t="s">
        <v>627</v>
      </c>
      <c r="B15" s="1" t="s">
        <v>628</v>
      </c>
      <c r="C15" s="475">
        <v>0.958342400546637</v>
      </c>
      <c r="D15" s="472">
        <f t="shared" si="3"/>
        <v>0.43030000000000002</v>
      </c>
      <c r="E15" s="472">
        <v>0.44900444742354878</v>
      </c>
      <c r="F15">
        <v>220130</v>
      </c>
      <c r="G15" s="1" t="s">
        <v>606</v>
      </c>
      <c r="H15" s="473">
        <f t="shared" si="0"/>
        <v>1.9547540089946851E-6</v>
      </c>
      <c r="I15" s="343">
        <f>$B$4</f>
        <v>0.9456953642384105</v>
      </c>
      <c r="J15" s="472">
        <f t="shared" si="1"/>
        <v>2.0670017882226714E-6</v>
      </c>
      <c r="K15" s="248">
        <f t="shared" si="2"/>
        <v>4.3839849556925837E-5</v>
      </c>
      <c r="L15">
        <v>4.3839849556925837E-5</v>
      </c>
    </row>
    <row r="16" spans="1:12">
      <c r="A16" s="1" t="s">
        <v>627</v>
      </c>
      <c r="B16" s="1" t="s">
        <v>599</v>
      </c>
      <c r="C16">
        <f>B9/1000*1000000</f>
        <v>11800.000000000002</v>
      </c>
      <c r="D16" s="472">
        <f t="shared" si="3"/>
        <v>-138060</v>
      </c>
      <c r="E16" s="472">
        <v>-11.699999999999998</v>
      </c>
      <c r="F16">
        <v>220130</v>
      </c>
      <c r="G16" s="1" t="s">
        <v>606</v>
      </c>
      <c r="H16" s="473">
        <f t="shared" si="0"/>
        <v>-0.62717485122427652</v>
      </c>
      <c r="I16" s="343">
        <f>$B$4</f>
        <v>0.9456953642384105</v>
      </c>
      <c r="J16" s="472">
        <f t="shared" si="1"/>
        <v>-0.66318909338141296</v>
      </c>
      <c r="K16" s="248">
        <f t="shared" si="2"/>
        <v>-14.065836927327865</v>
      </c>
      <c r="L16">
        <v>-14.065836927327865</v>
      </c>
    </row>
    <row r="17" spans="1:12">
      <c r="A17" s="1" t="s">
        <v>624</v>
      </c>
      <c r="B17" s="1" t="s">
        <v>601</v>
      </c>
      <c r="C17">
        <v>1</v>
      </c>
      <c r="D17" s="472">
        <f t="shared" si="3"/>
        <v>2.687999999999997E-2</v>
      </c>
      <c r="E17" s="472">
        <v>2.687999999999997E-2</v>
      </c>
      <c r="F17">
        <v>1</v>
      </c>
      <c r="G17" s="1" t="s">
        <v>629</v>
      </c>
      <c r="H17" s="473">
        <f t="shared" si="0"/>
        <v>2.687999999999997E-2</v>
      </c>
      <c r="I17" s="343">
        <f>B2*B3*B4</f>
        <v>0.2081759205298013</v>
      </c>
      <c r="J17" s="472">
        <f t="shared" si="1"/>
        <v>0.12912156185783255</v>
      </c>
      <c r="K17" s="248">
        <f t="shared" si="2"/>
        <v>2.7385897190103767</v>
      </c>
      <c r="L17">
        <v>2.7385897190103767</v>
      </c>
    </row>
    <row r="18" spans="1:12">
      <c r="A18" s="1" t="s">
        <v>630</v>
      </c>
      <c r="B18" s="1" t="s">
        <v>600</v>
      </c>
      <c r="C18">
        <v>1</v>
      </c>
      <c r="D18" s="472">
        <f t="shared" si="3"/>
        <v>7.8020000000000006E-2</v>
      </c>
      <c r="E18" s="472">
        <v>7.8020000000000006E-2</v>
      </c>
      <c r="F18">
        <v>1</v>
      </c>
      <c r="G18" s="1" t="s">
        <v>629</v>
      </c>
      <c r="H18" s="473">
        <f t="shared" si="0"/>
        <v>7.8020000000000006E-2</v>
      </c>
      <c r="I18" s="343">
        <f>B2*B3*B4</f>
        <v>0.2081759205298013</v>
      </c>
      <c r="J18" s="472">
        <f t="shared" si="1"/>
        <v>0.37477917619598611</v>
      </c>
      <c r="K18" s="248">
        <f t="shared" si="2"/>
        <v>7.9488381650740267</v>
      </c>
      <c r="L18">
        <v>7.9488381650740267</v>
      </c>
    </row>
    <row r="20" spans="1:12">
      <c r="A20" s="1" t="s">
        <v>631</v>
      </c>
      <c r="B20" s="451">
        <f>36.63/0.0007769/1000</f>
        <v>47.148925215600464</v>
      </c>
      <c r="C20" s="190">
        <f>K20</f>
        <v>16.655662398047983</v>
      </c>
      <c r="J20" s="476">
        <f>SUM(J12:J18)</f>
        <v>0.78529658082185294</v>
      </c>
      <c r="K20" s="190">
        <f>SUM(K12:K18)</f>
        <v>16.655662398047983</v>
      </c>
    </row>
    <row r="21" spans="1:12">
      <c r="A21" s="1" t="s">
        <v>632</v>
      </c>
      <c r="B21" s="478">
        <v>15.774169129493881</v>
      </c>
      <c r="D21" s="248"/>
      <c r="E21" s="248"/>
    </row>
    <row r="23" spans="1:12">
      <c r="A23" s="377" t="s">
        <v>633</v>
      </c>
    </row>
    <row r="25" spans="1:12">
      <c r="A25" s="377" t="s">
        <v>634</v>
      </c>
      <c r="B25" s="1"/>
      <c r="C25" s="1"/>
    </row>
    <row r="29" spans="1:12">
      <c r="C29" s="663"/>
      <c r="D29" s="663"/>
      <c r="E29" s="663"/>
      <c r="F29" s="664" t="s">
        <v>709</v>
      </c>
      <c r="G29" s="663"/>
      <c r="H29" s="663"/>
    </row>
    <row r="30" spans="1:12">
      <c r="A30" s="1" t="s">
        <v>484</v>
      </c>
      <c r="B30" t="s">
        <v>485</v>
      </c>
      <c r="C30" t="s">
        <v>486</v>
      </c>
      <c r="D30" t="s">
        <v>487</v>
      </c>
      <c r="E30" t="s">
        <v>488</v>
      </c>
      <c r="F30" t="s">
        <v>486</v>
      </c>
      <c r="G30" t="s">
        <v>487</v>
      </c>
      <c r="H30" t="s">
        <v>488</v>
      </c>
    </row>
    <row r="31" spans="1:12">
      <c r="A31" t="s">
        <v>112</v>
      </c>
      <c r="B31" s="1" t="s">
        <v>602</v>
      </c>
      <c r="C31" s="319">
        <v>0.01</v>
      </c>
      <c r="D31" s="495">
        <v>0.05</v>
      </c>
      <c r="E31" s="495">
        <v>0.02</v>
      </c>
    </row>
    <row r="32" spans="1:12">
      <c r="A32" t="s">
        <v>706</v>
      </c>
      <c r="B32" s="1" t="s">
        <v>626</v>
      </c>
      <c r="C32" s="248">
        <f>0.8 * E32</f>
        <v>5.6960000000000006</v>
      </c>
      <c r="D32" s="248">
        <f>1.2 * E32</f>
        <v>8.5440000000000005</v>
      </c>
      <c r="E32" s="506">
        <v>7.12</v>
      </c>
    </row>
    <row r="33" spans="1:5" ht="15">
      <c r="A33" t="s">
        <v>208</v>
      </c>
      <c r="B33" s="507" t="s">
        <v>707</v>
      </c>
      <c r="C33" s="248">
        <f>0.8 * E33</f>
        <v>9.4400000000000013</v>
      </c>
      <c r="D33" s="248">
        <f t="shared" ref="D33:D36" si="4">1.2 * E33</f>
        <v>14.16</v>
      </c>
      <c r="E33" s="506">
        <v>11.8</v>
      </c>
    </row>
    <row r="34" spans="1:5">
      <c r="A34" t="s">
        <v>712</v>
      </c>
      <c r="B34" s="1" t="s">
        <v>708</v>
      </c>
      <c r="C34" s="248">
        <f t="shared" ref="C34:C36" si="5">0.8 * E34</f>
        <v>9.6000000000000009E-3</v>
      </c>
      <c r="D34" s="248">
        <f t="shared" si="4"/>
        <v>1.44E-2</v>
      </c>
      <c r="E34" s="506">
        <v>1.2E-2</v>
      </c>
    </row>
    <row r="35" spans="1:5">
      <c r="A35" t="s">
        <v>713</v>
      </c>
      <c r="B35" s="1" t="s">
        <v>710</v>
      </c>
      <c r="C35" s="248">
        <f t="shared" si="5"/>
        <v>2.1600000000000001E-2</v>
      </c>
      <c r="D35" s="248">
        <f t="shared" si="4"/>
        <v>3.2399999999999998E-2</v>
      </c>
      <c r="E35" s="506">
        <v>2.7E-2</v>
      </c>
    </row>
    <row r="36" spans="1:5">
      <c r="A36" t="s">
        <v>714</v>
      </c>
      <c r="B36" s="1" t="s">
        <v>711</v>
      </c>
      <c r="C36" s="248">
        <f t="shared" si="5"/>
        <v>6.2400000000000004E-2</v>
      </c>
      <c r="D36" s="248">
        <f t="shared" si="4"/>
        <v>9.3600000000000003E-2</v>
      </c>
      <c r="E36" s="506">
        <v>7.8E-2</v>
      </c>
    </row>
  </sheetData>
  <mergeCells count="2">
    <mergeCell ref="C29:E29"/>
    <mergeCell ref="F29:H29"/>
  </mergeCells>
  <hyperlinks>
    <hyperlink ref="D8" r:id="rId1" display="https://www.sciencedirect.com/science/article/pii/S0959652619320402" xr:uid="{B7520B75-A4C6-4226-AD4A-6E036441F615}"/>
    <hyperlink ref="A23" r:id="rId2" xr:uid="{880B2202-0051-4D08-8DA9-CFA6DBA29DBA}"/>
    <hyperlink ref="A25" r:id="rId3" xr:uid="{562D6DF7-C895-44AB-A92F-5CBF79F0DEF1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678A-8356-4CBE-9526-D6E5D70EBE36}">
  <sheetPr codeName="Sheet11" filterMode="1"/>
  <dimension ref="A1:R49"/>
  <sheetViews>
    <sheetView workbookViewId="0">
      <selection activeCell="F34" sqref="F34:K48"/>
    </sheetView>
  </sheetViews>
  <sheetFormatPr baseColWidth="10" defaultColWidth="8.83203125" defaultRowHeight="13"/>
  <cols>
    <col min="2" max="2" width="17.1640625" customWidth="1"/>
    <col min="4" max="4" width="10.83203125" bestFit="1" customWidth="1"/>
    <col min="5" max="5" width="9.6640625" bestFit="1" customWidth="1"/>
    <col min="6" max="6" width="22.5" bestFit="1" customWidth="1"/>
    <col min="7" max="7" width="10.33203125" bestFit="1" customWidth="1"/>
    <col min="8" max="8" width="16.5" bestFit="1" customWidth="1"/>
    <col min="9" max="9" width="15" bestFit="1" customWidth="1"/>
    <col min="10" max="10" width="16.6640625" bestFit="1" customWidth="1"/>
    <col min="11" max="11" width="29.5" bestFit="1" customWidth="1"/>
    <col min="14" max="15" width="12" bestFit="1" customWidth="1"/>
    <col min="16" max="16" width="16.33203125" bestFit="1" customWidth="1"/>
    <col min="18" max="18" width="15.5" bestFit="1" customWidth="1"/>
  </cols>
  <sheetData>
    <row r="1" spans="1:18">
      <c r="A1" s="1" t="s">
        <v>36</v>
      </c>
      <c r="B1" s="1" t="s">
        <v>581</v>
      </c>
      <c r="C1" s="1" t="s">
        <v>582</v>
      </c>
      <c r="D1" s="1" t="s">
        <v>583</v>
      </c>
      <c r="E1" s="1" t="s">
        <v>1</v>
      </c>
      <c r="F1" s="452" t="s">
        <v>768</v>
      </c>
      <c r="G1" s="454" t="s">
        <v>586</v>
      </c>
      <c r="H1" s="454" t="s">
        <v>587</v>
      </c>
      <c r="I1" s="454" t="s">
        <v>588</v>
      </c>
      <c r="J1" s="454" t="s">
        <v>589</v>
      </c>
      <c r="K1" s="454" t="s">
        <v>590</v>
      </c>
    </row>
    <row r="2" spans="1:18" ht="15" hidden="1">
      <c r="A2" s="509">
        <v>1</v>
      </c>
      <c r="B2" s="510" t="s">
        <v>32</v>
      </c>
      <c r="C2" s="511" t="s">
        <v>514</v>
      </c>
      <c r="D2" s="510" t="s">
        <v>584</v>
      </c>
      <c r="E2" s="510">
        <v>22</v>
      </c>
      <c r="F2" s="512">
        <f>$P$6</f>
        <v>55.768870588235288</v>
      </c>
      <c r="G2" s="509">
        <v>-44.8097311219069</v>
      </c>
      <c r="H2" s="509">
        <v>-42.821128728849132</v>
      </c>
      <c r="I2" s="509">
        <v>-14.461609141840762</v>
      </c>
      <c r="J2" s="509">
        <v>-18.074359595892187</v>
      </c>
      <c r="K2" s="509">
        <v>6.1803665968784243</v>
      </c>
    </row>
    <row r="3" spans="1:18" ht="16" hidden="1" thickBot="1">
      <c r="A3" s="223">
        <v>2</v>
      </c>
      <c r="B3" s="215" t="s">
        <v>32</v>
      </c>
      <c r="C3" s="513" t="s">
        <v>514</v>
      </c>
      <c r="D3" s="215" t="s">
        <v>585</v>
      </c>
      <c r="E3" s="215">
        <v>22</v>
      </c>
      <c r="F3" s="246">
        <f>$P$7</f>
        <v>111.53774117647058</v>
      </c>
      <c r="G3" s="509">
        <v>-52.100011427057268</v>
      </c>
      <c r="H3" s="509">
        <v>-49.013874036609096</v>
      </c>
      <c r="I3" s="509">
        <v>4.2953231148359032</v>
      </c>
      <c r="J3" s="509">
        <v>-2.4413695024355015</v>
      </c>
      <c r="K3" s="509">
        <v>44.443946332643314</v>
      </c>
      <c r="N3" s="10"/>
      <c r="O3" s="10"/>
      <c r="P3" s="665" t="s">
        <v>517</v>
      </c>
      <c r="Q3" s="666"/>
      <c r="R3" s="667"/>
    </row>
    <row r="4" spans="1:18" ht="16" hidden="1" thickBot="1">
      <c r="A4" s="509">
        <v>3</v>
      </c>
      <c r="B4" s="510" t="s">
        <v>32</v>
      </c>
      <c r="C4" s="511" t="s">
        <v>514</v>
      </c>
      <c r="D4" s="510" t="s">
        <v>584</v>
      </c>
      <c r="E4" s="510">
        <v>33</v>
      </c>
      <c r="F4" s="512">
        <f t="shared" ref="F4" si="0">$P$6</f>
        <v>55.768870588235288</v>
      </c>
      <c r="G4" s="509">
        <v>-46.408449085985382</v>
      </c>
      <c r="H4" s="509">
        <v>-44.419846692927607</v>
      </c>
      <c r="I4" s="509">
        <v>-15.826545402017004</v>
      </c>
      <c r="J4" s="509">
        <v>-19.476618410552863</v>
      </c>
      <c r="K4" s="509">
        <v>4.9088587413679283</v>
      </c>
      <c r="N4" s="10"/>
      <c r="O4" s="10"/>
      <c r="P4" s="587" t="s">
        <v>32</v>
      </c>
      <c r="Q4" s="587" t="s">
        <v>502</v>
      </c>
      <c r="R4" s="588" t="s">
        <v>501</v>
      </c>
    </row>
    <row r="5" spans="1:18" ht="16" hidden="1" thickBot="1">
      <c r="A5" s="223">
        <v>4</v>
      </c>
      <c r="B5" s="215" t="s">
        <v>32</v>
      </c>
      <c r="C5" s="513" t="s">
        <v>514</v>
      </c>
      <c r="D5" s="215" t="s">
        <v>585</v>
      </c>
      <c r="E5" s="215">
        <v>33</v>
      </c>
      <c r="F5" s="246">
        <f t="shared" ref="F5" si="1">$P$7</f>
        <v>111.53774117647058</v>
      </c>
      <c r="G5" s="509">
        <v>-55.297447355214217</v>
      </c>
      <c r="H5" s="509">
        <v>-52.211309964766038</v>
      </c>
      <c r="I5" s="509">
        <v>1.7366105460307113</v>
      </c>
      <c r="J5" s="509">
        <v>-5.0264315653910634</v>
      </c>
      <c r="K5" s="509">
        <v>41.917971949399323</v>
      </c>
      <c r="N5" s="668" t="s">
        <v>36</v>
      </c>
      <c r="O5" s="669"/>
      <c r="P5" s="421" t="s">
        <v>504</v>
      </c>
      <c r="Q5" s="422" t="s">
        <v>504</v>
      </c>
      <c r="R5" s="422" t="s">
        <v>504</v>
      </c>
    </row>
    <row r="6" spans="1:18" ht="15" hidden="1">
      <c r="A6" s="509">
        <v>5</v>
      </c>
      <c r="B6" s="510" t="s">
        <v>32</v>
      </c>
      <c r="C6" s="511" t="s">
        <v>514</v>
      </c>
      <c r="D6" s="510" t="s">
        <v>584</v>
      </c>
      <c r="E6" s="510">
        <v>44</v>
      </c>
      <c r="F6" s="512">
        <f t="shared" ref="F6" si="2">$P$6</f>
        <v>55.768870588235288</v>
      </c>
      <c r="G6" s="509">
        <v>-48.007167050063856</v>
      </c>
      <c r="H6" s="509">
        <v>-46.018564657006088</v>
      </c>
      <c r="I6" s="509">
        <v>-17.203195469505832</v>
      </c>
      <c r="J6" s="509">
        <v>-20.901138513143692</v>
      </c>
      <c r="K6" s="509">
        <v>3.6347662570391521</v>
      </c>
      <c r="N6" s="424" t="s">
        <v>515</v>
      </c>
      <c r="O6" s="425" t="s">
        <v>129</v>
      </c>
      <c r="P6" s="530">
        <f>'Mass &amp; Energy'!AB42</f>
        <v>55.768870588235288</v>
      </c>
      <c r="Q6" s="530">
        <f>'Mass &amp; Energy'!AC42</f>
        <v>82.047621176470585</v>
      </c>
      <c r="R6" s="530">
        <f>'Mass &amp; Energy'!AD42</f>
        <v>317.8252164705882</v>
      </c>
    </row>
    <row r="7" spans="1:18" ht="16" hidden="1" thickBot="1">
      <c r="A7" s="223">
        <v>6</v>
      </c>
      <c r="B7" s="215" t="s">
        <v>32</v>
      </c>
      <c r="C7" s="513" t="s">
        <v>514</v>
      </c>
      <c r="D7" s="215" t="s">
        <v>585</v>
      </c>
      <c r="E7" s="215">
        <v>44</v>
      </c>
      <c r="F7" s="246">
        <f t="shared" ref="F7" si="3">$P$7</f>
        <v>111.53774117647058</v>
      </c>
      <c r="G7" s="509">
        <v>-58.494883283371173</v>
      </c>
      <c r="H7" s="509">
        <v>-55.408745892923001</v>
      </c>
      <c r="I7" s="509">
        <v>-0.82434562817052748</v>
      </c>
      <c r="J7" s="509">
        <v>-7.6356418737522249</v>
      </c>
      <c r="K7" s="509">
        <v>39.391997566155311</v>
      </c>
      <c r="N7" s="427" t="s">
        <v>516</v>
      </c>
      <c r="O7" s="428" t="s">
        <v>130</v>
      </c>
      <c r="P7" s="530">
        <f>'Mass &amp; Energy'!AB43</f>
        <v>111.53774117647058</v>
      </c>
      <c r="Q7" s="530">
        <f>'Mass &amp; Energy'!AC43</f>
        <v>164.09524235294117</v>
      </c>
      <c r="R7" s="530">
        <f>'Mass &amp; Energy'!AD43</f>
        <v>635.6504329411764</v>
      </c>
    </row>
    <row r="8" spans="1:18" ht="15" hidden="1">
      <c r="A8" s="509">
        <v>7</v>
      </c>
      <c r="B8" s="510" t="s">
        <v>32</v>
      </c>
      <c r="C8" s="511" t="s">
        <v>514</v>
      </c>
      <c r="D8" s="510" t="s">
        <v>584</v>
      </c>
      <c r="E8" s="510">
        <v>55</v>
      </c>
      <c r="F8" s="512">
        <f t="shared" ref="F8" si="4">$P$6</f>
        <v>55.768870588235288</v>
      </c>
      <c r="G8" s="509">
        <v>-49.605885014142338</v>
      </c>
      <c r="H8" s="509">
        <v>-47.617282621084563</v>
      </c>
      <c r="I8" s="509">
        <v>-18.594444205621162</v>
      </c>
      <c r="J8" s="509">
        <v>-22.349527690140949</v>
      </c>
      <c r="K8" s="509">
        <v>2.3554099726365618</v>
      </c>
    </row>
    <row r="9" spans="1:18" ht="15" hidden="1">
      <c r="A9" s="223">
        <v>8</v>
      </c>
      <c r="B9" s="215" t="s">
        <v>32</v>
      </c>
      <c r="C9" s="513" t="s">
        <v>514</v>
      </c>
      <c r="D9" s="215" t="s">
        <v>585</v>
      </c>
      <c r="E9" s="215">
        <v>55</v>
      </c>
      <c r="F9" s="246">
        <f t="shared" ref="F9" si="5">$P$7</f>
        <v>111.53774117647058</v>
      </c>
      <c r="G9" s="509">
        <v>-61.692319211528108</v>
      </c>
      <c r="H9" s="509">
        <v>-58.606181821079957</v>
      </c>
      <c r="I9" s="509">
        <v>-3.4022915009800494</v>
      </c>
      <c r="J9" s="509">
        <v>-10.277237345834044</v>
      </c>
      <c r="K9" s="509">
        <v>36.86602318291132</v>
      </c>
    </row>
    <row r="10" spans="1:18" ht="15" hidden="1">
      <c r="A10" s="509">
        <v>9</v>
      </c>
      <c r="B10" s="510" t="s">
        <v>32</v>
      </c>
      <c r="C10" s="511" t="s">
        <v>514</v>
      </c>
      <c r="D10" s="510" t="s">
        <v>584</v>
      </c>
      <c r="E10" s="510">
        <v>66</v>
      </c>
      <c r="F10" s="512">
        <f t="shared" ref="F10" si="6">$P$6</f>
        <v>55.768870588235288</v>
      </c>
      <c r="G10" s="509">
        <v>-51.204602978220805</v>
      </c>
      <c r="H10" s="509">
        <v>-49.216000585163037</v>
      </c>
      <c r="I10" s="509">
        <v>-20.00562576357143</v>
      </c>
      <c r="J10" s="509">
        <v>-23.85871545247926</v>
      </c>
      <c r="K10" s="509">
        <v>1.076053688233968</v>
      </c>
    </row>
    <row r="11" spans="1:18" ht="15" hidden="1">
      <c r="A11" s="223">
        <v>10</v>
      </c>
      <c r="B11" s="215" t="s">
        <v>32</v>
      </c>
      <c r="C11" s="513" t="s">
        <v>514</v>
      </c>
      <c r="D11" s="215" t="s">
        <v>585</v>
      </c>
      <c r="E11" s="215">
        <v>66</v>
      </c>
      <c r="F11" s="246">
        <f t="shared" ref="F11" si="7">$P$7</f>
        <v>111.53774117647058</v>
      </c>
      <c r="G11" s="509">
        <v>-64.889755139685064</v>
      </c>
      <c r="H11" s="509">
        <v>-61.803617749236899</v>
      </c>
      <c r="I11" s="509">
        <v>-5.9962882275414762</v>
      </c>
      <c r="J11" s="509">
        <v>-12.942008810887069</v>
      </c>
      <c r="K11" s="509">
        <v>34.340048799667343</v>
      </c>
    </row>
    <row r="12" spans="1:18" ht="15" hidden="1">
      <c r="A12" s="509">
        <v>11</v>
      </c>
      <c r="B12" s="510" t="s">
        <v>32</v>
      </c>
      <c r="C12" s="511" t="s">
        <v>514</v>
      </c>
      <c r="D12" s="510" t="s">
        <v>584</v>
      </c>
      <c r="E12" s="510">
        <v>77</v>
      </c>
      <c r="F12" s="512">
        <f t="shared" ref="F12" si="8">$P$6</f>
        <v>55.768870588235288</v>
      </c>
      <c r="G12" s="509">
        <v>-52.803320942299287</v>
      </c>
      <c r="H12" s="509">
        <v>-50.814718549241512</v>
      </c>
      <c r="I12" s="509">
        <v>-21.437666690293813</v>
      </c>
      <c r="J12" s="509">
        <v>-25.457433416557738</v>
      </c>
      <c r="K12" s="509">
        <v>-0.20330259616861121</v>
      </c>
    </row>
    <row r="13" spans="1:18" ht="15" hidden="1">
      <c r="A13" s="223">
        <v>12</v>
      </c>
      <c r="B13" s="215" t="s">
        <v>32</v>
      </c>
      <c r="C13" s="513" t="s">
        <v>514</v>
      </c>
      <c r="D13" s="215" t="s">
        <v>585</v>
      </c>
      <c r="E13" s="215">
        <v>77</v>
      </c>
      <c r="F13" s="246">
        <f t="shared" ref="F13" si="9">$P$7</f>
        <v>111.53774117647058</v>
      </c>
      <c r="G13" s="509">
        <v>-68.087191067842028</v>
      </c>
      <c r="H13" s="509">
        <v>-65.001053677393855</v>
      </c>
      <c r="I13" s="509">
        <v>-8.6167368079385209</v>
      </c>
      <c r="J13" s="509">
        <v>-15.636647602377337</v>
      </c>
      <c r="K13" s="509">
        <v>31.813667943558265</v>
      </c>
    </row>
    <row r="14" spans="1:18" ht="15" hidden="1">
      <c r="A14" s="509">
        <v>13</v>
      </c>
      <c r="B14" s="510" t="s">
        <v>32</v>
      </c>
      <c r="C14" s="511" t="s">
        <v>514</v>
      </c>
      <c r="D14" s="510" t="s">
        <v>584</v>
      </c>
      <c r="E14" s="510">
        <v>88</v>
      </c>
      <c r="F14" s="512">
        <f t="shared" ref="F14" si="10">$P$6</f>
        <v>55.768870588235288</v>
      </c>
      <c r="G14" s="509">
        <v>-54.402038906377761</v>
      </c>
      <c r="H14" s="509">
        <v>-52.413436513319994</v>
      </c>
      <c r="I14" s="509">
        <v>-22.896065739451721</v>
      </c>
      <c r="J14" s="509">
        <v>-27.056151380636212</v>
      </c>
      <c r="K14" s="509">
        <v>-1.4897088342333249</v>
      </c>
    </row>
    <row r="15" spans="1:18" ht="15" hidden="1">
      <c r="A15" s="223">
        <v>14</v>
      </c>
      <c r="B15" s="215" t="s">
        <v>32</v>
      </c>
      <c r="C15" s="513" t="s">
        <v>514</v>
      </c>
      <c r="D15" s="215" t="s">
        <v>585</v>
      </c>
      <c r="E15" s="215">
        <v>88</v>
      </c>
      <c r="F15" s="246">
        <f t="shared" ref="F15" si="11">$P$7</f>
        <v>111.53774117647058</v>
      </c>
      <c r="G15" s="509">
        <v>-71.284626995998977</v>
      </c>
      <c r="H15" s="509">
        <v>-68.198489605550805</v>
      </c>
      <c r="I15" s="509">
        <v>-11.266416597842332</v>
      </c>
      <c r="J15" s="509">
        <v>-18.373799918247833</v>
      </c>
      <c r="K15" s="509">
        <v>29.281913021817218</v>
      </c>
    </row>
    <row r="16" spans="1:18" ht="15" hidden="1">
      <c r="A16" s="509">
        <v>15</v>
      </c>
      <c r="B16" s="510" t="s">
        <v>32</v>
      </c>
      <c r="C16" s="511" t="s">
        <v>514</v>
      </c>
      <c r="D16" s="510" t="s">
        <v>584</v>
      </c>
      <c r="E16" s="510">
        <v>99</v>
      </c>
      <c r="F16" s="512">
        <f t="shared" ref="F16" si="12">$P$6</f>
        <v>55.768870588235288</v>
      </c>
      <c r="G16" s="509">
        <v>-56.000756870456243</v>
      </c>
      <c r="H16" s="509">
        <v>-54.012154477398468</v>
      </c>
      <c r="I16" s="509">
        <v>-24.450629223039797</v>
      </c>
      <c r="J16" s="509">
        <v>-28.654869344714687</v>
      </c>
      <c r="K16" s="509">
        <v>-2.7786817706380784</v>
      </c>
    </row>
    <row r="17" spans="1:11" ht="15" hidden="1">
      <c r="A17" s="223">
        <v>16</v>
      </c>
      <c r="B17" s="215" t="s">
        <v>32</v>
      </c>
      <c r="C17" s="513" t="s">
        <v>514</v>
      </c>
      <c r="D17" s="215" t="s">
        <v>585</v>
      </c>
      <c r="E17" s="215">
        <v>99</v>
      </c>
      <c r="F17" s="246">
        <f t="shared" ref="F17" si="13">$P$7</f>
        <v>111.53774117647058</v>
      </c>
      <c r="G17" s="509">
        <v>-74.482062924155926</v>
      </c>
      <c r="H17" s="509">
        <v>-71.395925533707754</v>
      </c>
      <c r="I17" s="509">
        <v>-13.94234024559419</v>
      </c>
      <c r="J17" s="509">
        <v>-21.162025388254353</v>
      </c>
      <c r="K17" s="509">
        <v>26.750158100076188</v>
      </c>
    </row>
    <row r="18" spans="1:11" ht="15" hidden="1">
      <c r="A18" s="509">
        <v>17</v>
      </c>
      <c r="B18" s="510" t="s">
        <v>38</v>
      </c>
      <c r="C18" s="511" t="s">
        <v>514</v>
      </c>
      <c r="D18" s="510" t="s">
        <v>584</v>
      </c>
      <c r="E18" s="510">
        <v>22</v>
      </c>
      <c r="F18" s="512">
        <f>$Q$6</f>
        <v>82.047621176470585</v>
      </c>
      <c r="G18" s="509">
        <v>-48.324412216513636</v>
      </c>
      <c r="H18" s="509">
        <v>-45.818642304119983</v>
      </c>
      <c r="I18" s="509">
        <v>-5.5412998799568154</v>
      </c>
      <c r="J18" s="509">
        <v>-10.627463311724227</v>
      </c>
      <c r="K18" s="509">
        <v>24.164217793336071</v>
      </c>
    </row>
    <row r="19" spans="1:11" ht="15" hidden="1">
      <c r="A19" s="223">
        <v>18</v>
      </c>
      <c r="B19" s="215" t="s">
        <v>38</v>
      </c>
      <c r="C19" s="513" t="s">
        <v>514</v>
      </c>
      <c r="D19" s="215" t="s">
        <v>585</v>
      </c>
      <c r="E19" s="215">
        <v>22</v>
      </c>
      <c r="F19" s="246">
        <f>$Q$7</f>
        <v>164.09524235294117</v>
      </c>
      <c r="G19" s="509">
        <v>-58.529582046203799</v>
      </c>
      <c r="H19" s="509">
        <v>-54.409109617083864</v>
      </c>
      <c r="I19" s="509">
        <v>21.871408658607013</v>
      </c>
      <c r="J19" s="509">
        <v>12.074336962307342</v>
      </c>
      <c r="K19" s="509">
        <v>80.835732464608668</v>
      </c>
    </row>
    <row r="20" spans="1:11" ht="15" hidden="1">
      <c r="A20" s="509">
        <v>19</v>
      </c>
      <c r="B20" s="510" t="s">
        <v>38</v>
      </c>
      <c r="C20" s="511" t="s">
        <v>514</v>
      </c>
      <c r="D20" s="510" t="s">
        <v>584</v>
      </c>
      <c r="E20" s="510">
        <v>33</v>
      </c>
      <c r="F20" s="512">
        <f t="shared" ref="F20" si="14">$Q$6</f>
        <v>82.047621176470585</v>
      </c>
      <c r="G20" s="509">
        <v>-50.676459236673296</v>
      </c>
      <c r="H20" s="509">
        <v>-48.170689324279635</v>
      </c>
      <c r="I20" s="509">
        <v>-7.4635457568705004</v>
      </c>
      <c r="J20" s="509">
        <v>-12.592631110052496</v>
      </c>
      <c r="K20" s="509">
        <v>22.301848459515504</v>
      </c>
    </row>
    <row r="21" spans="1:11" ht="15" hidden="1">
      <c r="A21" s="223">
        <v>20</v>
      </c>
      <c r="B21" s="215" t="s">
        <v>38</v>
      </c>
      <c r="C21" s="513" t="s">
        <v>514</v>
      </c>
      <c r="D21" s="215" t="s">
        <v>585</v>
      </c>
      <c r="E21" s="215">
        <v>33</v>
      </c>
      <c r="F21" s="246">
        <f t="shared" ref="F21" si="15">$Q$7</f>
        <v>164.09524235294117</v>
      </c>
      <c r="G21" s="509">
        <v>-63.233676086523147</v>
      </c>
      <c r="H21" s="509">
        <v>-59.113203657403211</v>
      </c>
      <c r="I21" s="509">
        <v>18.146669990965925</v>
      </c>
      <c r="J21" s="509">
        <v>8.333031328843802</v>
      </c>
      <c r="K21" s="509">
        <v>77.119498172756408</v>
      </c>
    </row>
    <row r="22" spans="1:11" ht="15" hidden="1">
      <c r="A22" s="509">
        <v>21</v>
      </c>
      <c r="B22" s="510" t="s">
        <v>38</v>
      </c>
      <c r="C22" s="511" t="s">
        <v>514</v>
      </c>
      <c r="D22" s="510" t="s">
        <v>584</v>
      </c>
      <c r="E22" s="510">
        <v>44</v>
      </c>
      <c r="F22" s="512">
        <f t="shared" ref="F22" si="16">$Q$6</f>
        <v>82.047621176470585</v>
      </c>
      <c r="G22" s="509">
        <v>-53.028506256832962</v>
      </c>
      <c r="H22" s="509">
        <v>-50.522736344439316</v>
      </c>
      <c r="I22" s="509">
        <v>-9.4059922862260272</v>
      </c>
      <c r="J22" s="509">
        <v>-14.574629784476848</v>
      </c>
      <c r="K22" s="509">
        <v>20.439479125694945</v>
      </c>
    </row>
    <row r="23" spans="1:11" ht="15" hidden="1">
      <c r="A23" s="223">
        <v>22</v>
      </c>
      <c r="B23" s="215" t="s">
        <v>38</v>
      </c>
      <c r="C23" s="513" t="s">
        <v>514</v>
      </c>
      <c r="D23" s="215" t="s">
        <v>585</v>
      </c>
      <c r="E23" s="215">
        <v>44</v>
      </c>
      <c r="F23" s="246">
        <f t="shared" ref="F23" si="17">$Q$7</f>
        <v>164.09524235294117</v>
      </c>
      <c r="G23" s="509">
        <v>-67.937770126842494</v>
      </c>
      <c r="H23" s="509">
        <v>-63.817297697722552</v>
      </c>
      <c r="I23" s="509">
        <v>14.421931323324777</v>
      </c>
      <c r="J23" s="509">
        <v>4.5877506003086754</v>
      </c>
      <c r="K23" s="509">
        <v>73.403263880904134</v>
      </c>
    </row>
    <row r="24" spans="1:11" ht="15" hidden="1">
      <c r="A24" s="509">
        <v>23</v>
      </c>
      <c r="B24" s="510" t="s">
        <v>38</v>
      </c>
      <c r="C24" s="511" t="s">
        <v>514</v>
      </c>
      <c r="D24" s="510" t="s">
        <v>584</v>
      </c>
      <c r="E24" s="510">
        <v>55</v>
      </c>
      <c r="F24" s="512">
        <f t="shared" ref="F24" si="18">$Q$6</f>
        <v>82.047621176470585</v>
      </c>
      <c r="G24" s="509">
        <v>-55.38055327699265</v>
      </c>
      <c r="H24" s="509">
        <v>-52.87478336459899</v>
      </c>
      <c r="I24" s="509">
        <v>-11.358929260014159</v>
      </c>
      <c r="J24" s="509">
        <v>-16.577658398762434</v>
      </c>
      <c r="K24" s="509">
        <v>18.577109791874378</v>
      </c>
    </row>
    <row r="25" spans="1:11" ht="15" hidden="1">
      <c r="A25" s="223">
        <v>24</v>
      </c>
      <c r="B25" s="215" t="s">
        <v>38</v>
      </c>
      <c r="C25" s="513" t="s">
        <v>514</v>
      </c>
      <c r="D25" s="215" t="s">
        <v>585</v>
      </c>
      <c r="E25" s="215">
        <v>55</v>
      </c>
      <c r="F25" s="246">
        <f t="shared" ref="F25" si="19">$Q$7</f>
        <v>164.09524235294117</v>
      </c>
      <c r="G25" s="509">
        <v>-72.641864167161827</v>
      </c>
      <c r="H25" s="509">
        <v>-68.521391738041871</v>
      </c>
      <c r="I25" s="509">
        <v>10.683271232980825</v>
      </c>
      <c r="J25" s="509">
        <v>0.82335162054722388</v>
      </c>
      <c r="K25" s="509">
        <v>69.687029589051846</v>
      </c>
    </row>
    <row r="26" spans="1:11" ht="15" hidden="1">
      <c r="A26" s="509">
        <v>25</v>
      </c>
      <c r="B26" s="510" t="s">
        <v>38</v>
      </c>
      <c r="C26" s="511" t="s">
        <v>514</v>
      </c>
      <c r="D26" s="510" t="s">
        <v>584</v>
      </c>
      <c r="E26" s="510">
        <v>66</v>
      </c>
      <c r="F26" s="512">
        <f t="shared" ref="F26" si="20">$Q$6</f>
        <v>82.047621176470585</v>
      </c>
      <c r="G26" s="509">
        <v>-57.732600297152317</v>
      </c>
      <c r="H26" s="509">
        <v>-55.226830384758657</v>
      </c>
      <c r="I26" s="509">
        <v>-13.328290323953718</v>
      </c>
      <c r="J26" s="509">
        <v>-18.608451649648181</v>
      </c>
      <c r="K26" s="509">
        <v>16.714740458053829</v>
      </c>
    </row>
    <row r="27" spans="1:11" ht="15" hidden="1">
      <c r="A27" s="223">
        <v>26</v>
      </c>
      <c r="B27" s="215" t="s">
        <v>38</v>
      </c>
      <c r="C27" s="513" t="s">
        <v>514</v>
      </c>
      <c r="D27" s="215" t="s">
        <v>585</v>
      </c>
      <c r="E27" s="215">
        <v>66</v>
      </c>
      <c r="F27" s="246">
        <f t="shared" ref="F27" si="21">$Q$7</f>
        <v>164.09524235294117</v>
      </c>
      <c r="G27" s="509">
        <v>-77.345958207481175</v>
      </c>
      <c r="H27" s="509">
        <v>-73.225485778361232</v>
      </c>
      <c r="I27" s="509">
        <v>6.9419655995172933</v>
      </c>
      <c r="J27" s="509">
        <v>-2.9609175173552966</v>
      </c>
      <c r="K27" s="509">
        <v>65.970795297199544</v>
      </c>
    </row>
    <row r="28" spans="1:11" ht="15" hidden="1">
      <c r="A28" s="509">
        <v>27</v>
      </c>
      <c r="B28" s="510" t="s">
        <v>38</v>
      </c>
      <c r="C28" s="511" t="s">
        <v>514</v>
      </c>
      <c r="D28" s="510" t="s">
        <v>584</v>
      </c>
      <c r="E28" s="510">
        <v>77</v>
      </c>
      <c r="F28" s="512">
        <f t="shared" ref="F28" si="22">$Q$6</f>
        <v>82.047621176470585</v>
      </c>
      <c r="G28" s="509">
        <v>-60.08464731731199</v>
      </c>
      <c r="H28" s="509">
        <v>-57.578877404918337</v>
      </c>
      <c r="I28" s="509">
        <v>-15.318449584085208</v>
      </c>
      <c r="J28" s="509">
        <v>-20.67266369738654</v>
      </c>
      <c r="K28" s="509">
        <v>14.852371124233253</v>
      </c>
    </row>
    <row r="29" spans="1:11" ht="15" hidden="1">
      <c r="A29" s="223">
        <v>28</v>
      </c>
      <c r="B29" s="215" t="s">
        <v>38</v>
      </c>
      <c r="C29" s="513" t="s">
        <v>514</v>
      </c>
      <c r="D29" s="215" t="s">
        <v>585</v>
      </c>
      <c r="E29" s="215">
        <v>77</v>
      </c>
      <c r="F29" s="246">
        <f t="shared" ref="F29" si="23">$Q$7</f>
        <v>164.09524235294117</v>
      </c>
      <c r="G29" s="509">
        <v>-82.050052247800494</v>
      </c>
      <c r="H29" s="509">
        <v>-77.929579818680565</v>
      </c>
      <c r="I29" s="509">
        <v>3.1860829287648609</v>
      </c>
      <c r="J29" s="509">
        <v>-6.7753952456540167</v>
      </c>
      <c r="K29" s="509">
        <v>62.254561005347263</v>
      </c>
    </row>
    <row r="30" spans="1:11" ht="15" hidden="1">
      <c r="A30" s="509">
        <v>29</v>
      </c>
      <c r="B30" s="510" t="s">
        <v>38</v>
      </c>
      <c r="C30" s="511" t="s">
        <v>514</v>
      </c>
      <c r="D30" s="510" t="s">
        <v>584</v>
      </c>
      <c r="E30" s="510">
        <v>88</v>
      </c>
      <c r="F30" s="512">
        <f t="shared" ref="F30" si="24">$Q$6</f>
        <v>82.047621176470585</v>
      </c>
      <c r="G30" s="509">
        <v>-62.436694337471657</v>
      </c>
      <c r="H30" s="509">
        <v>-59.930924425077997</v>
      </c>
      <c r="I30" s="509">
        <v>-17.332493179568182</v>
      </c>
      <c r="J30" s="509">
        <v>-22.780776018681877</v>
      </c>
      <c r="K30" s="509">
        <v>12.990001790412695</v>
      </c>
    </row>
    <row r="31" spans="1:11" ht="15" hidden="1">
      <c r="A31" s="223">
        <v>30</v>
      </c>
      <c r="B31" s="215" t="s">
        <v>38</v>
      </c>
      <c r="C31" s="513" t="s">
        <v>514</v>
      </c>
      <c r="D31" s="215" t="s">
        <v>585</v>
      </c>
      <c r="E31" s="215">
        <v>88</v>
      </c>
      <c r="F31" s="246">
        <f t="shared" ref="F31" si="25">$Q$7</f>
        <v>164.09524235294117</v>
      </c>
      <c r="G31" s="509">
        <v>-86.754146288119856</v>
      </c>
      <c r="H31" s="509">
        <v>-82.633673858999913</v>
      </c>
      <c r="I31" s="509">
        <v>-0.58193869154078515</v>
      </c>
      <c r="J31" s="509">
        <v>-10.651441245683515</v>
      </c>
      <c r="K31" s="509">
        <v>58.53832671349501</v>
      </c>
    </row>
    <row r="32" spans="1:11" ht="15" hidden="1">
      <c r="A32" s="509">
        <v>31</v>
      </c>
      <c r="B32" s="510" t="s">
        <v>38</v>
      </c>
      <c r="C32" s="511" t="s">
        <v>514</v>
      </c>
      <c r="D32" s="510" t="s">
        <v>584</v>
      </c>
      <c r="E32" s="510">
        <v>99</v>
      </c>
      <c r="F32" s="512">
        <f t="shared" ref="F32" si="26">$Q$6</f>
        <v>82.047621176470585</v>
      </c>
      <c r="G32" s="509">
        <v>-64.788741357631324</v>
      </c>
      <c r="H32" s="509">
        <v>-62.282971445237663</v>
      </c>
      <c r="I32" s="509">
        <v>-19.373198217587561</v>
      </c>
      <c r="J32" s="509">
        <v>-24.977124963399806</v>
      </c>
      <c r="K32" s="509">
        <v>11.122509942182072</v>
      </c>
    </row>
    <row r="33" spans="1:11" ht="15" hidden="1">
      <c r="A33" s="223">
        <v>32</v>
      </c>
      <c r="B33" s="215" t="s">
        <v>38</v>
      </c>
      <c r="C33" s="513" t="s">
        <v>514</v>
      </c>
      <c r="D33" s="215" t="s">
        <v>585</v>
      </c>
      <c r="E33" s="215">
        <v>99</v>
      </c>
      <c r="F33" s="246">
        <f t="shared" ref="F33" si="27">$Q$7</f>
        <v>164.09524235294117</v>
      </c>
      <c r="G33" s="509">
        <v>-91.458240328439175</v>
      </c>
      <c r="H33" s="509">
        <v>-87.33776789931926</v>
      </c>
      <c r="I33" s="509">
        <v>-4.3771989532011002</v>
      </c>
      <c r="J33" s="509">
        <v>-14.573965006465571</v>
      </c>
      <c r="K33" s="509">
        <v>54.822092421642715</v>
      </c>
    </row>
    <row r="34" spans="1:11" ht="15">
      <c r="A34" s="509">
        <v>33</v>
      </c>
      <c r="B34" s="510" t="s">
        <v>37</v>
      </c>
      <c r="C34" s="511" t="s">
        <v>514</v>
      </c>
      <c r="D34" s="510" t="s">
        <v>584</v>
      </c>
      <c r="E34" s="510">
        <v>22</v>
      </c>
      <c r="F34" s="512">
        <f>$R$6</f>
        <v>317.8252164705882</v>
      </c>
      <c r="G34" s="509">
        <v>-76.072909909525166</v>
      </c>
      <c r="H34" s="509">
        <v>-68.927021599423966</v>
      </c>
      <c r="I34" s="509">
        <v>74.227943075395885</v>
      </c>
      <c r="J34" s="509">
        <v>55.299665077104272</v>
      </c>
      <c r="K34" s="509">
        <v>188.39119930781453</v>
      </c>
    </row>
    <row r="35" spans="1:11" ht="15" hidden="1">
      <c r="A35" s="223">
        <v>34</v>
      </c>
      <c r="B35" s="215" t="s">
        <v>37</v>
      </c>
      <c r="C35" s="513" t="s">
        <v>514</v>
      </c>
      <c r="D35" s="215" t="s">
        <v>585</v>
      </c>
      <c r="E35" s="215">
        <v>22</v>
      </c>
      <c r="F35" s="246">
        <f>$R$7</f>
        <v>635.6504329411764</v>
      </c>
      <c r="G35" s="509">
        <v>-109.52877733856067</v>
      </c>
      <c r="H35" s="509">
        <v>-96.128068114025609</v>
      </c>
      <c r="I35" s="509">
        <v>184.90019046438169</v>
      </c>
      <c r="J35" s="509">
        <v>147.04363446779848</v>
      </c>
      <c r="K35" s="509">
        <v>413.22670292921913</v>
      </c>
    </row>
    <row r="36" spans="1:11" ht="15">
      <c r="A36" s="509">
        <v>35</v>
      </c>
      <c r="B36" s="510" t="s">
        <v>37</v>
      </c>
      <c r="C36" s="511" t="s">
        <v>514</v>
      </c>
      <c r="D36" s="510" t="s">
        <v>584</v>
      </c>
      <c r="E36" s="510">
        <v>33</v>
      </c>
      <c r="F36" s="512">
        <f t="shared" ref="F36" si="28">$R$6</f>
        <v>317.8252164705882</v>
      </c>
      <c r="G36" s="509">
        <v>-85.183958378845432</v>
      </c>
      <c r="H36" s="509">
        <v>-78.038070068744219</v>
      </c>
      <c r="I36" s="509">
        <v>67.030214784632875</v>
      </c>
      <c r="J36" s="509">
        <v>48.101936786341263</v>
      </c>
      <c r="K36" s="509">
        <v>181.19347101705154</v>
      </c>
    </row>
    <row r="37" spans="1:11" ht="15" hidden="1">
      <c r="A37" s="223">
        <v>36</v>
      </c>
      <c r="B37" s="215" t="s">
        <v>37</v>
      </c>
      <c r="C37" s="513" t="s">
        <v>514</v>
      </c>
      <c r="D37" s="215" t="s">
        <v>585</v>
      </c>
      <c r="E37" s="215">
        <v>33</v>
      </c>
      <c r="F37" s="246">
        <f t="shared" ref="F37" si="29">$R$7</f>
        <v>635.6504329411764</v>
      </c>
      <c r="G37" s="509">
        <v>-127.75087427720118</v>
      </c>
      <c r="H37" s="509">
        <v>-114.3501650526661</v>
      </c>
      <c r="I37" s="509">
        <v>170.5047338828557</v>
      </c>
      <c r="J37" s="509">
        <v>132.64817788627241</v>
      </c>
      <c r="K37" s="509">
        <v>398.83124634769308</v>
      </c>
    </row>
    <row r="38" spans="1:11" ht="15">
      <c r="A38" s="509">
        <v>37</v>
      </c>
      <c r="B38" s="510" t="s">
        <v>37</v>
      </c>
      <c r="C38" s="511" t="s">
        <v>514</v>
      </c>
      <c r="D38" s="510" t="s">
        <v>584</v>
      </c>
      <c r="E38" s="510">
        <v>44</v>
      </c>
      <c r="F38" s="512">
        <f t="shared" ref="F38" si="30">$R$6</f>
        <v>317.8252164705882</v>
      </c>
      <c r="G38" s="509">
        <v>-94.295006848165656</v>
      </c>
      <c r="H38" s="509">
        <v>-87.149118538064457</v>
      </c>
      <c r="I38" s="509">
        <v>59.832486493869872</v>
      </c>
      <c r="J38" s="509">
        <v>40.901008404631348</v>
      </c>
      <c r="K38" s="509">
        <v>173.99574272628863</v>
      </c>
    </row>
    <row r="39" spans="1:11" ht="15" hidden="1">
      <c r="A39" s="223">
        <v>38</v>
      </c>
      <c r="B39" s="215" t="s">
        <v>37</v>
      </c>
      <c r="C39" s="513" t="s">
        <v>514</v>
      </c>
      <c r="D39" s="215" t="s">
        <v>585</v>
      </c>
      <c r="E39" s="215">
        <v>44</v>
      </c>
      <c r="F39" s="246">
        <f t="shared" ref="F39" si="31">$R$7</f>
        <v>635.6504329411764</v>
      </c>
      <c r="G39" s="509">
        <v>-145.97297121584165</v>
      </c>
      <c r="H39" s="509">
        <v>-132.57226199130653</v>
      </c>
      <c r="I39" s="509">
        <v>156.10927730132974</v>
      </c>
      <c r="J39" s="509">
        <v>118.25272130474653</v>
      </c>
      <c r="K39" s="509">
        <v>384.43578976616709</v>
      </c>
    </row>
    <row r="40" spans="1:11" ht="15">
      <c r="A40" s="509">
        <v>39</v>
      </c>
      <c r="B40" s="510" t="s">
        <v>37</v>
      </c>
      <c r="C40" s="511" t="s">
        <v>514</v>
      </c>
      <c r="D40" s="510" t="s">
        <v>584</v>
      </c>
      <c r="E40" s="510">
        <v>55</v>
      </c>
      <c r="F40" s="512">
        <f t="shared" ref="F40" si="32">$R$6</f>
        <v>317.8252164705882</v>
      </c>
      <c r="G40" s="509">
        <v>-103.40605531748591</v>
      </c>
      <c r="H40" s="509">
        <v>-96.260167007384666</v>
      </c>
      <c r="I40" s="509">
        <v>52.634758203106848</v>
      </c>
      <c r="J40" s="509">
        <v>33.68680855115101</v>
      </c>
      <c r="K40" s="509">
        <v>166.7980144355256</v>
      </c>
    </row>
    <row r="41" spans="1:11" ht="15" hidden="1">
      <c r="A41" s="223">
        <v>40</v>
      </c>
      <c r="B41" s="215" t="s">
        <v>37</v>
      </c>
      <c r="C41" s="513" t="s">
        <v>514</v>
      </c>
      <c r="D41" s="215" t="s">
        <v>585</v>
      </c>
      <c r="E41" s="215">
        <v>55</v>
      </c>
      <c r="F41" s="246">
        <f t="shared" ref="F41" si="33">$R$7</f>
        <v>635.6504329411764</v>
      </c>
      <c r="G41" s="509">
        <v>-164.19506815448213</v>
      </c>
      <c r="H41" s="509">
        <v>-150.79435892994701</v>
      </c>
      <c r="I41" s="509">
        <v>141.71382071980375</v>
      </c>
      <c r="J41" s="509">
        <v>103.85726472322054</v>
      </c>
      <c r="K41" s="509">
        <v>370.04033318464116</v>
      </c>
    </row>
    <row r="42" spans="1:11" ht="15">
      <c r="A42" s="509">
        <v>41</v>
      </c>
      <c r="B42" s="510" t="s">
        <v>37</v>
      </c>
      <c r="C42" s="511" t="s">
        <v>514</v>
      </c>
      <c r="D42" s="510" t="s">
        <v>584</v>
      </c>
      <c r="E42" s="510">
        <v>66</v>
      </c>
      <c r="F42" s="512">
        <f t="shared" ref="F42" si="34">$R$6</f>
        <v>317.8252164705882</v>
      </c>
      <c r="G42" s="509">
        <v>-112.51710378680616</v>
      </c>
      <c r="H42" s="509">
        <v>-105.37121547670496</v>
      </c>
      <c r="I42" s="509">
        <v>45.437029912343888</v>
      </c>
      <c r="J42" s="509">
        <v>26.472608697670665</v>
      </c>
      <c r="K42" s="509">
        <v>159.60028614476255</v>
      </c>
    </row>
    <row r="43" spans="1:11" ht="15" hidden="1">
      <c r="A43" s="223">
        <v>42</v>
      </c>
      <c r="B43" s="215" t="s">
        <v>37</v>
      </c>
      <c r="C43" s="513" t="s">
        <v>514</v>
      </c>
      <c r="D43" s="215" t="s">
        <v>585</v>
      </c>
      <c r="E43" s="215">
        <v>66</v>
      </c>
      <c r="F43" s="246">
        <f t="shared" ref="F43" si="35">$R$7</f>
        <v>635.6504329411764</v>
      </c>
      <c r="G43" s="509">
        <v>-182.41716509312261</v>
      </c>
      <c r="H43" s="509">
        <v>-169.01645586858749</v>
      </c>
      <c r="I43" s="509">
        <v>127.31836413827776</v>
      </c>
      <c r="J43" s="509">
        <v>89.461808141694561</v>
      </c>
      <c r="K43" s="509">
        <v>355.64487660311516</v>
      </c>
    </row>
    <row r="44" spans="1:11" ht="15">
      <c r="A44" s="509">
        <v>43</v>
      </c>
      <c r="B44" s="510" t="s">
        <v>37</v>
      </c>
      <c r="C44" s="511" t="s">
        <v>514</v>
      </c>
      <c r="D44" s="510" t="s">
        <v>584</v>
      </c>
      <c r="E44" s="510">
        <v>77</v>
      </c>
      <c r="F44" s="512">
        <f t="shared" ref="F44" si="36">$R$6</f>
        <v>317.8252164705882</v>
      </c>
      <c r="G44" s="509">
        <v>-121.62815225612643</v>
      </c>
      <c r="H44" s="509">
        <v>-114.48226394602516</v>
      </c>
      <c r="I44" s="509">
        <v>38.223683577061834</v>
      </c>
      <c r="J44" s="509">
        <v>19.258408844190303</v>
      </c>
      <c r="K44" s="509">
        <v>152.40255785399964</v>
      </c>
    </row>
    <row r="45" spans="1:11" ht="15" hidden="1">
      <c r="A45" s="223">
        <v>44</v>
      </c>
      <c r="B45" s="215" t="s">
        <v>37</v>
      </c>
      <c r="C45" s="513" t="s">
        <v>514</v>
      </c>
      <c r="D45" s="215" t="s">
        <v>585</v>
      </c>
      <c r="E45" s="215">
        <v>77</v>
      </c>
      <c r="F45" s="246">
        <f t="shared" ref="F45" si="37">$R$7</f>
        <v>635.6504329411764</v>
      </c>
      <c r="G45" s="509">
        <v>-200.63926203176308</v>
      </c>
      <c r="H45" s="509">
        <v>-187.23855280722796</v>
      </c>
      <c r="I45" s="509">
        <v>112.92290755675181</v>
      </c>
      <c r="J45" s="509">
        <v>75.06635156016857</v>
      </c>
      <c r="K45" s="509">
        <v>341.24942002158917</v>
      </c>
    </row>
    <row r="46" spans="1:11" ht="15">
      <c r="A46" s="509">
        <v>45</v>
      </c>
      <c r="B46" s="510" t="s">
        <v>37</v>
      </c>
      <c r="C46" s="511" t="s">
        <v>514</v>
      </c>
      <c r="D46" s="510" t="s">
        <v>584</v>
      </c>
      <c r="E46" s="510">
        <v>88</v>
      </c>
      <c r="F46" s="512">
        <f t="shared" ref="F46" si="38">$R$6</f>
        <v>317.8252164705882</v>
      </c>
      <c r="G46" s="509">
        <v>-130.73920072544666</v>
      </c>
      <c r="H46" s="509">
        <v>-123.59331241534539</v>
      </c>
      <c r="I46" s="509">
        <v>31.009483723581504</v>
      </c>
      <c r="J46" s="509">
        <v>12.015166177257557</v>
      </c>
      <c r="K46" s="509">
        <v>145.20482956323664</v>
      </c>
    </row>
    <row r="47" spans="1:11" ht="15" hidden="1">
      <c r="A47" s="223">
        <v>46</v>
      </c>
      <c r="B47" s="215" t="s">
        <v>37</v>
      </c>
      <c r="C47" s="513" t="s">
        <v>514</v>
      </c>
      <c r="D47" s="215" t="s">
        <v>585</v>
      </c>
      <c r="E47" s="215">
        <v>88</v>
      </c>
      <c r="F47" s="246">
        <f t="shared" ref="F47" si="39">$R$7</f>
        <v>635.6504329411764</v>
      </c>
      <c r="G47" s="509">
        <v>-218.86135897040356</v>
      </c>
      <c r="H47" s="509">
        <v>-205.46064974586844</v>
      </c>
      <c r="I47" s="509">
        <v>98.527450975225818</v>
      </c>
      <c r="J47" s="509">
        <v>60.656024803691807</v>
      </c>
      <c r="K47" s="509">
        <v>326.85396344006335</v>
      </c>
    </row>
    <row r="48" spans="1:11" ht="15">
      <c r="A48" s="509">
        <v>47</v>
      </c>
      <c r="B48" s="510" t="s">
        <v>37</v>
      </c>
      <c r="C48" s="511" t="s">
        <v>514</v>
      </c>
      <c r="D48" s="510" t="s">
        <v>584</v>
      </c>
      <c r="E48" s="510">
        <v>99</v>
      </c>
      <c r="F48" s="512">
        <f t="shared" ref="F48" si="40">$R$6</f>
        <v>317.8252164705882</v>
      </c>
      <c r="G48" s="509">
        <v>-139.85024919476689</v>
      </c>
      <c r="H48" s="509">
        <v>-132.70436088466568</v>
      </c>
      <c r="I48" s="509">
        <v>23.795283870101166</v>
      </c>
      <c r="J48" s="509">
        <v>4.7495880123698901</v>
      </c>
      <c r="K48" s="509">
        <v>138.00710127247368</v>
      </c>
    </row>
    <row r="49" spans="1:11" ht="15" hidden="1">
      <c r="A49" s="223">
        <v>48</v>
      </c>
      <c r="B49" s="215" t="s">
        <v>37</v>
      </c>
      <c r="C49" s="513" t="s">
        <v>514</v>
      </c>
      <c r="D49" s="215" t="s">
        <v>585</v>
      </c>
      <c r="E49" s="215">
        <v>99</v>
      </c>
      <c r="F49" s="246">
        <f t="shared" ref="F49" si="41">$R$7</f>
        <v>635.6504329411764</v>
      </c>
      <c r="G49" s="509">
        <v>-237.08345590904398</v>
      </c>
      <c r="H49" s="509">
        <v>-223.68274668450897</v>
      </c>
      <c r="I49" s="509">
        <v>84.131994393699827</v>
      </c>
      <c r="J49" s="509">
        <v>46.227625096731096</v>
      </c>
      <c r="K49" s="509">
        <v>312.45850685853731</v>
      </c>
    </row>
  </sheetData>
  <autoFilter ref="A1:K49" xr:uid="{D498678A-8356-4CBE-9526-D6E5D70EBE36}">
    <filterColumn colId="1">
      <filters>
        <filter val="productivity based"/>
      </filters>
    </filterColumn>
    <filterColumn colId="3">
      <filters>
        <filter val="3 acres/ton"/>
      </filters>
    </filterColumn>
  </autoFilter>
  <mergeCells count="2">
    <mergeCell ref="P3:R3"/>
    <mergeCell ref="N5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182E-AE17-4D62-90E1-454EFE0C0B89}">
  <sheetPr codeName="Sheet16"/>
  <dimension ref="A1:N119"/>
  <sheetViews>
    <sheetView zoomScaleNormal="100" workbookViewId="0">
      <selection activeCell="G42" sqref="G42"/>
    </sheetView>
  </sheetViews>
  <sheetFormatPr baseColWidth="10" defaultColWidth="8.83203125" defaultRowHeight="13"/>
  <cols>
    <col min="1" max="1" width="8.33203125" bestFit="1" customWidth="1"/>
    <col min="2" max="2" width="16" bestFit="1" customWidth="1"/>
    <col min="3" max="3" width="16.33203125" bestFit="1" customWidth="1"/>
    <col min="4" max="4" width="41.5" bestFit="1" customWidth="1"/>
    <col min="5" max="5" width="9.6640625" bestFit="1" customWidth="1"/>
    <col min="6" max="6" width="17.33203125" bestFit="1" customWidth="1"/>
    <col min="7" max="7" width="12.5" bestFit="1" customWidth="1"/>
    <col min="8" max="8" width="16.5" bestFit="1" customWidth="1"/>
    <col min="9" max="9" width="15" bestFit="1" customWidth="1"/>
    <col min="10" max="10" width="16.6640625" bestFit="1" customWidth="1"/>
    <col min="11" max="11" width="29.5" bestFit="1" customWidth="1"/>
    <col min="13" max="13" width="10.83203125" bestFit="1" customWidth="1"/>
    <col min="14" max="14" width="10.6640625" bestFit="1" customWidth="1"/>
  </cols>
  <sheetData>
    <row r="1" spans="1:14" ht="15">
      <c r="A1" s="1" t="s">
        <v>36</v>
      </c>
      <c r="B1" s="1" t="s">
        <v>581</v>
      </c>
      <c r="C1" s="1" t="s">
        <v>703</v>
      </c>
      <c r="D1" s="1" t="s">
        <v>702</v>
      </c>
      <c r="E1" s="1" t="s">
        <v>1</v>
      </c>
      <c r="F1" s="452" t="s">
        <v>792</v>
      </c>
      <c r="G1" s="454" t="s">
        <v>586</v>
      </c>
      <c r="H1" s="454" t="s">
        <v>587</v>
      </c>
      <c r="I1" s="454" t="s">
        <v>588</v>
      </c>
      <c r="J1" s="454" t="s">
        <v>589</v>
      </c>
      <c r="K1" s="454" t="s">
        <v>590</v>
      </c>
      <c r="M1" t="s">
        <v>584</v>
      </c>
      <c r="N1" s="424" t="s">
        <v>515</v>
      </c>
    </row>
    <row r="2" spans="1:14" ht="16" thickBot="1">
      <c r="A2">
        <v>1</v>
      </c>
      <c r="B2" s="10" t="s">
        <v>32</v>
      </c>
      <c r="C2" s="655" t="s">
        <v>793</v>
      </c>
      <c r="D2" s="10" t="str">
        <f t="shared" ref="D2:D9" si="0">_xlfn.CONCAT(B2, "; ",C2)</f>
        <v>Baseline; 6.5 t/ha</v>
      </c>
      <c r="E2" s="10">
        <v>22</v>
      </c>
      <c r="F2" s="512">
        <v>55.768870588235288</v>
      </c>
      <c r="G2" s="509">
        <v>-44.8097311219069</v>
      </c>
      <c r="H2" s="509">
        <v>-42.821128728849132</v>
      </c>
      <c r="I2" s="509">
        <v>-14.461609141840762</v>
      </c>
      <c r="J2" s="509">
        <v>-18.074359595892187</v>
      </c>
      <c r="K2" s="509">
        <v>6.1803665968784243</v>
      </c>
      <c r="M2" s="10" t="s">
        <v>585</v>
      </c>
      <c r="N2" s="427" t="s">
        <v>516</v>
      </c>
    </row>
    <row r="3" spans="1:14" ht="15">
      <c r="A3">
        <v>5</v>
      </c>
      <c r="B3" t="s">
        <v>32</v>
      </c>
      <c r="C3" s="655" t="s">
        <v>793</v>
      </c>
      <c r="D3" s="10" t="str">
        <f t="shared" si="0"/>
        <v>Baseline; 6.5 t/ha</v>
      </c>
      <c r="E3">
        <v>33</v>
      </c>
      <c r="F3" s="512">
        <v>55.768870588235288</v>
      </c>
      <c r="G3" s="509">
        <v>-46.408449085985382</v>
      </c>
      <c r="H3" s="509">
        <v>-44.419846692927607</v>
      </c>
      <c r="I3" s="509">
        <v>-15.826545402017004</v>
      </c>
      <c r="J3" s="509">
        <v>-19.476618410552863</v>
      </c>
      <c r="K3" s="509">
        <v>4.9088587413679283</v>
      </c>
    </row>
    <row r="4" spans="1:14" ht="15">
      <c r="A4">
        <v>9</v>
      </c>
      <c r="B4" t="s">
        <v>32</v>
      </c>
      <c r="C4" s="655" t="s">
        <v>793</v>
      </c>
      <c r="D4" s="10" t="str">
        <f t="shared" si="0"/>
        <v>Baseline; 6.5 t/ha</v>
      </c>
      <c r="E4">
        <v>44</v>
      </c>
      <c r="F4" s="512">
        <v>55.768870588235288</v>
      </c>
      <c r="G4" s="509">
        <v>-48.007167050063856</v>
      </c>
      <c r="H4" s="509">
        <v>-46.018564657006088</v>
      </c>
      <c r="I4" s="509">
        <v>-17.203195469505832</v>
      </c>
      <c r="J4" s="509">
        <v>-20.901138513143692</v>
      </c>
      <c r="K4" s="509">
        <v>3.6347662570391521</v>
      </c>
    </row>
    <row r="5" spans="1:14" ht="15">
      <c r="A5">
        <v>13</v>
      </c>
      <c r="B5" t="s">
        <v>32</v>
      </c>
      <c r="C5" s="655" t="s">
        <v>793</v>
      </c>
      <c r="D5" s="10" t="str">
        <f t="shared" si="0"/>
        <v>Baseline; 6.5 t/ha</v>
      </c>
      <c r="E5">
        <v>55</v>
      </c>
      <c r="F5" s="512">
        <v>55.768870588235288</v>
      </c>
      <c r="G5" s="509">
        <v>-49.605885014142338</v>
      </c>
      <c r="H5" s="509">
        <v>-47.617282621084563</v>
      </c>
      <c r="I5" s="509">
        <v>-18.594444205621162</v>
      </c>
      <c r="J5" s="509">
        <v>-22.349527690140949</v>
      </c>
      <c r="K5" s="509">
        <v>2.3554099726365618</v>
      </c>
    </row>
    <row r="6" spans="1:14" ht="15">
      <c r="A6">
        <v>17</v>
      </c>
      <c r="B6" t="s">
        <v>32</v>
      </c>
      <c r="C6" s="655" t="s">
        <v>793</v>
      </c>
      <c r="D6" s="10" t="str">
        <f t="shared" si="0"/>
        <v>Baseline; 6.5 t/ha</v>
      </c>
      <c r="E6">
        <v>66</v>
      </c>
      <c r="F6" s="512">
        <v>55.768870588235288</v>
      </c>
      <c r="G6" s="509">
        <v>-51.204602978220805</v>
      </c>
      <c r="H6" s="509">
        <v>-49.216000585163037</v>
      </c>
      <c r="I6" s="509">
        <v>-20.00562576357143</v>
      </c>
      <c r="J6" s="509">
        <v>-23.85871545247926</v>
      </c>
      <c r="K6" s="509">
        <v>1.076053688233968</v>
      </c>
    </row>
    <row r="7" spans="1:14" ht="15">
      <c r="A7">
        <v>21</v>
      </c>
      <c r="B7" t="s">
        <v>32</v>
      </c>
      <c r="C7" s="655" t="s">
        <v>793</v>
      </c>
      <c r="D7" s="10" t="str">
        <f t="shared" si="0"/>
        <v>Baseline; 6.5 t/ha</v>
      </c>
      <c r="E7">
        <v>77</v>
      </c>
      <c r="F7" s="512">
        <v>55.768870588235288</v>
      </c>
      <c r="G7" s="509">
        <v>-52.803320942299287</v>
      </c>
      <c r="H7" s="509">
        <v>-50.814718549241512</v>
      </c>
      <c r="I7" s="509">
        <v>-21.437666690293813</v>
      </c>
      <c r="J7" s="509">
        <v>-25.457433416557738</v>
      </c>
      <c r="K7" s="509">
        <v>-0.20330259616861121</v>
      </c>
    </row>
    <row r="8" spans="1:14" ht="15">
      <c r="A8">
        <v>25</v>
      </c>
      <c r="B8" t="s">
        <v>32</v>
      </c>
      <c r="C8" s="655" t="s">
        <v>793</v>
      </c>
      <c r="D8" s="10" t="str">
        <f t="shared" si="0"/>
        <v>Baseline; 6.5 t/ha</v>
      </c>
      <c r="E8">
        <v>88</v>
      </c>
      <c r="F8" s="512">
        <v>55.768870588235288</v>
      </c>
      <c r="G8" s="509">
        <v>-54.402038906377761</v>
      </c>
      <c r="H8" s="509">
        <v>-52.413436513319994</v>
      </c>
      <c r="I8" s="509">
        <v>-22.896065739451721</v>
      </c>
      <c r="J8" s="509">
        <v>-27.056151380636212</v>
      </c>
      <c r="K8" s="509">
        <v>-1.4897088342333249</v>
      </c>
    </row>
    <row r="9" spans="1:14" ht="15">
      <c r="A9">
        <v>29</v>
      </c>
      <c r="B9" t="s">
        <v>32</v>
      </c>
      <c r="C9" s="655" t="s">
        <v>793</v>
      </c>
      <c r="D9" s="10" t="str">
        <f t="shared" si="0"/>
        <v>Baseline; 6.5 t/ha</v>
      </c>
      <c r="E9">
        <v>99</v>
      </c>
      <c r="F9" s="512">
        <v>55.768870588235288</v>
      </c>
      <c r="G9" s="509">
        <v>-56.000756870456243</v>
      </c>
      <c r="H9" s="509">
        <v>-54.012154477398468</v>
      </c>
      <c r="I9" s="509">
        <v>-24.450629223039797</v>
      </c>
      <c r="J9" s="509">
        <v>-28.654869344714687</v>
      </c>
      <c r="K9" s="509">
        <v>-2.7786817706380784</v>
      </c>
    </row>
    <row r="10" spans="1:14" ht="15">
      <c r="D10" s="10"/>
    </row>
    <row r="11" spans="1:14" ht="15">
      <c r="D11" s="10"/>
    </row>
    <row r="12" spans="1:14" ht="15">
      <c r="A12">
        <v>2</v>
      </c>
      <c r="B12" s="10" t="s">
        <v>32</v>
      </c>
      <c r="C12" s="655" t="s">
        <v>794</v>
      </c>
      <c r="D12" s="10" t="str">
        <f t="shared" ref="D12:D19" si="1">_xlfn.CONCAT(B12, "; ",C12)</f>
        <v>Baseline; 13.5 t/ha</v>
      </c>
      <c r="E12" s="10">
        <v>22</v>
      </c>
      <c r="F12" s="246">
        <v>111.53774117647058</v>
      </c>
      <c r="G12" s="509">
        <v>-52.100011427057268</v>
      </c>
      <c r="H12" s="509">
        <v>-49.013874036609096</v>
      </c>
      <c r="I12" s="509">
        <v>4.2953231148359032</v>
      </c>
      <c r="J12" s="509">
        <v>-2.4413695024355015</v>
      </c>
      <c r="K12" s="509">
        <v>44.443946332643314</v>
      </c>
    </row>
    <row r="13" spans="1:14" ht="15">
      <c r="A13">
        <v>6</v>
      </c>
      <c r="B13" t="s">
        <v>32</v>
      </c>
      <c r="C13" s="655" t="s">
        <v>794</v>
      </c>
      <c r="D13" s="10" t="str">
        <f t="shared" si="1"/>
        <v>Baseline; 13.5 t/ha</v>
      </c>
      <c r="E13">
        <v>33</v>
      </c>
      <c r="F13" s="246">
        <v>111.53774117647058</v>
      </c>
      <c r="G13" s="509">
        <v>-55.297447355214217</v>
      </c>
      <c r="H13" s="509">
        <v>-52.211309964766038</v>
      </c>
      <c r="I13" s="509">
        <v>1.7366105460307113</v>
      </c>
      <c r="J13" s="509">
        <v>-5.0264315653910634</v>
      </c>
      <c r="K13" s="509">
        <v>41.917971949399323</v>
      </c>
    </row>
    <row r="14" spans="1:14" ht="15">
      <c r="A14">
        <v>10</v>
      </c>
      <c r="B14" t="s">
        <v>32</v>
      </c>
      <c r="C14" s="655" t="s">
        <v>794</v>
      </c>
      <c r="D14" s="10" t="str">
        <f t="shared" si="1"/>
        <v>Baseline; 13.5 t/ha</v>
      </c>
      <c r="E14">
        <v>44</v>
      </c>
      <c r="F14" s="246">
        <v>111.53774117647058</v>
      </c>
      <c r="G14" s="509">
        <v>-58.494883283371173</v>
      </c>
      <c r="H14" s="509">
        <v>-55.408745892923001</v>
      </c>
      <c r="I14" s="509">
        <v>-0.82434562817052748</v>
      </c>
      <c r="J14" s="509">
        <v>-7.6356418737522249</v>
      </c>
      <c r="K14" s="509">
        <v>39.391997566155311</v>
      </c>
    </row>
    <row r="15" spans="1:14" ht="15">
      <c r="A15">
        <v>14</v>
      </c>
      <c r="B15" t="s">
        <v>32</v>
      </c>
      <c r="C15" s="655" t="s">
        <v>794</v>
      </c>
      <c r="D15" s="10" t="str">
        <f t="shared" si="1"/>
        <v>Baseline; 13.5 t/ha</v>
      </c>
      <c r="E15">
        <v>55</v>
      </c>
      <c r="F15" s="246">
        <v>111.53774117647058</v>
      </c>
      <c r="G15" s="509">
        <v>-61.692319211528108</v>
      </c>
      <c r="H15" s="509">
        <v>-58.606181821079957</v>
      </c>
      <c r="I15" s="509">
        <v>-3.4022915009800494</v>
      </c>
      <c r="J15" s="509">
        <v>-10.277237345834044</v>
      </c>
      <c r="K15" s="509">
        <v>36.86602318291132</v>
      </c>
    </row>
    <row r="16" spans="1:14" ht="15">
      <c r="A16">
        <v>18</v>
      </c>
      <c r="B16" t="s">
        <v>32</v>
      </c>
      <c r="C16" s="655" t="s">
        <v>794</v>
      </c>
      <c r="D16" s="10" t="str">
        <f t="shared" si="1"/>
        <v>Baseline; 13.5 t/ha</v>
      </c>
      <c r="E16">
        <v>66</v>
      </c>
      <c r="F16" s="246">
        <v>111.53774117647058</v>
      </c>
      <c r="G16" s="509">
        <v>-64.889755139685064</v>
      </c>
      <c r="H16" s="509">
        <v>-61.803617749236899</v>
      </c>
      <c r="I16" s="509">
        <v>-5.9962882275414762</v>
      </c>
      <c r="J16" s="509">
        <v>-12.942008810887069</v>
      </c>
      <c r="K16" s="509">
        <v>34.340048799667343</v>
      </c>
    </row>
    <row r="17" spans="1:11" ht="15">
      <c r="A17">
        <v>22</v>
      </c>
      <c r="B17" t="s">
        <v>32</v>
      </c>
      <c r="C17" s="655" t="s">
        <v>794</v>
      </c>
      <c r="D17" s="10" t="str">
        <f t="shared" si="1"/>
        <v>Baseline; 13.5 t/ha</v>
      </c>
      <c r="E17">
        <v>77</v>
      </c>
      <c r="F17" s="246">
        <v>111.53774117647058</v>
      </c>
      <c r="G17" s="509">
        <v>-68.087191067842028</v>
      </c>
      <c r="H17" s="509">
        <v>-65.001053677393855</v>
      </c>
      <c r="I17" s="509">
        <v>-8.6167368079385209</v>
      </c>
      <c r="J17" s="509">
        <v>-15.636647602377337</v>
      </c>
      <c r="K17" s="509">
        <v>31.813667943558265</v>
      </c>
    </row>
    <row r="18" spans="1:11" ht="15">
      <c r="A18">
        <v>26</v>
      </c>
      <c r="B18" t="s">
        <v>32</v>
      </c>
      <c r="C18" s="655" t="s">
        <v>794</v>
      </c>
      <c r="D18" s="10" t="str">
        <f t="shared" si="1"/>
        <v>Baseline; 13.5 t/ha</v>
      </c>
      <c r="E18">
        <v>88</v>
      </c>
      <c r="F18" s="246">
        <v>111.53774117647058</v>
      </c>
      <c r="G18" s="509">
        <v>-71.284626995998977</v>
      </c>
      <c r="H18" s="509">
        <v>-68.198489605550805</v>
      </c>
      <c r="I18" s="509">
        <v>-11.266416597842332</v>
      </c>
      <c r="J18" s="509">
        <v>-18.373799918247833</v>
      </c>
      <c r="K18" s="509">
        <v>29.281913021817218</v>
      </c>
    </row>
    <row r="19" spans="1:11" ht="15">
      <c r="A19">
        <v>30</v>
      </c>
      <c r="B19" t="s">
        <v>32</v>
      </c>
      <c r="C19" s="655" t="s">
        <v>794</v>
      </c>
      <c r="D19" s="10" t="str">
        <f t="shared" si="1"/>
        <v>Baseline; 13.5 t/ha</v>
      </c>
      <c r="E19">
        <v>99</v>
      </c>
      <c r="F19" s="246">
        <v>111.53774117647058</v>
      </c>
      <c r="G19" s="509">
        <v>-74.482062924155926</v>
      </c>
      <c r="H19" s="509">
        <v>-71.395925533707754</v>
      </c>
      <c r="I19" s="509">
        <v>-13.94234024559419</v>
      </c>
      <c r="J19" s="509">
        <v>-21.162025388254353</v>
      </c>
      <c r="K19" s="509">
        <v>26.750158100076188</v>
      </c>
    </row>
    <row r="20" spans="1:11" ht="15">
      <c r="D20" s="10"/>
    </row>
    <row r="21" spans="1:11" ht="15">
      <c r="D21" s="10"/>
    </row>
    <row r="22" spans="1:11" ht="15">
      <c r="A22">
        <v>3</v>
      </c>
      <c r="B22" t="s">
        <v>38</v>
      </c>
      <c r="C22" s="655" t="s">
        <v>793</v>
      </c>
      <c r="D22" s="10" t="str">
        <f t="shared" ref="D22:D59" si="2">_xlfn.CONCAT(B22, "; ",C22)</f>
        <v>buffered; 6.5 t/ha</v>
      </c>
      <c r="E22" s="10">
        <v>22</v>
      </c>
      <c r="F22" s="512">
        <v>82.047621176470585</v>
      </c>
      <c r="G22" s="509">
        <v>-48.324412216513636</v>
      </c>
      <c r="H22" s="509">
        <v>-45.818642304119983</v>
      </c>
      <c r="I22" s="509">
        <v>-5.5412998799568154</v>
      </c>
      <c r="J22" s="509">
        <v>-10.627463311724227</v>
      </c>
      <c r="K22" s="509">
        <v>24.164217793336071</v>
      </c>
    </row>
    <row r="23" spans="1:11" ht="15">
      <c r="A23">
        <v>7</v>
      </c>
      <c r="B23" t="s">
        <v>38</v>
      </c>
      <c r="C23" s="655" t="s">
        <v>793</v>
      </c>
      <c r="D23" s="10" t="str">
        <f t="shared" si="2"/>
        <v>buffered; 6.5 t/ha</v>
      </c>
      <c r="E23">
        <v>33</v>
      </c>
      <c r="F23" s="512">
        <v>82.047621176470585</v>
      </c>
      <c r="G23" s="509">
        <v>-50.676459236673296</v>
      </c>
      <c r="H23" s="509">
        <v>-48.170689324279635</v>
      </c>
      <c r="I23" s="509">
        <v>-7.4635457568705004</v>
      </c>
      <c r="J23" s="509">
        <v>-12.592631110052496</v>
      </c>
      <c r="K23" s="509">
        <v>22.301848459515504</v>
      </c>
    </row>
    <row r="24" spans="1:11" ht="15">
      <c r="A24">
        <v>11</v>
      </c>
      <c r="B24" t="s">
        <v>38</v>
      </c>
      <c r="C24" s="655" t="s">
        <v>793</v>
      </c>
      <c r="D24" s="10" t="str">
        <f t="shared" si="2"/>
        <v>buffered; 6.5 t/ha</v>
      </c>
      <c r="E24">
        <v>44</v>
      </c>
      <c r="F24" s="512">
        <v>82.047621176470585</v>
      </c>
      <c r="G24" s="509">
        <v>-53.028506256832962</v>
      </c>
      <c r="H24" s="509">
        <v>-50.522736344439316</v>
      </c>
      <c r="I24" s="509">
        <v>-9.4059922862260272</v>
      </c>
      <c r="J24" s="509">
        <v>-14.574629784476848</v>
      </c>
      <c r="K24" s="509">
        <v>20.439479125694945</v>
      </c>
    </row>
    <row r="25" spans="1:11" ht="15">
      <c r="A25">
        <v>15</v>
      </c>
      <c r="B25" t="s">
        <v>38</v>
      </c>
      <c r="C25" s="655" t="s">
        <v>793</v>
      </c>
      <c r="D25" s="10" t="str">
        <f t="shared" si="2"/>
        <v>buffered; 6.5 t/ha</v>
      </c>
      <c r="E25">
        <v>55</v>
      </c>
      <c r="F25" s="512">
        <v>82.047621176470585</v>
      </c>
      <c r="G25" s="509">
        <v>-55.38055327699265</v>
      </c>
      <c r="H25" s="509">
        <v>-52.87478336459899</v>
      </c>
      <c r="I25" s="509">
        <v>-11.358929260014159</v>
      </c>
      <c r="J25" s="509">
        <v>-16.577658398762434</v>
      </c>
      <c r="K25" s="509">
        <v>18.577109791874378</v>
      </c>
    </row>
    <row r="26" spans="1:11" ht="15">
      <c r="A26">
        <v>19</v>
      </c>
      <c r="B26" t="s">
        <v>38</v>
      </c>
      <c r="C26" s="655" t="s">
        <v>793</v>
      </c>
      <c r="D26" s="10" t="str">
        <f t="shared" si="2"/>
        <v>buffered; 6.5 t/ha</v>
      </c>
      <c r="E26">
        <v>66</v>
      </c>
      <c r="F26" s="512">
        <v>82.047621176470585</v>
      </c>
      <c r="G26" s="509">
        <v>-57.732600297152317</v>
      </c>
      <c r="H26" s="509">
        <v>-55.226830384758657</v>
      </c>
      <c r="I26" s="509">
        <v>-13.328290323953718</v>
      </c>
      <c r="J26" s="509">
        <v>-18.608451649648181</v>
      </c>
      <c r="K26" s="509">
        <v>16.714740458053829</v>
      </c>
    </row>
    <row r="27" spans="1:11" ht="15">
      <c r="A27">
        <v>23</v>
      </c>
      <c r="B27" t="s">
        <v>38</v>
      </c>
      <c r="C27" s="655" t="s">
        <v>793</v>
      </c>
      <c r="D27" s="10" t="str">
        <f t="shared" si="2"/>
        <v>buffered; 6.5 t/ha</v>
      </c>
      <c r="E27">
        <v>77</v>
      </c>
      <c r="F27" s="512">
        <v>82.047621176470585</v>
      </c>
      <c r="G27" s="509">
        <v>-60.08464731731199</v>
      </c>
      <c r="H27" s="509">
        <v>-57.578877404918337</v>
      </c>
      <c r="I27" s="509">
        <v>-15.318449584085208</v>
      </c>
      <c r="J27" s="509">
        <v>-20.67266369738654</v>
      </c>
      <c r="K27" s="509">
        <v>14.852371124233253</v>
      </c>
    </row>
    <row r="28" spans="1:11" ht="15">
      <c r="A28">
        <v>27</v>
      </c>
      <c r="B28" t="s">
        <v>38</v>
      </c>
      <c r="C28" s="655" t="s">
        <v>793</v>
      </c>
      <c r="D28" s="10" t="str">
        <f t="shared" si="2"/>
        <v>buffered; 6.5 t/ha</v>
      </c>
      <c r="E28">
        <v>88</v>
      </c>
      <c r="F28" s="512">
        <v>82.047621176470585</v>
      </c>
      <c r="G28" s="509">
        <v>-62.436694337471657</v>
      </c>
      <c r="H28" s="509">
        <v>-59.930924425077997</v>
      </c>
      <c r="I28" s="509">
        <v>-17.332493179568182</v>
      </c>
      <c r="J28" s="509">
        <v>-22.780776018681877</v>
      </c>
      <c r="K28" s="509">
        <v>12.990001790412695</v>
      </c>
    </row>
    <row r="29" spans="1:11" ht="15">
      <c r="A29">
        <v>31</v>
      </c>
      <c r="B29" t="s">
        <v>38</v>
      </c>
      <c r="C29" s="655" t="s">
        <v>793</v>
      </c>
      <c r="D29" s="10" t="str">
        <f t="shared" si="2"/>
        <v>buffered; 6.5 t/ha</v>
      </c>
      <c r="E29">
        <v>99</v>
      </c>
      <c r="F29" s="512">
        <v>82.047621176470585</v>
      </c>
      <c r="G29" s="509">
        <v>-64.788741357631324</v>
      </c>
      <c r="H29" s="509">
        <v>-62.282971445237663</v>
      </c>
      <c r="I29" s="509">
        <v>-19.373198217587561</v>
      </c>
      <c r="J29" s="509">
        <v>-24.977124963399806</v>
      </c>
      <c r="K29" s="509">
        <v>11.122509942182072</v>
      </c>
    </row>
    <row r="30" spans="1:11" ht="15">
      <c r="D30" s="10"/>
      <c r="F30" s="453"/>
    </row>
    <row r="31" spans="1:11" ht="15">
      <c r="D31" s="10"/>
      <c r="F31" s="453"/>
    </row>
    <row r="32" spans="1:11" ht="15">
      <c r="A32">
        <v>4</v>
      </c>
      <c r="B32" t="s">
        <v>38</v>
      </c>
      <c r="C32" s="655" t="s">
        <v>794</v>
      </c>
      <c r="D32" s="10" t="str">
        <f t="shared" si="2"/>
        <v>buffered; 13.5 t/ha</v>
      </c>
      <c r="E32">
        <v>22</v>
      </c>
      <c r="F32" s="246">
        <v>164.09524235294117</v>
      </c>
      <c r="G32" s="509">
        <v>-58.529582046203799</v>
      </c>
      <c r="H32" s="509">
        <v>-54.409109617083864</v>
      </c>
      <c r="I32" s="509">
        <v>21.871408658607013</v>
      </c>
      <c r="J32" s="509">
        <v>12.074336962307342</v>
      </c>
      <c r="K32" s="509">
        <v>80.835732464608668</v>
      </c>
    </row>
    <row r="33" spans="1:11" ht="15">
      <c r="A33">
        <v>8</v>
      </c>
      <c r="B33" t="s">
        <v>38</v>
      </c>
      <c r="C33" s="655" t="s">
        <v>794</v>
      </c>
      <c r="D33" s="10" t="str">
        <f t="shared" si="2"/>
        <v>buffered; 13.5 t/ha</v>
      </c>
      <c r="E33">
        <v>33</v>
      </c>
      <c r="F33" s="246">
        <v>164.09524235294117</v>
      </c>
      <c r="G33" s="509">
        <v>-63.233676086523147</v>
      </c>
      <c r="H33" s="509">
        <v>-59.113203657403211</v>
      </c>
      <c r="I33" s="509">
        <v>18.146669990965925</v>
      </c>
      <c r="J33" s="509">
        <v>8.333031328843802</v>
      </c>
      <c r="K33" s="509">
        <v>77.119498172756408</v>
      </c>
    </row>
    <row r="34" spans="1:11" ht="15">
      <c r="A34">
        <v>12</v>
      </c>
      <c r="B34" t="s">
        <v>38</v>
      </c>
      <c r="C34" s="655" t="s">
        <v>794</v>
      </c>
      <c r="D34" s="10" t="str">
        <f t="shared" si="2"/>
        <v>buffered; 13.5 t/ha</v>
      </c>
      <c r="E34">
        <v>44</v>
      </c>
      <c r="F34" s="246">
        <v>164.09524235294117</v>
      </c>
      <c r="G34" s="509">
        <v>-67.937770126842494</v>
      </c>
      <c r="H34" s="509">
        <v>-63.817297697722552</v>
      </c>
      <c r="I34" s="509">
        <v>14.421931323324777</v>
      </c>
      <c r="J34" s="509">
        <v>4.5877506003086754</v>
      </c>
      <c r="K34" s="509">
        <v>73.403263880904134</v>
      </c>
    </row>
    <row r="35" spans="1:11" ht="15">
      <c r="A35">
        <v>16</v>
      </c>
      <c r="B35" t="s">
        <v>38</v>
      </c>
      <c r="C35" s="655" t="s">
        <v>794</v>
      </c>
      <c r="D35" s="10" t="str">
        <f t="shared" si="2"/>
        <v>buffered; 13.5 t/ha</v>
      </c>
      <c r="E35">
        <v>55</v>
      </c>
      <c r="F35" s="246">
        <v>164.09524235294117</v>
      </c>
      <c r="G35" s="509">
        <v>-72.641864167161827</v>
      </c>
      <c r="H35" s="509">
        <v>-68.521391738041871</v>
      </c>
      <c r="I35" s="509">
        <v>10.683271232980825</v>
      </c>
      <c r="J35" s="509">
        <v>0.82335162054722388</v>
      </c>
      <c r="K35" s="509">
        <v>69.687029589051846</v>
      </c>
    </row>
    <row r="36" spans="1:11" ht="15">
      <c r="A36">
        <v>20</v>
      </c>
      <c r="B36" t="s">
        <v>38</v>
      </c>
      <c r="C36" s="655" t="s">
        <v>794</v>
      </c>
      <c r="D36" s="10" t="str">
        <f t="shared" si="2"/>
        <v>buffered; 13.5 t/ha</v>
      </c>
      <c r="E36">
        <v>66</v>
      </c>
      <c r="F36" s="246">
        <v>164.09524235294117</v>
      </c>
      <c r="G36" s="509">
        <v>-77.345958207481175</v>
      </c>
      <c r="H36" s="509">
        <v>-73.225485778361232</v>
      </c>
      <c r="I36" s="509">
        <v>6.9419655995172933</v>
      </c>
      <c r="J36" s="509">
        <v>-2.9609175173552966</v>
      </c>
      <c r="K36" s="509">
        <v>65.970795297199544</v>
      </c>
    </row>
    <row r="37" spans="1:11" ht="15">
      <c r="A37">
        <v>24</v>
      </c>
      <c r="B37" t="s">
        <v>38</v>
      </c>
      <c r="C37" s="655" t="s">
        <v>794</v>
      </c>
      <c r="D37" s="10" t="str">
        <f t="shared" si="2"/>
        <v>buffered; 13.5 t/ha</v>
      </c>
      <c r="E37">
        <v>77</v>
      </c>
      <c r="F37" s="246">
        <v>164.09524235294117</v>
      </c>
      <c r="G37" s="509">
        <v>-82.050052247800494</v>
      </c>
      <c r="H37" s="509">
        <v>-77.929579818680565</v>
      </c>
      <c r="I37" s="509">
        <v>3.1860829287648609</v>
      </c>
      <c r="J37" s="509">
        <v>-6.7753952456540167</v>
      </c>
      <c r="K37" s="509">
        <v>62.254561005347263</v>
      </c>
    </row>
    <row r="38" spans="1:11" ht="15">
      <c r="A38">
        <v>28</v>
      </c>
      <c r="B38" t="s">
        <v>38</v>
      </c>
      <c r="C38" s="655" t="s">
        <v>794</v>
      </c>
      <c r="D38" s="10" t="str">
        <f t="shared" si="2"/>
        <v>buffered; 13.5 t/ha</v>
      </c>
      <c r="E38">
        <v>88</v>
      </c>
      <c r="F38" s="246">
        <v>164.09524235294117</v>
      </c>
      <c r="G38" s="509">
        <v>-86.754146288119856</v>
      </c>
      <c r="H38" s="509">
        <v>-82.633673858999913</v>
      </c>
      <c r="I38" s="509">
        <v>-0.58193869154078515</v>
      </c>
      <c r="J38" s="509">
        <v>-10.651441245683515</v>
      </c>
      <c r="K38" s="509">
        <v>58.53832671349501</v>
      </c>
    </row>
    <row r="39" spans="1:11" ht="15">
      <c r="A39">
        <v>32</v>
      </c>
      <c r="B39" t="s">
        <v>38</v>
      </c>
      <c r="C39" s="655" t="s">
        <v>794</v>
      </c>
      <c r="D39" s="10" t="str">
        <f t="shared" si="2"/>
        <v>buffered; 13.5 t/ha</v>
      </c>
      <c r="E39">
        <v>99</v>
      </c>
      <c r="F39" s="246">
        <v>164.09524235294117</v>
      </c>
      <c r="G39" s="509">
        <v>-91.458240328439175</v>
      </c>
      <c r="H39" s="509">
        <v>-87.33776789931926</v>
      </c>
      <c r="I39" s="509">
        <v>-4.3771989532011002</v>
      </c>
      <c r="J39" s="509">
        <v>-14.573965006465571</v>
      </c>
      <c r="K39" s="509">
        <v>54.822092421642715</v>
      </c>
    </row>
    <row r="40" spans="1:11" ht="15">
      <c r="D40" s="10"/>
    </row>
    <row r="41" spans="1:11" ht="15">
      <c r="D41" s="10"/>
    </row>
    <row r="42" spans="1:11" ht="15">
      <c r="A42">
        <v>33</v>
      </c>
      <c r="B42" t="s">
        <v>37</v>
      </c>
      <c r="C42" s="655" t="s">
        <v>793</v>
      </c>
      <c r="D42" s="10" t="str">
        <f t="shared" si="2"/>
        <v>productivity based; 6.5 t/ha</v>
      </c>
      <c r="E42" s="10">
        <v>22</v>
      </c>
      <c r="F42" s="656" t="s">
        <v>795</v>
      </c>
      <c r="G42" s="509">
        <v>-76.072909909525166</v>
      </c>
      <c r="H42" s="509">
        <v>-68.927021599423966</v>
      </c>
      <c r="I42" s="509">
        <v>74.227943075395885</v>
      </c>
      <c r="J42" s="509">
        <v>55.299665077104272</v>
      </c>
      <c r="K42" s="509">
        <v>188.39119930781453</v>
      </c>
    </row>
    <row r="43" spans="1:11" ht="15">
      <c r="A43">
        <v>37</v>
      </c>
      <c r="B43" t="s">
        <v>37</v>
      </c>
      <c r="C43" s="655" t="s">
        <v>793</v>
      </c>
      <c r="D43" s="10" t="str">
        <f t="shared" si="2"/>
        <v>productivity based; 6.5 t/ha</v>
      </c>
      <c r="E43">
        <v>33</v>
      </c>
      <c r="F43" s="512">
        <v>317.8252164705882</v>
      </c>
      <c r="G43" s="509">
        <v>-85.183958378845432</v>
      </c>
      <c r="H43" s="509">
        <v>-78.038070068744219</v>
      </c>
      <c r="I43" s="509">
        <v>67.030214784632875</v>
      </c>
      <c r="J43" s="509">
        <v>48.101936786341263</v>
      </c>
      <c r="K43" s="509">
        <v>181.19347101705154</v>
      </c>
    </row>
    <row r="44" spans="1:11" ht="15">
      <c r="A44">
        <v>41</v>
      </c>
      <c r="B44" t="s">
        <v>37</v>
      </c>
      <c r="C44" s="655" t="s">
        <v>793</v>
      </c>
      <c r="D44" s="10" t="str">
        <f t="shared" si="2"/>
        <v>productivity based; 6.5 t/ha</v>
      </c>
      <c r="E44">
        <v>44</v>
      </c>
      <c r="F44" s="512">
        <v>317.8252164705882</v>
      </c>
      <c r="G44" s="509">
        <v>-94.295006848165656</v>
      </c>
      <c r="H44" s="509">
        <v>-87.149118538064457</v>
      </c>
      <c r="I44" s="509">
        <v>59.832486493869872</v>
      </c>
      <c r="J44" s="509">
        <v>40.901008404631348</v>
      </c>
      <c r="K44" s="509">
        <v>173.99574272628863</v>
      </c>
    </row>
    <row r="45" spans="1:11" ht="15">
      <c r="A45">
        <v>45</v>
      </c>
      <c r="B45" t="s">
        <v>37</v>
      </c>
      <c r="C45" s="655" t="s">
        <v>793</v>
      </c>
      <c r="D45" s="10" t="str">
        <f t="shared" si="2"/>
        <v>productivity based; 6.5 t/ha</v>
      </c>
      <c r="E45">
        <v>55</v>
      </c>
      <c r="F45" s="512">
        <v>317.8252164705882</v>
      </c>
      <c r="G45" s="509">
        <v>-103.40605531748591</v>
      </c>
      <c r="H45" s="509">
        <v>-96.260167007384666</v>
      </c>
      <c r="I45" s="509">
        <v>52.634758203106848</v>
      </c>
      <c r="J45" s="509">
        <v>33.68680855115101</v>
      </c>
      <c r="K45" s="509">
        <v>166.7980144355256</v>
      </c>
    </row>
    <row r="46" spans="1:11" ht="15">
      <c r="A46">
        <v>49</v>
      </c>
      <c r="B46" t="s">
        <v>37</v>
      </c>
      <c r="C46" s="655" t="s">
        <v>793</v>
      </c>
      <c r="D46" s="10" t="str">
        <f t="shared" si="2"/>
        <v>productivity based; 6.5 t/ha</v>
      </c>
      <c r="E46">
        <v>66</v>
      </c>
      <c r="F46" s="512">
        <v>317.8252164705882</v>
      </c>
      <c r="G46" s="509">
        <v>-112.51710378680616</v>
      </c>
      <c r="H46" s="509">
        <v>-105.37121547670496</v>
      </c>
      <c r="I46" s="509">
        <v>45.437029912343888</v>
      </c>
      <c r="J46" s="509">
        <v>26.472608697670665</v>
      </c>
      <c r="K46" s="509">
        <v>159.60028614476255</v>
      </c>
    </row>
    <row r="47" spans="1:11" ht="15">
      <c r="A47">
        <v>53</v>
      </c>
      <c r="B47" t="s">
        <v>37</v>
      </c>
      <c r="C47" s="655" t="s">
        <v>793</v>
      </c>
      <c r="D47" s="10" t="str">
        <f t="shared" si="2"/>
        <v>productivity based; 6.5 t/ha</v>
      </c>
      <c r="E47">
        <v>77</v>
      </c>
      <c r="F47" s="512">
        <v>317.8252164705882</v>
      </c>
      <c r="G47" s="509">
        <v>-121.62815225612643</v>
      </c>
      <c r="H47" s="509">
        <v>-114.48226394602516</v>
      </c>
      <c r="I47" s="509">
        <v>38.223683577061834</v>
      </c>
      <c r="J47" s="509">
        <v>19.258408844190303</v>
      </c>
      <c r="K47" s="509">
        <v>152.40255785399964</v>
      </c>
    </row>
    <row r="48" spans="1:11" ht="15">
      <c r="A48">
        <v>57</v>
      </c>
      <c r="B48" t="s">
        <v>37</v>
      </c>
      <c r="C48" s="655" t="s">
        <v>793</v>
      </c>
      <c r="D48" s="10" t="str">
        <f t="shared" si="2"/>
        <v>productivity based; 6.5 t/ha</v>
      </c>
      <c r="E48">
        <v>88</v>
      </c>
      <c r="F48" s="512">
        <v>317.8252164705882</v>
      </c>
      <c r="G48" s="509">
        <v>-130.73920072544666</v>
      </c>
      <c r="H48" s="509">
        <v>-123.59331241534539</v>
      </c>
      <c r="I48" s="509">
        <v>31.009483723581504</v>
      </c>
      <c r="J48" s="509">
        <v>12.015166177257557</v>
      </c>
      <c r="K48" s="509">
        <v>145.20482956323664</v>
      </c>
    </row>
    <row r="49" spans="1:11" ht="15">
      <c r="A49">
        <v>61</v>
      </c>
      <c r="B49" t="s">
        <v>37</v>
      </c>
      <c r="C49" s="655" t="s">
        <v>793</v>
      </c>
      <c r="D49" s="10" t="str">
        <f t="shared" si="2"/>
        <v>productivity based; 6.5 t/ha</v>
      </c>
      <c r="E49">
        <v>99</v>
      </c>
      <c r="F49" s="512">
        <v>317.8252164705882</v>
      </c>
      <c r="G49" s="509">
        <v>-139.85024919476689</v>
      </c>
      <c r="H49" s="509">
        <v>-132.70436088466568</v>
      </c>
      <c r="I49" s="509">
        <v>23.795283870101166</v>
      </c>
      <c r="J49" s="509">
        <v>4.7495880123698901</v>
      </c>
      <c r="K49" s="509">
        <v>138.00710127247368</v>
      </c>
    </row>
    <row r="50" spans="1:11" ht="15">
      <c r="D50" s="10"/>
    </row>
    <row r="51" spans="1:11" ht="15">
      <c r="D51" s="10"/>
    </row>
    <row r="52" spans="1:11" ht="15">
      <c r="A52">
        <v>34</v>
      </c>
      <c r="B52" t="s">
        <v>37</v>
      </c>
      <c r="C52" s="655" t="s">
        <v>794</v>
      </c>
      <c r="D52" s="10" t="str">
        <f t="shared" si="2"/>
        <v>productivity based; 13.5 t/ha</v>
      </c>
      <c r="E52" s="10">
        <v>22</v>
      </c>
      <c r="F52" s="246">
        <v>635.6504329411764</v>
      </c>
      <c r="G52" s="509">
        <v>-109.52877733856067</v>
      </c>
      <c r="H52" s="509">
        <v>-96.128068114025609</v>
      </c>
      <c r="I52" s="509">
        <v>184.90019046438169</v>
      </c>
      <c r="J52" s="509">
        <v>147.04363446779848</v>
      </c>
      <c r="K52" s="509">
        <v>413.22670292921913</v>
      </c>
    </row>
    <row r="53" spans="1:11" ht="15">
      <c r="A53">
        <v>38</v>
      </c>
      <c r="B53" t="s">
        <v>37</v>
      </c>
      <c r="C53" s="655" t="s">
        <v>794</v>
      </c>
      <c r="D53" s="10" t="str">
        <f t="shared" si="2"/>
        <v>productivity based; 13.5 t/ha</v>
      </c>
      <c r="E53">
        <v>33</v>
      </c>
      <c r="F53" s="246">
        <v>635.6504329411764</v>
      </c>
      <c r="G53" s="509">
        <v>-127.75087427720118</v>
      </c>
      <c r="H53" s="509">
        <v>-114.3501650526661</v>
      </c>
      <c r="I53" s="509">
        <v>170.5047338828557</v>
      </c>
      <c r="J53" s="509">
        <v>132.64817788627241</v>
      </c>
      <c r="K53" s="509">
        <v>398.83124634769308</v>
      </c>
    </row>
    <row r="54" spans="1:11" ht="15">
      <c r="A54">
        <v>42</v>
      </c>
      <c r="B54" t="s">
        <v>37</v>
      </c>
      <c r="C54" s="655" t="s">
        <v>794</v>
      </c>
      <c r="D54" s="10" t="str">
        <f t="shared" si="2"/>
        <v>productivity based; 13.5 t/ha</v>
      </c>
      <c r="E54">
        <v>44</v>
      </c>
      <c r="F54" s="246">
        <v>635.6504329411764</v>
      </c>
      <c r="G54" s="509">
        <v>-145.97297121584165</v>
      </c>
      <c r="H54" s="509">
        <v>-132.57226199130653</v>
      </c>
      <c r="I54" s="509">
        <v>156.10927730132974</v>
      </c>
      <c r="J54" s="509">
        <v>118.25272130474653</v>
      </c>
      <c r="K54" s="509">
        <v>384.43578976616709</v>
      </c>
    </row>
    <row r="55" spans="1:11" ht="15">
      <c r="A55">
        <v>46</v>
      </c>
      <c r="B55" t="s">
        <v>37</v>
      </c>
      <c r="C55" s="655" t="s">
        <v>794</v>
      </c>
      <c r="D55" s="10" t="str">
        <f t="shared" si="2"/>
        <v>productivity based; 13.5 t/ha</v>
      </c>
      <c r="E55">
        <v>55</v>
      </c>
      <c r="F55" s="246">
        <v>635.6504329411764</v>
      </c>
      <c r="G55" s="509">
        <v>-164.19506815448213</v>
      </c>
      <c r="H55" s="509">
        <v>-150.79435892994701</v>
      </c>
      <c r="I55" s="509">
        <v>141.71382071980375</v>
      </c>
      <c r="J55" s="509">
        <v>103.85726472322054</v>
      </c>
      <c r="K55" s="509">
        <v>370.04033318464116</v>
      </c>
    </row>
    <row r="56" spans="1:11" ht="15">
      <c r="A56">
        <v>50</v>
      </c>
      <c r="B56" t="s">
        <v>37</v>
      </c>
      <c r="C56" s="655" t="s">
        <v>794</v>
      </c>
      <c r="D56" s="10" t="str">
        <f t="shared" si="2"/>
        <v>productivity based; 13.5 t/ha</v>
      </c>
      <c r="E56">
        <v>66</v>
      </c>
      <c r="F56" s="246">
        <v>635.6504329411764</v>
      </c>
      <c r="G56" s="509">
        <v>-182.41716509312261</v>
      </c>
      <c r="H56" s="509">
        <v>-169.01645586858749</v>
      </c>
      <c r="I56" s="509">
        <v>127.31836413827776</v>
      </c>
      <c r="J56" s="509">
        <v>89.461808141694561</v>
      </c>
      <c r="K56" s="509">
        <v>355.64487660311516</v>
      </c>
    </row>
    <row r="57" spans="1:11" ht="15">
      <c r="A57">
        <v>54</v>
      </c>
      <c r="B57" t="s">
        <v>37</v>
      </c>
      <c r="C57" s="655" t="s">
        <v>794</v>
      </c>
      <c r="D57" s="10" t="str">
        <f t="shared" si="2"/>
        <v>productivity based; 13.5 t/ha</v>
      </c>
      <c r="E57">
        <v>77</v>
      </c>
      <c r="F57" s="246">
        <v>635.6504329411764</v>
      </c>
      <c r="G57" s="509">
        <v>-200.63926203176308</v>
      </c>
      <c r="H57" s="509">
        <v>-187.23855280722796</v>
      </c>
      <c r="I57" s="509">
        <v>112.92290755675181</v>
      </c>
      <c r="J57" s="509">
        <v>75.06635156016857</v>
      </c>
      <c r="K57" s="509">
        <v>341.24942002158917</v>
      </c>
    </row>
    <row r="58" spans="1:11" ht="15">
      <c r="A58">
        <v>58</v>
      </c>
      <c r="B58" t="s">
        <v>37</v>
      </c>
      <c r="C58" s="655" t="s">
        <v>794</v>
      </c>
      <c r="D58" s="10" t="str">
        <f t="shared" si="2"/>
        <v>productivity based; 13.5 t/ha</v>
      </c>
      <c r="E58">
        <v>88</v>
      </c>
      <c r="F58" s="246">
        <v>635.6504329411764</v>
      </c>
      <c r="G58" s="509">
        <v>-218.86135897040356</v>
      </c>
      <c r="H58" s="509">
        <v>-205.46064974586844</v>
      </c>
      <c r="I58" s="509">
        <v>98.527450975225818</v>
      </c>
      <c r="J58" s="509">
        <v>60.656024803691807</v>
      </c>
      <c r="K58" s="509">
        <v>326.85396344006335</v>
      </c>
    </row>
    <row r="59" spans="1:11" ht="15">
      <c r="A59">
        <v>62</v>
      </c>
      <c r="B59" t="s">
        <v>37</v>
      </c>
      <c r="C59" s="655" t="s">
        <v>794</v>
      </c>
      <c r="D59" s="10" t="str">
        <f t="shared" si="2"/>
        <v>productivity based; 13.5 t/ha</v>
      </c>
      <c r="E59">
        <v>99</v>
      </c>
      <c r="F59" s="246">
        <v>635.6504329411764</v>
      </c>
      <c r="G59" s="509">
        <v>-237.08345590904398</v>
      </c>
      <c r="H59" s="509">
        <v>-223.68274668450897</v>
      </c>
      <c r="I59" s="509">
        <v>84.131994393699827</v>
      </c>
      <c r="J59" s="509">
        <v>46.227625096731096</v>
      </c>
      <c r="K59" s="509">
        <v>312.45850685853731</v>
      </c>
    </row>
    <row r="60" spans="1:11" ht="15">
      <c r="D60" s="10"/>
    </row>
    <row r="61" spans="1:11" ht="15">
      <c r="D61" s="10"/>
    </row>
    <row r="62" spans="1:11" ht="15">
      <c r="C62" s="10"/>
      <c r="D62" s="10"/>
      <c r="E62" s="10"/>
      <c r="F62" s="453"/>
    </row>
    <row r="63" spans="1:11" ht="15">
      <c r="C63" s="10"/>
      <c r="D63" s="10"/>
      <c r="F63" s="453"/>
    </row>
    <row r="64" spans="1:11" ht="15">
      <c r="C64" s="10"/>
      <c r="D64" s="10"/>
      <c r="F64" s="453"/>
    </row>
    <row r="65" spans="3:6" ht="15">
      <c r="C65" s="10"/>
      <c r="D65" s="10"/>
      <c r="F65" s="453"/>
    </row>
    <row r="66" spans="3:6" ht="15">
      <c r="C66" s="10"/>
      <c r="D66" s="10"/>
      <c r="F66" s="453"/>
    </row>
    <row r="67" spans="3:6" ht="15">
      <c r="C67" s="10"/>
      <c r="D67" s="10"/>
      <c r="F67" s="453"/>
    </row>
    <row r="68" spans="3:6" ht="15">
      <c r="C68" s="10"/>
      <c r="D68" s="10"/>
      <c r="F68" s="453"/>
    </row>
    <row r="69" spans="3:6" ht="15">
      <c r="C69" s="10"/>
      <c r="D69" s="10"/>
      <c r="F69" s="453"/>
    </row>
    <row r="70" spans="3:6" ht="15">
      <c r="D70" s="10"/>
    </row>
    <row r="71" spans="3:6" ht="15">
      <c r="D71" s="10"/>
    </row>
    <row r="72" spans="3:6" ht="15">
      <c r="C72" s="10"/>
      <c r="D72" s="10"/>
      <c r="F72" s="453"/>
    </row>
    <row r="73" spans="3:6" ht="15">
      <c r="C73" s="10"/>
      <c r="D73" s="10"/>
      <c r="F73" s="453"/>
    </row>
    <row r="74" spans="3:6" ht="15">
      <c r="C74" s="10"/>
      <c r="D74" s="10"/>
      <c r="F74" s="453"/>
    </row>
    <row r="75" spans="3:6" ht="15">
      <c r="C75" s="10"/>
      <c r="D75" s="10"/>
      <c r="F75" s="453"/>
    </row>
    <row r="76" spans="3:6" ht="15">
      <c r="C76" s="10"/>
      <c r="D76" s="10"/>
      <c r="F76" s="453"/>
    </row>
    <row r="77" spans="3:6" ht="15">
      <c r="C77" s="10"/>
      <c r="D77" s="10"/>
      <c r="F77" s="453"/>
    </row>
    <row r="78" spans="3:6" ht="15">
      <c r="C78" s="10"/>
      <c r="D78" s="10"/>
      <c r="F78" s="453"/>
    </row>
    <row r="79" spans="3:6" ht="15">
      <c r="C79" s="10"/>
      <c r="D79" s="10"/>
      <c r="F79" s="453"/>
    </row>
    <row r="80" spans="3:6" ht="15">
      <c r="D80" s="10"/>
    </row>
    <row r="81" spans="3:6" ht="15">
      <c r="D81" s="10"/>
    </row>
    <row r="82" spans="3:6" ht="15">
      <c r="C82" s="10"/>
      <c r="D82" s="10"/>
    </row>
    <row r="83" spans="3:6" ht="15">
      <c r="C83" s="10"/>
      <c r="D83" s="10"/>
    </row>
    <row r="84" spans="3:6" ht="15">
      <c r="C84" s="10"/>
      <c r="D84" s="10"/>
    </row>
    <row r="85" spans="3:6" ht="15">
      <c r="C85" s="10"/>
      <c r="D85" s="10"/>
    </row>
    <row r="86" spans="3:6" ht="15">
      <c r="C86" s="10"/>
      <c r="D86" s="10"/>
    </row>
    <row r="87" spans="3:6" ht="15">
      <c r="C87" s="10"/>
      <c r="D87" s="10"/>
    </row>
    <row r="88" spans="3:6" ht="15">
      <c r="C88" s="10"/>
      <c r="D88" s="10"/>
    </row>
    <row r="89" spans="3:6" ht="15">
      <c r="C89" s="10"/>
      <c r="D89" s="10"/>
    </row>
    <row r="90" spans="3:6" ht="15">
      <c r="D90" s="10"/>
    </row>
    <row r="91" spans="3:6" ht="15">
      <c r="D91" s="10"/>
    </row>
    <row r="92" spans="3:6" ht="15">
      <c r="C92" s="10"/>
      <c r="D92" s="10"/>
      <c r="E92" s="10"/>
      <c r="F92" s="453"/>
    </row>
    <row r="93" spans="3:6" ht="15">
      <c r="C93" s="10"/>
      <c r="D93" s="10"/>
      <c r="F93" s="453"/>
    </row>
    <row r="94" spans="3:6" ht="15">
      <c r="C94" s="10"/>
      <c r="D94" s="10"/>
      <c r="F94" s="453"/>
    </row>
    <row r="95" spans="3:6" ht="15">
      <c r="C95" s="10"/>
      <c r="D95" s="10"/>
      <c r="F95" s="453"/>
    </row>
    <row r="96" spans="3:6" ht="15">
      <c r="C96" s="10"/>
      <c r="D96" s="10"/>
      <c r="F96" s="453"/>
    </row>
    <row r="97" spans="3:6" ht="15">
      <c r="C97" s="10"/>
      <c r="D97" s="10"/>
      <c r="F97" s="453"/>
    </row>
    <row r="98" spans="3:6" ht="15">
      <c r="C98" s="10"/>
      <c r="D98" s="10"/>
      <c r="F98" s="453"/>
    </row>
    <row r="99" spans="3:6" ht="15">
      <c r="C99" s="10"/>
      <c r="D99" s="10"/>
      <c r="F99" s="453"/>
    </row>
    <row r="100" spans="3:6" ht="15">
      <c r="D100" s="10"/>
    </row>
    <row r="101" spans="3:6" ht="15">
      <c r="D101" s="10"/>
    </row>
    <row r="102" spans="3:6" ht="15">
      <c r="C102" s="10"/>
      <c r="D102" s="10"/>
      <c r="E102" s="10"/>
      <c r="F102" s="453"/>
    </row>
    <row r="103" spans="3:6" ht="15">
      <c r="C103" s="10"/>
      <c r="D103" s="10"/>
      <c r="F103" s="453"/>
    </row>
    <row r="104" spans="3:6" ht="15">
      <c r="C104" s="10"/>
      <c r="D104" s="10"/>
      <c r="F104" s="453"/>
    </row>
    <row r="105" spans="3:6" ht="15">
      <c r="C105" s="10"/>
      <c r="D105" s="10"/>
      <c r="F105" s="453"/>
    </row>
    <row r="106" spans="3:6" ht="15">
      <c r="C106" s="10"/>
      <c r="D106" s="10"/>
      <c r="F106" s="453"/>
    </row>
    <row r="107" spans="3:6" ht="15">
      <c r="C107" s="10"/>
      <c r="D107" s="10"/>
      <c r="F107" s="453"/>
    </row>
    <row r="108" spans="3:6" ht="15">
      <c r="C108" s="10"/>
      <c r="D108" s="10"/>
      <c r="F108" s="453"/>
    </row>
    <row r="109" spans="3:6" ht="15">
      <c r="C109" s="10"/>
      <c r="D109" s="10"/>
      <c r="F109" s="453"/>
    </row>
    <row r="110" spans="3:6" ht="15">
      <c r="D110" s="10"/>
    </row>
    <row r="111" spans="3:6" ht="15">
      <c r="D111" s="10"/>
    </row>
    <row r="112" spans="3:6" ht="15">
      <c r="C112" s="10"/>
      <c r="D112" s="10"/>
      <c r="F112" s="453"/>
    </row>
    <row r="113" spans="3:6" ht="15">
      <c r="C113" s="10"/>
      <c r="D113" s="10"/>
      <c r="F113" s="453"/>
    </row>
    <row r="114" spans="3:6" ht="15">
      <c r="C114" s="10"/>
      <c r="D114" s="10"/>
      <c r="F114" s="453"/>
    </row>
    <row r="115" spans="3:6" ht="15">
      <c r="C115" s="10"/>
      <c r="D115" s="10"/>
      <c r="F115" s="453"/>
    </row>
    <row r="116" spans="3:6" ht="15">
      <c r="C116" s="10"/>
      <c r="D116" s="10"/>
      <c r="F116" s="453"/>
    </row>
    <row r="117" spans="3:6" ht="15">
      <c r="C117" s="10"/>
      <c r="D117" s="10"/>
      <c r="F117" s="453"/>
    </row>
    <row r="118" spans="3:6" ht="15">
      <c r="C118" s="10"/>
      <c r="D118" s="10"/>
      <c r="F118" s="453"/>
    </row>
    <row r="119" spans="3:6" ht="15">
      <c r="C119" s="10"/>
      <c r="D119" s="10"/>
      <c r="F119" s="45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ADB9-21B6-4105-AD5E-85BC201BA1E3}">
  <sheetPr codeName="Sheet17"/>
  <dimension ref="A1:M27"/>
  <sheetViews>
    <sheetView zoomScale="80" zoomScaleNormal="80" workbookViewId="0">
      <selection activeCell="A16" sqref="A16"/>
    </sheetView>
  </sheetViews>
  <sheetFormatPr baseColWidth="10" defaultColWidth="9.1640625" defaultRowHeight="15"/>
  <cols>
    <col min="1" max="1" width="13.83203125" style="496" bestFit="1" customWidth="1"/>
    <col min="2" max="2" width="28.6640625" style="496" bestFit="1" customWidth="1"/>
    <col min="3" max="3" width="32" style="496" bestFit="1" customWidth="1"/>
    <col min="4" max="4" width="39.5" style="496" bestFit="1" customWidth="1"/>
    <col min="5" max="5" width="39" style="496" bestFit="1" customWidth="1"/>
    <col min="6" max="6" width="28.33203125" style="496" bestFit="1" customWidth="1"/>
    <col min="7" max="7" width="29.33203125" style="496" bestFit="1" customWidth="1"/>
    <col min="8" max="8" width="28.6640625" style="496" customWidth="1"/>
    <col min="9" max="9" width="32" style="496" bestFit="1" customWidth="1"/>
    <col min="10" max="10" width="39.5" style="496" bestFit="1" customWidth="1"/>
    <col min="11" max="11" width="39" style="496" bestFit="1" customWidth="1"/>
    <col min="12" max="12" width="28.33203125" style="496" bestFit="1" customWidth="1"/>
    <col min="13" max="13" width="29.33203125" style="496" bestFit="1" customWidth="1"/>
    <col min="14" max="16384" width="9.1640625" style="496"/>
  </cols>
  <sheetData>
    <row r="1" spans="1:13" ht="16" thickBot="1"/>
    <row r="2" spans="1:13" ht="16" thickBot="1">
      <c r="A2" s="505"/>
      <c r="B2" s="670" t="s">
        <v>586</v>
      </c>
      <c r="C2" s="671"/>
      <c r="D2" s="671"/>
      <c r="E2" s="671"/>
      <c r="F2" s="671"/>
      <c r="G2" s="671"/>
      <c r="H2" s="672" t="s">
        <v>705</v>
      </c>
      <c r="I2" s="673"/>
      <c r="J2" s="673"/>
      <c r="K2" s="673"/>
      <c r="L2" s="673"/>
      <c r="M2" s="674"/>
    </row>
    <row r="3" spans="1:13">
      <c r="A3" s="504" t="s">
        <v>704</v>
      </c>
      <c r="B3" s="654" t="s">
        <v>786</v>
      </c>
      <c r="C3" s="508" t="s">
        <v>787</v>
      </c>
      <c r="D3" s="508" t="s">
        <v>788</v>
      </c>
      <c r="E3" s="508" t="s">
        <v>789</v>
      </c>
      <c r="F3" s="508" t="s">
        <v>790</v>
      </c>
      <c r="G3" s="658" t="s">
        <v>791</v>
      </c>
      <c r="H3" s="662" t="s">
        <v>786</v>
      </c>
      <c r="I3" s="654" t="s">
        <v>787</v>
      </c>
      <c r="J3" s="508" t="s">
        <v>788</v>
      </c>
      <c r="K3" s="508" t="s">
        <v>789</v>
      </c>
      <c r="L3" s="508" t="s">
        <v>790</v>
      </c>
      <c r="M3" s="657" t="s">
        <v>791</v>
      </c>
    </row>
    <row r="4" spans="1:13">
      <c r="A4" s="504" t="s">
        <v>704</v>
      </c>
      <c r="B4" s="501" t="str">
        <f t="shared" ref="B4:G4" si="0">_xlfn.CONCAT(B3, "; ",$B$2)</f>
        <v>Baseline;6.5 t/ha; No Credits</v>
      </c>
      <c r="C4" s="501" t="str">
        <f t="shared" si="0"/>
        <v>Baseline;13.5 Mg/ha; No Credits</v>
      </c>
      <c r="D4" s="501" t="str">
        <f t="shared" si="0"/>
        <v>Productivity-based; 6.75 t/ha; No Credits</v>
      </c>
      <c r="E4" s="501" t="str">
        <f t="shared" si="0"/>
        <v>Productivity-based;13.5 t/ha; No Credits</v>
      </c>
      <c r="F4" s="501" t="str">
        <f t="shared" si="0"/>
        <v>Buffered;6.5 t/ha; No Credits</v>
      </c>
      <c r="G4" s="659" t="str">
        <f t="shared" si="0"/>
        <v>Buffered;13.5 t/ha; No Credits</v>
      </c>
      <c r="H4" s="502" t="str">
        <f t="shared" ref="H4:M4" si="1">_xlfn.CONCAT(H3, "; ",$H$2)</f>
        <v>Baseline;6.5 t/ha; All Credits</v>
      </c>
      <c r="I4" s="661" t="str">
        <f t="shared" si="1"/>
        <v>Baseline;13.5 Mg/ha; All Credits</v>
      </c>
      <c r="J4" s="499" t="str">
        <f t="shared" si="1"/>
        <v>Productivity-based; 6.75 t/ha; All Credits</v>
      </c>
      <c r="K4" s="499" t="str">
        <f t="shared" si="1"/>
        <v>Productivity-based;13.5 t/ha; All Credits</v>
      </c>
      <c r="L4" s="499" t="str">
        <f t="shared" si="1"/>
        <v>Buffered;6.5 t/ha; All Credits</v>
      </c>
      <c r="M4" s="499" t="str">
        <f t="shared" si="1"/>
        <v>Buffered;13.5 t/ha; All Credits</v>
      </c>
    </row>
    <row r="5" spans="1:13">
      <c r="A5" s="503">
        <v>22</v>
      </c>
      <c r="B5" s="501">
        <f>'Farmgate scenarios plots'!G2</f>
        <v>-44.8097311219069</v>
      </c>
      <c r="C5" s="501">
        <f>'Farmgate scenarios plots'!G12</f>
        <v>-52.100011427057268</v>
      </c>
      <c r="D5" s="500">
        <f>'Farmgate scenarios plots'!G22</f>
        <v>-48.324412216513636</v>
      </c>
      <c r="E5" s="500">
        <f>'Farmgate scenarios plots'!G32</f>
        <v>-58.529582046203799</v>
      </c>
      <c r="F5" s="500">
        <f>'Farmgate scenarios plots'!G42</f>
        <v>-76.072909909525166</v>
      </c>
      <c r="G5" s="660">
        <f>'Farmgate scenarios plots'!G52</f>
        <v>-109.52877733856067</v>
      </c>
      <c r="H5" s="502">
        <f>'Farmgate scenarios plots'!K2</f>
        <v>6.1803665968784243</v>
      </c>
      <c r="I5" s="501">
        <f>'Farmgate scenarios plots'!K12</f>
        <v>44.443946332643314</v>
      </c>
      <c r="J5" s="500">
        <f>'Farmgate scenarios plots'!K22</f>
        <v>24.164217793336071</v>
      </c>
      <c r="K5" s="500">
        <f>'Farmgate scenarios plots'!K32</f>
        <v>80.835732464608668</v>
      </c>
      <c r="L5" s="500">
        <f>'Farmgate scenarios plots'!K42</f>
        <v>188.39119930781453</v>
      </c>
      <c r="M5" s="499">
        <f>'Farmgate scenarios plots'!K52</f>
        <v>413.22670292921913</v>
      </c>
    </row>
    <row r="6" spans="1:13">
      <c r="A6" s="502">
        <v>33</v>
      </c>
      <c r="B6" s="501">
        <f>'Farmgate scenarios plots'!G3</f>
        <v>-46.408449085985382</v>
      </c>
      <c r="C6" s="501">
        <f>'Farmgate scenarios plots'!G13</f>
        <v>-55.297447355214217</v>
      </c>
      <c r="D6" s="500">
        <f>'Farmgate scenarios plots'!G23</f>
        <v>-50.676459236673296</v>
      </c>
      <c r="E6" s="500">
        <f>'Farmgate scenarios plots'!G33</f>
        <v>-63.233676086523147</v>
      </c>
      <c r="F6" s="500">
        <f>'Farmgate scenarios plots'!G43</f>
        <v>-85.183958378845432</v>
      </c>
      <c r="G6" s="660">
        <f>'Farmgate scenarios plots'!G53</f>
        <v>-127.75087427720118</v>
      </c>
      <c r="H6" s="502">
        <f>'Farmgate scenarios plots'!K3</f>
        <v>4.9088587413679283</v>
      </c>
      <c r="I6" s="501">
        <f>'Farmgate scenarios plots'!K13</f>
        <v>41.917971949399323</v>
      </c>
      <c r="J6" s="500">
        <f>'Farmgate scenarios plots'!K23</f>
        <v>22.301848459515504</v>
      </c>
      <c r="K6" s="500">
        <f>'Farmgate scenarios plots'!K33</f>
        <v>77.119498172756408</v>
      </c>
      <c r="L6" s="500">
        <f>'Farmgate scenarios plots'!K43</f>
        <v>181.19347101705154</v>
      </c>
      <c r="M6" s="499">
        <f>'Farmgate scenarios plots'!K53</f>
        <v>398.83124634769308</v>
      </c>
    </row>
    <row r="7" spans="1:13">
      <c r="A7" s="502">
        <v>44</v>
      </c>
      <c r="B7" s="501">
        <f>'Farmgate scenarios plots'!G4</f>
        <v>-48.007167050063856</v>
      </c>
      <c r="C7" s="501">
        <f>'Farmgate scenarios plots'!G14</f>
        <v>-58.494883283371173</v>
      </c>
      <c r="D7" s="500">
        <f>'Farmgate scenarios plots'!G24</f>
        <v>-53.028506256832962</v>
      </c>
      <c r="E7" s="500">
        <f>'Farmgate scenarios plots'!G34</f>
        <v>-67.937770126842494</v>
      </c>
      <c r="F7" s="500">
        <f>'Farmgate scenarios plots'!G44</f>
        <v>-94.295006848165656</v>
      </c>
      <c r="G7" s="660">
        <f>'Farmgate scenarios plots'!G54</f>
        <v>-145.97297121584165</v>
      </c>
      <c r="H7" s="502">
        <f>'Farmgate scenarios plots'!K4</f>
        <v>3.6347662570391521</v>
      </c>
      <c r="I7" s="501">
        <f>'Farmgate scenarios plots'!K14</f>
        <v>39.391997566155311</v>
      </c>
      <c r="J7" s="500">
        <f>'Farmgate scenarios plots'!K24</f>
        <v>20.439479125694945</v>
      </c>
      <c r="K7" s="500">
        <f>'Farmgate scenarios plots'!K34</f>
        <v>73.403263880904134</v>
      </c>
      <c r="L7" s="500">
        <f>'Farmgate scenarios plots'!K44</f>
        <v>173.99574272628863</v>
      </c>
      <c r="M7" s="499">
        <f>'Farmgate scenarios plots'!K54</f>
        <v>384.43578976616709</v>
      </c>
    </row>
    <row r="8" spans="1:13">
      <c r="A8" s="502">
        <v>55</v>
      </c>
      <c r="B8" s="501">
        <f>'Farmgate scenarios plots'!G5</f>
        <v>-49.605885014142338</v>
      </c>
      <c r="C8" s="501">
        <f>'Farmgate scenarios plots'!G15</f>
        <v>-61.692319211528108</v>
      </c>
      <c r="D8" s="500">
        <f>'Farmgate scenarios plots'!G25</f>
        <v>-55.38055327699265</v>
      </c>
      <c r="E8" s="500">
        <f>'Farmgate scenarios plots'!G35</f>
        <v>-72.641864167161827</v>
      </c>
      <c r="F8" s="500">
        <f>'Farmgate scenarios plots'!G45</f>
        <v>-103.40605531748591</v>
      </c>
      <c r="G8" s="660">
        <f>'Farmgate scenarios plots'!G55</f>
        <v>-164.19506815448213</v>
      </c>
      <c r="H8" s="502">
        <f>'Farmgate scenarios plots'!K5</f>
        <v>2.3554099726365618</v>
      </c>
      <c r="I8" s="501">
        <f>'Farmgate scenarios plots'!K15</f>
        <v>36.86602318291132</v>
      </c>
      <c r="J8" s="500">
        <f>'Farmgate scenarios plots'!K25</f>
        <v>18.577109791874378</v>
      </c>
      <c r="K8" s="500">
        <f>'Farmgate scenarios plots'!K35</f>
        <v>69.687029589051846</v>
      </c>
      <c r="L8" s="500">
        <f>'Farmgate scenarios plots'!K45</f>
        <v>166.7980144355256</v>
      </c>
      <c r="M8" s="499">
        <f>'Farmgate scenarios plots'!K55</f>
        <v>370.04033318464116</v>
      </c>
    </row>
    <row r="9" spans="1:13">
      <c r="A9" s="502">
        <v>66</v>
      </c>
      <c r="B9" s="501">
        <f>'Farmgate scenarios plots'!G6</f>
        <v>-51.204602978220805</v>
      </c>
      <c r="C9" s="501">
        <f>'Farmgate scenarios plots'!G16</f>
        <v>-64.889755139685064</v>
      </c>
      <c r="D9" s="500">
        <f>'Farmgate scenarios plots'!G26</f>
        <v>-57.732600297152317</v>
      </c>
      <c r="E9" s="500">
        <f>'Farmgate scenarios plots'!G36</f>
        <v>-77.345958207481175</v>
      </c>
      <c r="F9" s="500">
        <f>'Farmgate scenarios plots'!G46</f>
        <v>-112.51710378680616</v>
      </c>
      <c r="G9" s="660">
        <f>'Farmgate scenarios plots'!G56</f>
        <v>-182.41716509312261</v>
      </c>
      <c r="H9" s="502">
        <f>'Farmgate scenarios plots'!K6</f>
        <v>1.076053688233968</v>
      </c>
      <c r="I9" s="501">
        <f>'Farmgate scenarios plots'!K16</f>
        <v>34.340048799667343</v>
      </c>
      <c r="J9" s="500">
        <f>'Farmgate scenarios plots'!K26</f>
        <v>16.714740458053829</v>
      </c>
      <c r="K9" s="500">
        <f>'Farmgate scenarios plots'!K36</f>
        <v>65.970795297199544</v>
      </c>
      <c r="L9" s="500">
        <f>'Farmgate scenarios plots'!K46</f>
        <v>159.60028614476255</v>
      </c>
      <c r="M9" s="499">
        <f>'Farmgate scenarios plots'!K56</f>
        <v>355.64487660311516</v>
      </c>
    </row>
    <row r="10" spans="1:13">
      <c r="A10" s="502">
        <v>77</v>
      </c>
      <c r="B10" s="501">
        <f>'Farmgate scenarios plots'!G7</f>
        <v>-52.803320942299287</v>
      </c>
      <c r="C10" s="501">
        <f>'Farmgate scenarios plots'!G17</f>
        <v>-68.087191067842028</v>
      </c>
      <c r="D10" s="500">
        <f>'Farmgate scenarios plots'!G27</f>
        <v>-60.08464731731199</v>
      </c>
      <c r="E10" s="500">
        <f>'Farmgate scenarios plots'!G37</f>
        <v>-82.050052247800494</v>
      </c>
      <c r="F10" s="500">
        <f>'Farmgate scenarios plots'!G47</f>
        <v>-121.62815225612643</v>
      </c>
      <c r="G10" s="660">
        <f>'Farmgate scenarios plots'!G57</f>
        <v>-200.63926203176308</v>
      </c>
      <c r="H10" s="502">
        <f>'Farmgate scenarios plots'!K7</f>
        <v>-0.20330259616861121</v>
      </c>
      <c r="I10" s="501">
        <f>'Farmgate scenarios plots'!K17</f>
        <v>31.813667943558265</v>
      </c>
      <c r="J10" s="500">
        <f>'Farmgate scenarios plots'!K27</f>
        <v>14.852371124233253</v>
      </c>
      <c r="K10" s="500">
        <f>'Farmgate scenarios plots'!K37</f>
        <v>62.254561005347263</v>
      </c>
      <c r="L10" s="500">
        <f>'Farmgate scenarios plots'!K47</f>
        <v>152.40255785399964</v>
      </c>
      <c r="M10" s="499">
        <f>'Farmgate scenarios plots'!K57</f>
        <v>341.24942002158917</v>
      </c>
    </row>
    <row r="11" spans="1:13">
      <c r="A11" s="502">
        <v>88</v>
      </c>
      <c r="B11" s="501">
        <f>'Farmgate scenarios plots'!G8</f>
        <v>-54.402038906377761</v>
      </c>
      <c r="C11" s="501">
        <f>'Farmgate scenarios plots'!G18</f>
        <v>-71.284626995998977</v>
      </c>
      <c r="D11" s="500">
        <f>'Farmgate scenarios plots'!G28</f>
        <v>-62.436694337471657</v>
      </c>
      <c r="E11" s="500">
        <f>'Farmgate scenarios plots'!G38</f>
        <v>-86.754146288119856</v>
      </c>
      <c r="F11" s="500">
        <f>'Farmgate scenarios plots'!G48</f>
        <v>-130.73920072544666</v>
      </c>
      <c r="G11" s="660">
        <f>'Farmgate scenarios plots'!G58</f>
        <v>-218.86135897040356</v>
      </c>
      <c r="H11" s="502">
        <f>'Farmgate scenarios plots'!K8</f>
        <v>-1.4897088342333249</v>
      </c>
      <c r="I11" s="501">
        <f>'Farmgate scenarios plots'!K18</f>
        <v>29.281913021817218</v>
      </c>
      <c r="J11" s="500">
        <f>'Farmgate scenarios plots'!K28</f>
        <v>12.990001790412695</v>
      </c>
      <c r="K11" s="500">
        <f>'Farmgate scenarios plots'!K38</f>
        <v>58.53832671349501</v>
      </c>
      <c r="L11" s="500">
        <f>'Farmgate scenarios plots'!K48</f>
        <v>145.20482956323664</v>
      </c>
      <c r="M11" s="499">
        <f>'Farmgate scenarios plots'!K58</f>
        <v>326.85396344006335</v>
      </c>
    </row>
    <row r="12" spans="1:13" ht="16" thickBot="1">
      <c r="A12" s="498">
        <v>99</v>
      </c>
      <c r="B12" s="501">
        <f>'Farmgate scenarios plots'!G9</f>
        <v>-56.000756870456243</v>
      </c>
      <c r="C12" s="501">
        <f>'Farmgate scenarios plots'!G19</f>
        <v>-74.482062924155926</v>
      </c>
      <c r="D12" s="500">
        <f>'Farmgate scenarios plots'!G29</f>
        <v>-64.788741357631324</v>
      </c>
      <c r="E12" s="500">
        <f>'Farmgate scenarios plots'!G39</f>
        <v>-91.458240328439175</v>
      </c>
      <c r="F12" s="500">
        <f>'Farmgate scenarios plots'!G49</f>
        <v>-139.85024919476689</v>
      </c>
      <c r="G12" s="660">
        <f>'Farmgate scenarios plots'!G59</f>
        <v>-237.08345590904398</v>
      </c>
      <c r="H12" s="502">
        <f>'Farmgate scenarios plots'!K9</f>
        <v>-2.7786817706380784</v>
      </c>
      <c r="I12" s="501">
        <f>'Farmgate scenarios plots'!K19</f>
        <v>26.750158100076188</v>
      </c>
      <c r="J12" s="500">
        <f>'Farmgate scenarios plots'!K29</f>
        <v>11.122509942182072</v>
      </c>
      <c r="K12" s="500">
        <f>'Farmgate scenarios plots'!K39</f>
        <v>54.822092421642715</v>
      </c>
      <c r="L12" s="500">
        <f>'Farmgate scenarios plots'!K49</f>
        <v>138.00710127247368</v>
      </c>
      <c r="M12" s="499">
        <f>'Farmgate scenarios plots'!K59</f>
        <v>312.45850685853731</v>
      </c>
    </row>
    <row r="15" spans="1:13">
      <c r="B15" s="496">
        <f>MIN(B5:M12)</f>
        <v>-237.08345590904398</v>
      </c>
      <c r="C15" s="496">
        <f>MAX(B5:M12)</f>
        <v>413.22670292921913</v>
      </c>
    </row>
    <row r="16" spans="1:13">
      <c r="B16" s="497"/>
    </row>
    <row r="17" spans="2:2">
      <c r="B17" s="497"/>
    </row>
    <row r="18" spans="2:2">
      <c r="B18" s="497"/>
    </row>
    <row r="19" spans="2:2">
      <c r="B19" s="497"/>
    </row>
    <row r="20" spans="2:2">
      <c r="B20" s="497"/>
    </row>
    <row r="21" spans="2:2">
      <c r="B21" s="497"/>
    </row>
    <row r="22" spans="2:2">
      <c r="B22" s="497"/>
    </row>
    <row r="23" spans="2:2">
      <c r="B23" s="497"/>
    </row>
    <row r="24" spans="2:2">
      <c r="B24" s="497"/>
    </row>
    <row r="25" spans="2:2">
      <c r="B25" s="497"/>
    </row>
    <row r="26" spans="2:2">
      <c r="B26" s="497"/>
    </row>
    <row r="27" spans="2:2">
      <c r="B27" s="497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8859-ABBC-4614-8DAD-039100FAE6DF}">
  <sheetPr codeName="Sheet12"/>
  <dimension ref="A1:S101"/>
  <sheetViews>
    <sheetView topLeftCell="F17" zoomScaleNormal="100" workbookViewId="0">
      <selection activeCell="J50" sqref="J50"/>
    </sheetView>
  </sheetViews>
  <sheetFormatPr baseColWidth="10" defaultColWidth="8.83203125" defaultRowHeight="13"/>
  <cols>
    <col min="1" max="1" width="15.5" customWidth="1"/>
    <col min="2" max="2" width="25" customWidth="1"/>
    <col min="3" max="3" width="24.1640625" customWidth="1"/>
    <col min="4" max="5" width="30.33203125" bestFit="1" customWidth="1"/>
    <col min="6" max="6" width="22" style="318" customWidth="1"/>
    <col min="7" max="7" width="30.33203125" bestFit="1" customWidth="1"/>
    <col min="8" max="13" width="15.5" customWidth="1"/>
    <col min="14" max="15" width="16.6640625" customWidth="1"/>
    <col min="19" max="19" width="12.6640625" bestFit="1" customWidth="1"/>
  </cols>
  <sheetData>
    <row r="1" spans="1:19" ht="18.5" customHeight="1" thickBot="1">
      <c r="C1" s="677" t="s">
        <v>592</v>
      </c>
      <c r="D1" s="685"/>
      <c r="E1" s="685"/>
      <c r="F1" s="685"/>
      <c r="G1" s="685"/>
      <c r="H1" s="680"/>
      <c r="K1" t="s">
        <v>234</v>
      </c>
      <c r="P1" t="s">
        <v>534</v>
      </c>
      <c r="Q1" s="447" t="s">
        <v>535</v>
      </c>
      <c r="R1" s="447" t="s">
        <v>536</v>
      </c>
      <c r="S1" s="448" t="s">
        <v>538</v>
      </c>
    </row>
    <row r="2" spans="1:19" ht="14" thickBot="1">
      <c r="A2" s="514" t="s">
        <v>36</v>
      </c>
      <c r="B2" s="515"/>
      <c r="C2" s="686" t="s">
        <v>32</v>
      </c>
      <c r="D2" s="687"/>
      <c r="E2" s="688" t="s">
        <v>502</v>
      </c>
      <c r="F2" s="689"/>
      <c r="G2" s="688" t="s">
        <v>593</v>
      </c>
      <c r="H2" s="678"/>
      <c r="K2" t="s">
        <v>539</v>
      </c>
      <c r="L2" t="s">
        <v>540</v>
      </c>
      <c r="M2" t="s">
        <v>550</v>
      </c>
      <c r="O2" t="s">
        <v>31</v>
      </c>
      <c r="S2" s="250">
        <v>481728881.94377625</v>
      </c>
    </row>
    <row r="3" spans="1:19" ht="14" thickBot="1">
      <c r="A3" s="516"/>
      <c r="B3" s="517"/>
      <c r="C3" s="457" t="s">
        <v>504</v>
      </c>
      <c r="D3" s="458" t="s">
        <v>505</v>
      </c>
      <c r="E3" s="458" t="s">
        <v>504</v>
      </c>
      <c r="F3" s="458" t="s">
        <v>505</v>
      </c>
      <c r="G3" s="458" t="s">
        <v>504</v>
      </c>
      <c r="H3" s="459" t="s">
        <v>505</v>
      </c>
      <c r="K3" t="s">
        <v>541</v>
      </c>
      <c r="L3" t="s">
        <v>549</v>
      </c>
      <c r="M3" t="s">
        <v>544</v>
      </c>
      <c r="O3" t="s">
        <v>551</v>
      </c>
      <c r="S3" s="345">
        <f>H47+L1+L6+H34</f>
        <v>3578250.6486611441</v>
      </c>
    </row>
    <row r="4" spans="1:19" ht="15">
      <c r="A4" s="681" t="s">
        <v>518</v>
      </c>
      <c r="B4" s="460" t="s">
        <v>586</v>
      </c>
      <c r="C4" s="461">
        <f>'Mass &amp; Energy'!$AB$55</f>
        <v>-44.8097311219069</v>
      </c>
      <c r="D4" s="461">
        <f>'Mass &amp; Energy'!$AC$55</f>
        <v>-48.324412216513636</v>
      </c>
      <c r="E4" s="461">
        <f>'Mass &amp; Energy'!$AF$55</f>
        <v>0</v>
      </c>
      <c r="F4" s="461">
        <f>'Mass &amp; Energy'!$AG$55</f>
        <v>0</v>
      </c>
      <c r="G4" s="461">
        <f>'Mass &amp; Energy'!$AD$55</f>
        <v>-76.072909909525166</v>
      </c>
      <c r="H4" s="461">
        <f>'Mass &amp; Energy'!$AE$55</f>
        <v>0</v>
      </c>
      <c r="K4" t="s">
        <v>542</v>
      </c>
      <c r="L4" t="s">
        <v>548</v>
      </c>
      <c r="M4" t="s">
        <v>543</v>
      </c>
    </row>
    <row r="5" spans="1:19">
      <c r="A5" s="682"/>
      <c r="B5" s="462" t="s">
        <v>594</v>
      </c>
      <c r="C5" s="463">
        <f>'Mass &amp; Energy'!$AB$61</f>
        <v>-42.821128728849132</v>
      </c>
      <c r="D5" s="463">
        <f>'Mass &amp; Energy'!$AC$61</f>
        <v>-45.818642304119983</v>
      </c>
      <c r="E5" s="463">
        <f>'Mass &amp; Energy'!$AF$61</f>
        <v>0</v>
      </c>
      <c r="F5" s="463">
        <f>'Mass &amp; Energy'!$AG$61</f>
        <v>0</v>
      </c>
      <c r="G5" s="463">
        <f>'Mass &amp; Energy'!$AD$61</f>
        <v>-68.927021599423966</v>
      </c>
      <c r="H5" s="463">
        <f>'Mass &amp; Energy'!$AE$61</f>
        <v>0</v>
      </c>
      <c r="K5" t="s">
        <v>545</v>
      </c>
      <c r="L5" t="s">
        <v>546</v>
      </c>
      <c r="M5" t="s">
        <v>547</v>
      </c>
    </row>
    <row r="6" spans="1:19" ht="17">
      <c r="A6" s="682"/>
      <c r="B6" s="462" t="s">
        <v>595</v>
      </c>
      <c r="C6" s="463">
        <f>'Mass &amp; Energy'!$AB$67</f>
        <v>-14.461609141840762</v>
      </c>
      <c r="D6" s="463">
        <f>'Mass &amp; Energy'!$AC$67</f>
        <v>-5.5412998799568154</v>
      </c>
      <c r="E6" s="463">
        <f>'Mass &amp; Energy'!$AF$67</f>
        <v>0</v>
      </c>
      <c r="F6" s="463">
        <f>'Mass &amp; Energy'!$AG$67</f>
        <v>0</v>
      </c>
      <c r="G6" s="463">
        <f>'Mass &amp; Energy'!$AD$67</f>
        <v>74.227943075395885</v>
      </c>
      <c r="H6" s="463">
        <f>'Mass &amp; Energy'!$AE$67</f>
        <v>0</v>
      </c>
      <c r="K6" s="272" t="s">
        <v>264</v>
      </c>
      <c r="L6" s="451">
        <v>3578249.9840827151</v>
      </c>
      <c r="M6" t="s">
        <v>532</v>
      </c>
    </row>
    <row r="7" spans="1:19">
      <c r="A7" s="682"/>
      <c r="B7" s="462" t="s">
        <v>596</v>
      </c>
      <c r="C7" s="463">
        <f>'Mass &amp; Energy'!$AB$73</f>
        <v>-18.074359595892187</v>
      </c>
      <c r="D7" s="463">
        <f>'Mass &amp; Energy'!$AC$73</f>
        <v>-10.627463311724227</v>
      </c>
      <c r="E7" s="463">
        <f>'Mass &amp; Energy'!$AF$73</f>
        <v>0</v>
      </c>
      <c r="F7" s="463">
        <f>'Mass &amp; Energy'!$AG$73</f>
        <v>0</v>
      </c>
      <c r="G7" s="463">
        <f>'Mass &amp; Energy'!$AD$73</f>
        <v>55.299665077104272</v>
      </c>
      <c r="H7" s="463">
        <f>'Mass &amp; Energy'!$AE$73</f>
        <v>0</v>
      </c>
      <c r="K7" t="s">
        <v>40</v>
      </c>
      <c r="L7" s="318">
        <v>53267291.813961603</v>
      </c>
      <c r="M7" t="s">
        <v>552</v>
      </c>
    </row>
    <row r="8" spans="1:19" ht="14" thickBot="1">
      <c r="A8" s="683"/>
      <c r="B8" s="464" t="s">
        <v>597</v>
      </c>
      <c r="C8" s="465">
        <f>'Mass &amp; Energy'!$AB$79</f>
        <v>6.1803665968784243</v>
      </c>
      <c r="D8" s="465">
        <f>'Mass &amp; Energy'!$AC$79</f>
        <v>24.164217793336071</v>
      </c>
      <c r="E8" s="465">
        <f>'Mass &amp; Energy'!$AF$79</f>
        <v>0</v>
      </c>
      <c r="F8" s="465">
        <f>'Mass &amp; Energy'!$AG$79</f>
        <v>0</v>
      </c>
      <c r="G8" s="465">
        <f>'Mass &amp; Energy'!$AD$79</f>
        <v>188.39119930781453</v>
      </c>
      <c r="H8" s="465">
        <f>'Mass &amp; Energy'!$AE$79</f>
        <v>0</v>
      </c>
    </row>
    <row r="9" spans="1:19">
      <c r="A9" s="681" t="s">
        <v>516</v>
      </c>
      <c r="B9" s="466" t="s">
        <v>586</v>
      </c>
      <c r="C9" s="467">
        <f>'Mass &amp; Energy'!$AB$56</f>
        <v>-52.100011427057268</v>
      </c>
      <c r="D9" s="467">
        <f>'Mass &amp; Energy'!$AC$56</f>
        <v>-58.529582046203799</v>
      </c>
      <c r="E9" s="467">
        <f>'Mass &amp; Energy'!$AF$56</f>
        <v>0</v>
      </c>
      <c r="F9" s="467">
        <f>'Mass &amp; Energy'!$AG$56</f>
        <v>0</v>
      </c>
      <c r="G9" s="467">
        <f>'Mass &amp; Energy'!$AD$56</f>
        <v>-109.52877733856067</v>
      </c>
      <c r="H9" s="467">
        <f>'Mass &amp; Energy'!$AE$56</f>
        <v>0</v>
      </c>
    </row>
    <row r="10" spans="1:19" ht="15">
      <c r="A10" s="682"/>
      <c r="B10" s="462" t="s">
        <v>594</v>
      </c>
      <c r="C10" s="468">
        <f>'Mass &amp; Energy'!$AB$62</f>
        <v>-49.013874036609096</v>
      </c>
      <c r="D10" s="468">
        <f>'Mass &amp; Energy'!$AC$62</f>
        <v>-54.409109617083864</v>
      </c>
      <c r="E10" s="468">
        <f>'Mass &amp; Energy'!$AF$62</f>
        <v>0</v>
      </c>
      <c r="F10" s="468">
        <f>'Mass &amp; Energy'!$AG$62</f>
        <v>0</v>
      </c>
      <c r="G10" s="468">
        <f>'Mass &amp; Energy'!$AD$62</f>
        <v>-96.128068114025609</v>
      </c>
      <c r="H10" s="468">
        <f>'Mass &amp; Energy'!$AE$62</f>
        <v>0</v>
      </c>
    </row>
    <row r="11" spans="1:19">
      <c r="A11" s="682"/>
      <c r="B11" s="462" t="s">
        <v>595</v>
      </c>
      <c r="C11" s="463">
        <f>'Mass &amp; Energy'!$AB$68</f>
        <v>4.2953231148359032</v>
      </c>
      <c r="D11" s="463">
        <f>'Mass &amp; Energy'!$AC$68</f>
        <v>21.871408658607013</v>
      </c>
      <c r="E11" s="463">
        <f>'Mass &amp; Energy'!$AF$68</f>
        <v>0</v>
      </c>
      <c r="F11" s="463">
        <f>'Mass &amp; Energy'!$AG$68</f>
        <v>0</v>
      </c>
      <c r="G11" s="463">
        <f>'Mass &amp; Energy'!$AD$68</f>
        <v>184.90019046438169</v>
      </c>
      <c r="H11" s="463">
        <f>'Mass &amp; Energy'!$AE$68</f>
        <v>0</v>
      </c>
    </row>
    <row r="12" spans="1:19">
      <c r="A12" s="682"/>
      <c r="B12" s="462" t="s">
        <v>596</v>
      </c>
      <c r="C12" s="463">
        <f>'Mass &amp; Energy'!$AB$74</f>
        <v>-2.4413695024355015</v>
      </c>
      <c r="D12" s="463">
        <f>'Mass &amp; Energy'!$AC$74</f>
        <v>12.074336962307342</v>
      </c>
      <c r="E12" s="463">
        <f>'Mass &amp; Energy'!$AF$74</f>
        <v>0</v>
      </c>
      <c r="F12" s="463">
        <f>'Mass &amp; Energy'!$AG$74</f>
        <v>0</v>
      </c>
      <c r="G12" s="463">
        <f>'Mass &amp; Energy'!$AD$74</f>
        <v>147.04363446779848</v>
      </c>
      <c r="H12" s="463">
        <f>'Mass &amp; Energy'!$AE$74</f>
        <v>0</v>
      </c>
    </row>
    <row r="13" spans="1:19" ht="14" thickBot="1">
      <c r="A13" s="683"/>
      <c r="B13" s="464" t="s">
        <v>597</v>
      </c>
      <c r="C13" s="465">
        <f>'Mass &amp; Energy'!$AB$80</f>
        <v>44.443946332643314</v>
      </c>
      <c r="D13" s="465">
        <f>'Mass &amp; Energy'!$AC$80</f>
        <v>80.835732464608668</v>
      </c>
      <c r="E13" s="465">
        <f>'Mass &amp; Energy'!$AF$80</f>
        <v>0</v>
      </c>
      <c r="F13" s="465">
        <f>'Mass &amp; Energy'!$AG$80</f>
        <v>0</v>
      </c>
      <c r="G13" s="465">
        <f>'Mass &amp; Energy'!$AD$80</f>
        <v>413.22670292921913</v>
      </c>
      <c r="H13" s="465">
        <f>'Mass &amp; Energy'!$AE$80</f>
        <v>44443946.334192917</v>
      </c>
    </row>
    <row r="16" spans="1:19">
      <c r="C16" s="494">
        <f>MIN(C4:H4,C9:H9)</f>
        <v>-109.52877733856067</v>
      </c>
      <c r="D16" s="494">
        <f>MAX(C4:H4,C9:H9)</f>
        <v>0</v>
      </c>
    </row>
    <row r="18" spans="2:11">
      <c r="C18" t="s">
        <v>698</v>
      </c>
      <c r="D18" s="494">
        <f>MIN(C13:H13,C8:H8)</f>
        <v>0</v>
      </c>
      <c r="F18" s="334"/>
    </row>
    <row r="19" spans="2:11">
      <c r="C19" t="s">
        <v>699</v>
      </c>
      <c r="D19" s="494">
        <f>MAX(C13:H13,C8:H8)</f>
        <v>44443946.334192917</v>
      </c>
      <c r="F19" s="334"/>
    </row>
    <row r="20" spans="2:11">
      <c r="F20" s="334"/>
    </row>
    <row r="21" spans="2:11">
      <c r="F21" s="334"/>
      <c r="G21" s="684"/>
      <c r="H21" s="684"/>
    </row>
    <row r="22" spans="2:11">
      <c r="F22" s="334"/>
    </row>
    <row r="23" spans="2:11">
      <c r="F23" s="334"/>
    </row>
    <row r="24" spans="2:11" ht="15">
      <c r="F24" s="527" t="s">
        <v>739</v>
      </c>
      <c r="G24" s="10">
        <v>1</v>
      </c>
    </row>
    <row r="25" spans="2:11" ht="15">
      <c r="F25" s="552" t="s">
        <v>758</v>
      </c>
      <c r="G25" s="527">
        <v>1.05505585262</v>
      </c>
    </row>
    <row r="27" spans="2:11" ht="16">
      <c r="B27" s="170" t="s">
        <v>39</v>
      </c>
    </row>
    <row r="29" spans="2:11">
      <c r="B29" s="1" t="s">
        <v>18</v>
      </c>
    </row>
    <row r="30" spans="2:11" ht="56">
      <c r="B30" s="171" t="s">
        <v>41</v>
      </c>
      <c r="C30" s="172" t="s">
        <v>42</v>
      </c>
      <c r="D30" s="173" t="s">
        <v>43</v>
      </c>
      <c r="E30" s="173" t="s">
        <v>757</v>
      </c>
      <c r="H30" t="s">
        <v>534</v>
      </c>
      <c r="I30" s="447" t="s">
        <v>535</v>
      </c>
      <c r="J30" s="447" t="s">
        <v>536</v>
      </c>
      <c r="K30" s="448" t="s">
        <v>538</v>
      </c>
    </row>
    <row r="31" spans="2:11" ht="14">
      <c r="B31" s="174" t="s">
        <v>20</v>
      </c>
      <c r="C31" s="187">
        <f>SUM('Operating Costs'!I5:I7)</f>
        <v>1345337.4988491719</v>
      </c>
      <c r="D31" s="188">
        <f>C31/DCFROR!$B$32</f>
        <v>3.3007708498566819</v>
      </c>
      <c r="E31" s="561">
        <f>Table22[[#This Row],[Cost ($)/mmbtu]]/$G$25</f>
        <v>3.128527121725301</v>
      </c>
      <c r="G31" t="s">
        <v>20</v>
      </c>
      <c r="H31" s="450">
        <f>Table22[[#This Row],[Cost ($)/GJ]]</f>
        <v>3.128527121725301</v>
      </c>
      <c r="I31" s="450">
        <f>Table22[[#This Row],[Cost ($)/GJ]]</f>
        <v>3.128527121725301</v>
      </c>
      <c r="J31" s="450">
        <f>Table22[[#This Row],[Cost ($)/GJ]]</f>
        <v>3.128527121725301</v>
      </c>
      <c r="K31" s="450">
        <f>Table22[[#This Row],[Cost ($)/GJ]]</f>
        <v>3.128527121725301</v>
      </c>
    </row>
    <row r="32" spans="2:11" ht="14">
      <c r="B32" s="174" t="s">
        <v>22</v>
      </c>
      <c r="C32" s="187">
        <f>'Operating Costs'!I12</f>
        <v>429809.96950042492</v>
      </c>
      <c r="D32" s="188">
        <f>C32/DCFROR!$B$32</f>
        <v>1.0545340626559354</v>
      </c>
      <c r="E32" s="561">
        <f>Table22[[#This Row],[Cost ($)/mmbtu]]/$G$25</f>
        <v>0.99950543853885188</v>
      </c>
      <c r="G32" t="s">
        <v>22</v>
      </c>
      <c r="H32" s="450">
        <f>Table22[[#This Row],[Cost ($)/GJ]]</f>
        <v>0.99950543853885188</v>
      </c>
      <c r="I32" s="450">
        <f>Table22[[#This Row],[Cost ($)/GJ]]</f>
        <v>0.99950543853885188</v>
      </c>
      <c r="J32" s="450">
        <f>Table22[[#This Row],[Cost ($)/GJ]]</f>
        <v>0.99950543853885188</v>
      </c>
      <c r="K32" s="450">
        <f>Table22[[#This Row],[Cost ($)/GJ]]</f>
        <v>0.99950543853885188</v>
      </c>
    </row>
    <row r="33" spans="2:11" ht="14">
      <c r="B33" s="174" t="s">
        <v>537</v>
      </c>
      <c r="C33" s="187">
        <f>'Operating Costs'!I13</f>
        <v>7272.3846839471889</v>
      </c>
      <c r="D33" s="188">
        <f>C33/DCFROR!$B$32</f>
        <v>1.7842716340138426E-2</v>
      </c>
      <c r="E33" s="561">
        <f>Table22[[#This Row],[Cost ($)/mmbtu]]/$G$25</f>
        <v>1.6911632020077373E-2</v>
      </c>
      <c r="G33" t="s">
        <v>537</v>
      </c>
      <c r="H33" s="450">
        <f>Table22[[#This Row],[Cost ($)/GJ]]</f>
        <v>1.6911632020077373E-2</v>
      </c>
      <c r="I33" s="450">
        <f>Table22[[#This Row],[Cost ($)/GJ]]</f>
        <v>1.6911632020077373E-2</v>
      </c>
      <c r="J33" s="450">
        <f>Table22[[#This Row],[Cost ($)/GJ]]</f>
        <v>1.6911632020077373E-2</v>
      </c>
      <c r="K33" s="450">
        <f>Table22[[#This Row],[Cost ($)/GJ]]</f>
        <v>1.6911632020077373E-2</v>
      </c>
    </row>
    <row r="34" spans="2:11" ht="14">
      <c r="B34" s="449" t="s">
        <v>324</v>
      </c>
      <c r="C34" s="370">
        <f>'Operating Costs'!I17</f>
        <v>285783.77189591207</v>
      </c>
      <c r="D34" s="188">
        <f>C34/DCFROR!$B$32</f>
        <v>0.70116736093585508</v>
      </c>
      <c r="E34" s="561">
        <f>Table22[[#This Row],[Cost ($)/mmbtu]]/$G$25</f>
        <v>0.66457842889991048</v>
      </c>
      <c r="G34" t="s">
        <v>324</v>
      </c>
      <c r="H34" s="450">
        <f>Table22[[#This Row],[Cost ($)/GJ]]</f>
        <v>0.66457842889991048</v>
      </c>
      <c r="I34" s="450">
        <f>Table22[[#This Row],[Cost ($)/GJ]]</f>
        <v>0.66457842889991048</v>
      </c>
      <c r="J34" s="450">
        <f>Table22[[#This Row],[Cost ($)/GJ]]</f>
        <v>0.66457842889991048</v>
      </c>
      <c r="K34" s="450">
        <f>Table22[[#This Row],[Cost ($)/GJ]]</f>
        <v>0.66457842889991048</v>
      </c>
    </row>
    <row r="35" spans="2:11" ht="14">
      <c r="B35" s="449" t="s">
        <v>326</v>
      </c>
      <c r="C35" s="370">
        <f>'Operating Costs'!I18</f>
        <v>167108.95715529911</v>
      </c>
      <c r="D35" s="188">
        <f>C35/DCFROR!$B$32</f>
        <v>0.41</v>
      </c>
      <c r="E35" s="561">
        <f>Table22[[#This Row],[Cost ($)/mmbtu]]/$G$25</f>
        <v>0.38860501932846003</v>
      </c>
      <c r="G35" t="s">
        <v>326</v>
      </c>
      <c r="H35" s="450">
        <f>Table22[[#This Row],[Cost ($)/GJ]]</f>
        <v>0.38860501932846003</v>
      </c>
      <c r="I35" s="450">
        <f>Table22[[#This Row],[Cost ($)/GJ]]</f>
        <v>0.38860501932846003</v>
      </c>
      <c r="J35" s="450">
        <f>Table22[[#This Row],[Cost ($)/GJ]]</f>
        <v>0.38860501932846003</v>
      </c>
      <c r="K35" s="450">
        <f>Table22[[#This Row],[Cost ($)/GJ]]</f>
        <v>0.38860501932846003</v>
      </c>
    </row>
    <row r="36" spans="2:11" ht="14">
      <c r="B36" s="449" t="s">
        <v>329</v>
      </c>
      <c r="C36" s="370">
        <f>'Operating Costs'!I19</f>
        <v>57061.594451384495</v>
      </c>
      <c r="D36" s="188">
        <f>C36/DCFROR!$B$32</f>
        <v>0.13999999834434829</v>
      </c>
      <c r="E36" s="561">
        <f>Table22[[#This Row],[Cost ($)/mmbtu]]/$G$25</f>
        <v>0.13269439527460936</v>
      </c>
      <c r="G36" t="s">
        <v>329</v>
      </c>
      <c r="H36" s="450">
        <f>Table22[[#This Row],[Cost ($)/GJ]]</f>
        <v>0.13269439527460936</v>
      </c>
      <c r="I36" s="450">
        <f>Table22[[#This Row],[Cost ($)/GJ]]</f>
        <v>0.13269439527460936</v>
      </c>
      <c r="J36" s="450">
        <f>Table22[[#This Row],[Cost ($)/GJ]]</f>
        <v>0.13269439527460936</v>
      </c>
      <c r="K36" s="450">
        <f>Table22[[#This Row],[Cost ($)/GJ]]</f>
        <v>0.13269439527460936</v>
      </c>
    </row>
    <row r="37" spans="2:11" ht="14">
      <c r="B37" s="174" t="s">
        <v>48</v>
      </c>
      <c r="C37" s="370">
        <f>'Operating Costs'!I34 * 0.8</f>
        <v>-5448567.1689074114</v>
      </c>
      <c r="D37" s="188">
        <f>C37/DCFROR!$B$32</f>
        <v>-13.368</v>
      </c>
      <c r="E37" s="561">
        <f>Table22[[#This Row],[Cost ($)/mmbtu]]/$G$25</f>
        <v>-12.670419264348425</v>
      </c>
      <c r="G37" t="s">
        <v>48</v>
      </c>
      <c r="H37" s="450"/>
      <c r="I37" s="450"/>
      <c r="J37" s="450"/>
      <c r="K37" s="450">
        <f>Table22[[#This Row],[Cost ($)/GJ]]</f>
        <v>-12.670419264348425</v>
      </c>
    </row>
    <row r="38" spans="2:11" ht="14">
      <c r="B38" s="174" t="s">
        <v>50</v>
      </c>
      <c r="C38" s="187">
        <f>'Operating Costs'!I35 * 0.8</f>
        <v>-6351940.0882597072</v>
      </c>
      <c r="D38" s="188">
        <f>C38/DCFROR!$B$32</f>
        <v>-15.584415584415586</v>
      </c>
      <c r="E38" s="561">
        <f>Table22[[#This Row],[Cost ($)/mmbtu]]/$G$25</f>
        <v>-14.771175900986764</v>
      </c>
      <c r="G38" t="s">
        <v>50</v>
      </c>
      <c r="H38" s="450"/>
      <c r="I38" s="450"/>
      <c r="J38" s="450">
        <f>Table22[[#This Row],[Cost ($)/GJ]]</f>
        <v>-14.771175900986764</v>
      </c>
      <c r="K38" s="450">
        <f>Table22[[#This Row],[Cost ($)/GJ]]</f>
        <v>-14.771175900986764</v>
      </c>
    </row>
    <row r="39" spans="2:11" ht="14">
      <c r="B39" s="174" t="s">
        <v>24</v>
      </c>
      <c r="C39" s="187">
        <f>'Operating Costs'!I32</f>
        <v>-181809.61709867982</v>
      </c>
      <c r="D39" s="188">
        <f>C39/DCFROR!$B$32</f>
        <v>-0.44606790850346084</v>
      </c>
      <c r="E39" s="561">
        <f>Table22[[#This Row],[Cost ($)/mmbtu]]/$G$25</f>
        <v>-0.42279080050193452</v>
      </c>
      <c r="G39" t="s">
        <v>24</v>
      </c>
      <c r="H39" s="450"/>
      <c r="I39" s="450">
        <f>Table22[[#This Row],[Cost ($)/GJ]]</f>
        <v>-0.42279080050193452</v>
      </c>
      <c r="J39" s="450">
        <f>Table22[[#This Row],[Cost ($)/GJ]]</f>
        <v>-0.42279080050193452</v>
      </c>
      <c r="K39" s="450">
        <f>Table22[[#This Row],[Cost ($)/GJ]]</f>
        <v>-0.42279080050193452</v>
      </c>
    </row>
    <row r="40" spans="2:11" ht="14">
      <c r="B40" s="174" t="s">
        <v>25</v>
      </c>
      <c r="C40" s="187">
        <f>'Operating Costs'!I33</f>
        <v>-190629.31767282845</v>
      </c>
      <c r="D40" s="188">
        <f>C40/DCFROR!$B$32</f>
        <v>-0.46770694746916042</v>
      </c>
      <c r="E40" s="561">
        <f>Table22[[#This Row],[Cost ($)/mmbtu]]/$G$25</f>
        <v>-0.44330065210075154</v>
      </c>
      <c r="G40" t="s">
        <v>25</v>
      </c>
      <c r="H40" s="450"/>
      <c r="I40" s="450">
        <f>Table22[[#This Row],[Cost ($)/GJ]]</f>
        <v>-0.44330065210075154</v>
      </c>
      <c r="J40" s="450">
        <f>Table22[[#This Row],[Cost ($)/GJ]]</f>
        <v>-0.44330065210075154</v>
      </c>
      <c r="K40" s="450">
        <f>Table22[[#This Row],[Cost ($)/GJ]]</f>
        <v>-0.44330065210075154</v>
      </c>
    </row>
    <row r="41" spans="2:11" ht="14">
      <c r="B41" s="174" t="s">
        <v>26</v>
      </c>
      <c r="C41" s="187">
        <f>'Labor Costs'!H22*1000000</f>
        <v>862732.57750968274</v>
      </c>
      <c r="D41" s="188">
        <f>C41/DCFROR!$B$32</f>
        <v>2.1167049498743955</v>
      </c>
      <c r="E41" s="561">
        <f>Table22[[#This Row],[Cost ($)/mmbtu]]/$G$25</f>
        <v>2.0062491901428938</v>
      </c>
      <c r="G41" t="s">
        <v>26</v>
      </c>
      <c r="H41" s="450">
        <f>Table22[[#This Row],[Cost ($)/GJ]]</f>
        <v>2.0062491901428938</v>
      </c>
      <c r="I41" s="450">
        <f>Table22[[#This Row],[Cost ($)/GJ]]</f>
        <v>2.0062491901428938</v>
      </c>
      <c r="J41" s="450">
        <f>Table22[[#This Row],[Cost ($)/GJ]]</f>
        <v>2.0062491901428938</v>
      </c>
      <c r="K41" s="450">
        <f>Table22[[#This Row],[Cost ($)/GJ]]</f>
        <v>2.0062491901428938</v>
      </c>
    </row>
    <row r="42" spans="2:11" ht="14">
      <c r="B42" s="174" t="s">
        <v>27</v>
      </c>
      <c r="C42" s="187">
        <f>DCFROR!B5/30</f>
        <v>650934.54633333336</v>
      </c>
      <c r="D42" s="188">
        <f>C42/DCFROR!$B$32</f>
        <v>1.5970607951831364</v>
      </c>
      <c r="E42" s="561">
        <f>Table22[[#This Row],[Cost ($)/mmbtu]]/$G$25</f>
        <v>1.5137215638557768</v>
      </c>
      <c r="G42" t="s">
        <v>27</v>
      </c>
      <c r="H42" s="450">
        <f>Table22[[#This Row],[Cost ($)/GJ]]</f>
        <v>1.5137215638557768</v>
      </c>
      <c r="I42" s="450">
        <f>Table22[[#This Row],[Cost ($)/GJ]]</f>
        <v>1.5137215638557768</v>
      </c>
      <c r="J42" s="450">
        <f>Table22[[#This Row],[Cost ($)/GJ]]</f>
        <v>1.5137215638557768</v>
      </c>
      <c r="K42" s="450">
        <f>Table22[[#This Row],[Cost ($)/GJ]]</f>
        <v>1.5137215638557768</v>
      </c>
    </row>
    <row r="43" spans="2:11" ht="14">
      <c r="B43" s="174" t="s">
        <v>28</v>
      </c>
      <c r="C43" s="187">
        <f>DCFROR!B82/30</f>
        <v>545993.3468348746</v>
      </c>
      <c r="D43" s="188">
        <f>C43/DCFROR!$B$32</f>
        <v>1.3395887091453849</v>
      </c>
      <c r="E43" s="561">
        <f>Table22[[#This Row],[Cost ($)/mmbtu]]/$G$25</f>
        <v>1.2696851127064126</v>
      </c>
      <c r="G43" t="s">
        <v>28</v>
      </c>
      <c r="H43" s="450">
        <f>Table22[[#This Row],[Cost ($)/GJ]]</f>
        <v>1.2696851127064126</v>
      </c>
      <c r="I43" s="450">
        <f>Table22[[#This Row],[Cost ($)/GJ]]</f>
        <v>1.2696851127064126</v>
      </c>
      <c r="J43" s="450">
        <f>Table22[[#This Row],[Cost ($)/GJ]]</f>
        <v>1.2696851127064126</v>
      </c>
      <c r="K43" s="450">
        <f>Table22[[#This Row],[Cost ($)/GJ]]</f>
        <v>1.2696851127064126</v>
      </c>
    </row>
    <row r="44" spans="2:11" ht="14">
      <c r="B44" s="174" t="s">
        <v>29</v>
      </c>
      <c r="C44" s="187">
        <f>Table22[[#This Row],[Cost ($)/mmbtu]]*'Mass &amp; Energy'!C4</f>
        <v>90587417.480214894</v>
      </c>
      <c r="D44" s="188">
        <f>DCFROR!B36-SUM(D31:D43)</f>
        <v>22.188520998052333</v>
      </c>
      <c r="E44" s="561">
        <f>Table22[[#This Row],[Cost ($)/mmbtu]]/$G$25</f>
        <v>21.030660076385534</v>
      </c>
      <c r="G44" t="s">
        <v>29</v>
      </c>
      <c r="H44" s="450">
        <f>Table22[[#This Row],[Cost ($)/GJ]]</f>
        <v>21.030660076385534</v>
      </c>
      <c r="I44" s="450">
        <f>Table22[[#This Row],[Cost ($)/GJ]]</f>
        <v>21.030660076385534</v>
      </c>
      <c r="J44" s="450">
        <f>Table22[[#This Row],[Cost ($)/GJ]]</f>
        <v>21.030660076385534</v>
      </c>
      <c r="K44" s="450">
        <f>Table22[[#This Row],[Cost ($)/GJ]]</f>
        <v>21.030660076385534</v>
      </c>
    </row>
    <row r="45" spans="2:11" ht="14">
      <c r="B45" s="174"/>
      <c r="C45" s="187"/>
      <c r="D45" s="188"/>
      <c r="E45" s="561"/>
    </row>
    <row r="46" spans="2:11" ht="14">
      <c r="B46" s="186" t="s">
        <v>58</v>
      </c>
      <c r="C46" s="371">
        <f>SUBTOTAL(109,Table22[Cost ($)/year])</f>
        <v>82766505.935490295</v>
      </c>
      <c r="D46" s="210">
        <f>SUM(Table22[Cost ($)/mmbtu])</f>
        <v>3</v>
      </c>
      <c r="E46" s="555"/>
      <c r="H46" s="577">
        <f>SUM(H30:H43)</f>
        <v>10.120477902492294</v>
      </c>
      <c r="I46" s="577">
        <f>SUM(I30:I43)</f>
        <v>9.2543864498896067</v>
      </c>
      <c r="J46" s="577">
        <f>SUM(J30:J43)</f>
        <v>-5.5167894510971571</v>
      </c>
      <c r="K46" s="577">
        <f>SUM(K30:K43)</f>
        <v>-18.187208715445582</v>
      </c>
    </row>
    <row r="56" spans="1:17">
      <c r="F56" s="334"/>
    </row>
    <row r="57" spans="1:17" ht="14" thickBot="1">
      <c r="A57" s="481"/>
      <c r="B57" s="481"/>
      <c r="C57" s="481"/>
      <c r="D57" s="481"/>
      <c r="E57" s="481"/>
      <c r="F57" s="518"/>
      <c r="G57" s="481"/>
      <c r="H57" s="481"/>
    </row>
    <row r="58" spans="1:17" ht="13.5" customHeight="1" thickBot="1">
      <c r="A58" s="690" t="s">
        <v>730</v>
      </c>
      <c r="B58" t="s">
        <v>731</v>
      </c>
      <c r="C58" s="585" t="s">
        <v>729</v>
      </c>
      <c r="D58" s="585"/>
      <c r="E58" s="585"/>
      <c r="F58" s="585"/>
      <c r="G58" s="585"/>
      <c r="H58" s="585"/>
      <c r="L58" s="677" t="s">
        <v>734</v>
      </c>
      <c r="M58" s="685"/>
      <c r="N58" s="685"/>
      <c r="O58" s="685"/>
      <c r="P58" s="685"/>
      <c r="Q58" s="680"/>
    </row>
    <row r="59" spans="1:17" ht="14" thickBot="1">
      <c r="A59" s="691"/>
      <c r="C59" s="663" t="s">
        <v>32</v>
      </c>
      <c r="D59" s="663"/>
      <c r="E59" s="24" t="s">
        <v>502</v>
      </c>
      <c r="F59" s="24"/>
      <c r="G59" s="663" t="s">
        <v>593</v>
      </c>
      <c r="H59" s="663"/>
      <c r="L59" s="677" t="s">
        <v>32</v>
      </c>
      <c r="M59" s="678"/>
      <c r="N59" s="679" t="s">
        <v>593</v>
      </c>
      <c r="O59" s="678"/>
      <c r="P59" s="679" t="s">
        <v>502</v>
      </c>
      <c r="Q59" s="680"/>
    </row>
    <row r="60" spans="1:17" ht="14" thickBot="1">
      <c r="A60" s="692"/>
      <c r="B60" s="481"/>
      <c r="C60" s="481" t="s">
        <v>504</v>
      </c>
      <c r="D60" s="481" t="s">
        <v>505</v>
      </c>
      <c r="E60" s="481" t="s">
        <v>504</v>
      </c>
      <c r="F60" s="518" t="s">
        <v>505</v>
      </c>
      <c r="G60" s="481" t="s">
        <v>504</v>
      </c>
      <c r="H60" s="481" t="s">
        <v>505</v>
      </c>
      <c r="I60" t="s">
        <v>732</v>
      </c>
      <c r="J60" t="s">
        <v>733</v>
      </c>
      <c r="L60" s="522" t="s">
        <v>504</v>
      </c>
      <c r="M60" s="523" t="s">
        <v>505</v>
      </c>
      <c r="N60" s="523" t="s">
        <v>504</v>
      </c>
      <c r="O60" s="523" t="s">
        <v>505</v>
      </c>
      <c r="P60" s="523" t="s">
        <v>504</v>
      </c>
      <c r="Q60" s="524" t="s">
        <v>505</v>
      </c>
    </row>
    <row r="61" spans="1:17" ht="14">
      <c r="A61" t="s">
        <v>518</v>
      </c>
      <c r="B61" t="s">
        <v>586</v>
      </c>
      <c r="C61" s="520">
        <f>'Mass &amp; Energy'!AV40</f>
        <v>-44.8097311219069</v>
      </c>
      <c r="D61" s="520">
        <f>'Mass &amp; Energy'!AW40</f>
        <v>-48.324412216513636</v>
      </c>
      <c r="E61" s="520">
        <f>'Mass &amp; Energy'!AX40</f>
        <v>-76.072909909525166</v>
      </c>
      <c r="F61" s="520">
        <f>'Mass &amp; Energy'!AY40</f>
        <v>0</v>
      </c>
      <c r="G61" s="520">
        <f>'Mass &amp; Energy'!AZ40</f>
        <v>0</v>
      </c>
      <c r="H61" s="520">
        <f>'Mass &amp; Energy'!BA40</f>
        <v>0</v>
      </c>
      <c r="I61" s="494">
        <f>MIN(C66:H66,C61:H61)</f>
        <v>-109.52877733856067</v>
      </c>
      <c r="J61" s="494">
        <f>MAX(C66:H66,C61:H61)</f>
        <v>0</v>
      </c>
      <c r="K61" s="372" t="s">
        <v>756</v>
      </c>
      <c r="L61" s="562">
        <v>2.4201685314913863</v>
      </c>
      <c r="M61" s="562">
        <v>2.4201685314913863</v>
      </c>
      <c r="N61" s="562">
        <v>2.4201685314913868</v>
      </c>
      <c r="O61" s="562">
        <v>2.4201685314913872</v>
      </c>
      <c r="P61" s="562">
        <v>2.4201685314913863</v>
      </c>
      <c r="Q61" s="562"/>
    </row>
    <row r="62" spans="1:17" ht="14">
      <c r="B62" t="s">
        <v>594</v>
      </c>
      <c r="C62" s="520">
        <f>'Mass &amp; Energy'!AV41</f>
        <v>-42.821128728849132</v>
      </c>
      <c r="D62" s="520">
        <f>'Mass &amp; Energy'!AW41</f>
        <v>-45.818642304119983</v>
      </c>
      <c r="E62" s="520">
        <f>'Mass &amp; Energy'!AX41</f>
        <v>-68.927021599423966</v>
      </c>
      <c r="F62" s="520">
        <f>'Mass &amp; Energy'!AY41</f>
        <v>0</v>
      </c>
      <c r="G62" s="520">
        <f>'Mass &amp; Energy'!AZ41</f>
        <v>0</v>
      </c>
      <c r="H62" s="520">
        <f>'Mass &amp; Energy'!BA41</f>
        <v>0</v>
      </c>
      <c r="K62" s="373" t="s">
        <v>22</v>
      </c>
      <c r="L62" s="563">
        <v>0.61485077325919391</v>
      </c>
      <c r="M62" s="563">
        <v>0.55642542431575781</v>
      </c>
      <c r="N62" s="563">
        <v>0.53881904667117231</v>
      </c>
      <c r="O62" s="563">
        <v>0.52936046202063691</v>
      </c>
      <c r="P62" s="563">
        <v>0.58896046031834592</v>
      </c>
      <c r="Q62" s="563"/>
    </row>
    <row r="63" spans="1:17" ht="14">
      <c r="B63" t="s">
        <v>595</v>
      </c>
      <c r="C63" s="571">
        <f>'Mass &amp; Energy'!AV42</f>
        <v>-14.461609141840762</v>
      </c>
      <c r="D63" s="571">
        <f>'Mass &amp; Energy'!AW42</f>
        <v>-5.5412998799568154</v>
      </c>
      <c r="E63" s="571">
        <f>'Mass &amp; Energy'!AX42</f>
        <v>74.227943075395885</v>
      </c>
      <c r="F63" s="571">
        <f>'Mass &amp; Energy'!AY42</f>
        <v>0</v>
      </c>
      <c r="G63" s="571">
        <f>'Mass &amp; Energy'!AZ42</f>
        <v>0</v>
      </c>
      <c r="H63" s="571">
        <f>'Mass &amp; Energy'!BA42</f>
        <v>0</v>
      </c>
      <c r="I63" s="494">
        <f>MIN(C61:H70)</f>
        <v>-109.52877733856067</v>
      </c>
      <c r="J63" s="494">
        <f>MAX(C61:H70)</f>
        <v>1161401.4894901956</v>
      </c>
      <c r="K63" s="372" t="s">
        <v>537</v>
      </c>
      <c r="L63" s="562">
        <v>1.0403275083545559E-2</v>
      </c>
      <c r="M63" s="562">
        <v>9.4147181794226251E-3</v>
      </c>
      <c r="N63" s="562">
        <v>9.1168182696762332E-3</v>
      </c>
      <c r="O63" s="562">
        <v>8.956779017389175E-3</v>
      </c>
      <c r="P63" s="562">
        <v>9.965210988586411E-3</v>
      </c>
      <c r="Q63" s="562"/>
    </row>
    <row r="64" spans="1:17" ht="14">
      <c r="B64" t="s">
        <v>596</v>
      </c>
      <c r="C64" s="571">
        <f>'Mass &amp; Energy'!AV43</f>
        <v>-18.074359595892187</v>
      </c>
      <c r="D64" s="571">
        <f>'Mass &amp; Energy'!AW43</f>
        <v>-10.627463311724227</v>
      </c>
      <c r="E64" s="571">
        <f>'Mass &amp; Energy'!AX43</f>
        <v>55.299665077104272</v>
      </c>
      <c r="F64" s="571">
        <f>'Mass &amp; Energy'!AY43</f>
        <v>0</v>
      </c>
      <c r="G64" s="571">
        <f>'Mass &amp; Energy'!AZ43</f>
        <v>0</v>
      </c>
      <c r="H64" s="571">
        <f>'Mass &amp; Energy'!BA43</f>
        <v>0</v>
      </c>
      <c r="K64" s="373" t="s">
        <v>22</v>
      </c>
      <c r="L64" s="563">
        <v>0.61485077325919391</v>
      </c>
      <c r="M64" s="563">
        <v>0.55642542431575781</v>
      </c>
      <c r="N64" s="563">
        <v>0.53881904667117231</v>
      </c>
      <c r="O64" s="563">
        <v>0.52936046202063691</v>
      </c>
      <c r="P64" s="563">
        <v>0.58896046031834592</v>
      </c>
      <c r="Q64" s="563"/>
    </row>
    <row r="65" spans="1:17" ht="14">
      <c r="B65" t="s">
        <v>597</v>
      </c>
      <c r="C65" s="571">
        <f>'Mass &amp; Energy'!AV44</f>
        <v>6.1803665968784243</v>
      </c>
      <c r="D65" s="571">
        <f>'Mass &amp; Energy'!AW44</f>
        <v>24.164217793336071</v>
      </c>
      <c r="E65" s="571">
        <f>'Mass &amp; Energy'!AX44</f>
        <v>188.39119930781453</v>
      </c>
      <c r="F65" s="571">
        <f>'Mass &amp; Energy'!AY44</f>
        <v>0</v>
      </c>
      <c r="G65" s="571">
        <f>'Mass &amp; Energy'!AZ44</f>
        <v>0</v>
      </c>
      <c r="H65" s="571">
        <f>'Mass &amp; Energy'!BA44</f>
        <v>0</v>
      </c>
      <c r="K65" s="372" t="s">
        <v>324</v>
      </c>
      <c r="L65" s="562">
        <v>0.56670415118919637</v>
      </c>
      <c r="M65" s="562">
        <v>0.56670415118919637</v>
      </c>
      <c r="N65" s="562">
        <v>0.56670415118919637</v>
      </c>
      <c r="O65" s="562">
        <v>0.56670415118919637</v>
      </c>
      <c r="P65" s="562">
        <v>0.56670415118919648</v>
      </c>
      <c r="Q65" s="562"/>
    </row>
    <row r="66" spans="1:17" ht="14">
      <c r="A66" t="s">
        <v>516</v>
      </c>
      <c r="B66" t="s">
        <v>586</v>
      </c>
      <c r="C66" s="520">
        <f>'Mass &amp; Energy'!AV45</f>
        <v>-52.100011427057268</v>
      </c>
      <c r="D66" s="520">
        <f>'Mass &amp; Energy'!AW45</f>
        <v>-58.529582046203799</v>
      </c>
      <c r="E66" s="520">
        <f>'Mass &amp; Energy'!AX45</f>
        <v>-109.52877733856067</v>
      </c>
      <c r="F66" s="520">
        <f>'Mass &amp; Energy'!AY45</f>
        <v>0</v>
      </c>
      <c r="G66" s="520">
        <f>'Mass &amp; Energy'!AZ45</f>
        <v>0</v>
      </c>
      <c r="H66" s="520">
        <f>'Mass &amp; Energy'!BA45</f>
        <v>0</v>
      </c>
      <c r="K66" s="373" t="s">
        <v>326</v>
      </c>
      <c r="L66" s="563">
        <v>0.38860501932846009</v>
      </c>
      <c r="M66" s="563">
        <v>0.38860501932846003</v>
      </c>
      <c r="N66" s="563">
        <v>0.38860501932846003</v>
      </c>
      <c r="O66" s="563">
        <v>0.38860501932846003</v>
      </c>
      <c r="P66" s="563">
        <v>0.38860501932846003</v>
      </c>
      <c r="Q66" s="563"/>
    </row>
    <row r="67" spans="1:17" ht="14">
      <c r="B67" t="s">
        <v>594</v>
      </c>
      <c r="C67" s="520">
        <f>'Mass &amp; Energy'!AV46</f>
        <v>-49.013874036609096</v>
      </c>
      <c r="D67" s="520">
        <f>'Mass &amp; Energy'!AW46</f>
        <v>-54.409109617083864</v>
      </c>
      <c r="E67" s="520">
        <f>'Mass &amp; Energy'!AX46</f>
        <v>-96.128068114025609</v>
      </c>
      <c r="F67" s="520">
        <f>'Mass &amp; Energy'!AY46</f>
        <v>0</v>
      </c>
      <c r="G67" s="520">
        <f>'Mass &amp; Energy'!AZ46</f>
        <v>0</v>
      </c>
      <c r="H67" s="520">
        <f>'Mass &amp; Energy'!BA46</f>
        <v>0</v>
      </c>
      <c r="K67" s="372" t="s">
        <v>329</v>
      </c>
      <c r="L67" s="562">
        <v>0.13269439527460936</v>
      </c>
      <c r="M67" s="562">
        <v>0.13269439527460938</v>
      </c>
      <c r="N67" s="562">
        <v>0.13269439527460938</v>
      </c>
      <c r="O67" s="562">
        <v>0.13269439527460938</v>
      </c>
      <c r="P67" s="562">
        <v>0.13269439527460936</v>
      </c>
      <c r="Q67" s="562"/>
    </row>
    <row r="68" spans="1:17" ht="14">
      <c r="B68" t="s">
        <v>595</v>
      </c>
      <c r="C68" s="571">
        <f>'Mass &amp; Energy'!AV47</f>
        <v>4.2953231148359032</v>
      </c>
      <c r="D68" s="571">
        <f>'Mass &amp; Energy'!AW47</f>
        <v>21.871408658607013</v>
      </c>
      <c r="E68" s="571">
        <f>'Mass &amp; Energy'!AX47</f>
        <v>184.90019046438169</v>
      </c>
      <c r="F68" s="571">
        <f>'Mass &amp; Energy'!AY47</f>
        <v>0</v>
      </c>
      <c r="G68" s="571">
        <f>'Mass &amp; Energy'!AZ47</f>
        <v>0</v>
      </c>
      <c r="H68" s="571">
        <f>'Mass &amp; Energy'!BA47</f>
        <v>0</v>
      </c>
      <c r="K68" s="373" t="s">
        <v>48</v>
      </c>
      <c r="L68" s="563">
        <v>-12.670419264348425</v>
      </c>
      <c r="M68" s="563">
        <v>-12.670419264348427</v>
      </c>
      <c r="N68" s="563">
        <v>-12.670419264348425</v>
      </c>
      <c r="O68" s="563">
        <v>-12.670419264348428</v>
      </c>
      <c r="P68" s="563">
        <v>-12.670419264348427</v>
      </c>
      <c r="Q68" s="563"/>
    </row>
    <row r="69" spans="1:17" ht="14">
      <c r="B69" t="s">
        <v>596</v>
      </c>
      <c r="C69" s="571">
        <f>'Mass &amp; Energy'!AV48</f>
        <v>-2.4413695024355015</v>
      </c>
      <c r="D69" s="571">
        <f>'Mass &amp; Energy'!AW48</f>
        <v>12.074336962307342</v>
      </c>
      <c r="E69" s="571">
        <f>'Mass &amp; Energy'!AX48</f>
        <v>147.04363446779848</v>
      </c>
      <c r="F69" s="571">
        <f>'Mass &amp; Energy'!AY48</f>
        <v>0</v>
      </c>
      <c r="G69" s="571">
        <f>'Mass &amp; Energy'!AZ48</f>
        <v>0</v>
      </c>
      <c r="H69" s="571">
        <f>'Mass &amp; Energy'!BA48</f>
        <v>0</v>
      </c>
      <c r="K69" s="372" t="s">
        <v>50</v>
      </c>
      <c r="L69" s="562">
        <v>-14.771175900986762</v>
      </c>
      <c r="M69" s="562">
        <v>-14.771175900986764</v>
      </c>
      <c r="N69" s="562">
        <v>-14.771175900986764</v>
      </c>
      <c r="O69" s="562">
        <v>-14.771175900986764</v>
      </c>
      <c r="P69" s="562">
        <v>-14.771175900986762</v>
      </c>
      <c r="Q69" s="562"/>
    </row>
    <row r="70" spans="1:17" ht="14">
      <c r="A70" s="481"/>
      <c r="B70" s="481" t="s">
        <v>597</v>
      </c>
      <c r="C70" s="571">
        <f>'Mass &amp; Energy'!AV49</f>
        <v>1161401.4894901956</v>
      </c>
      <c r="D70" s="571">
        <f>'Mass &amp; Energy'!AW49</f>
        <v>80.835732464608668</v>
      </c>
      <c r="E70" s="571">
        <f>'Mass &amp; Energy'!AX49</f>
        <v>413.22670292921913</v>
      </c>
      <c r="F70" s="571">
        <f>'Mass &amp; Energy'!AY49</f>
        <v>0</v>
      </c>
      <c r="G70" s="571">
        <f>'Mass &amp; Energy'!AZ49</f>
        <v>0</v>
      </c>
      <c r="H70" s="571">
        <f>'Mass &amp; Energy'!BA49</f>
        <v>0</v>
      </c>
      <c r="K70" s="373" t="s">
        <v>24</v>
      </c>
      <c r="L70" s="563">
        <v>-0.26008187708863967</v>
      </c>
      <c r="M70" s="563">
        <v>-0.23536795448556552</v>
      </c>
      <c r="N70" s="563">
        <v>-0.22792045674190617</v>
      </c>
      <c r="O70" s="563">
        <v>-0.22391947543472937</v>
      </c>
      <c r="P70" s="563">
        <v>-0.24913027471466059</v>
      </c>
      <c r="Q70" s="563"/>
    </row>
    <row r="71" spans="1:17" ht="14">
      <c r="K71" s="372" t="s">
        <v>25</v>
      </c>
      <c r="L71" s="562">
        <v>-0.27269861495591768</v>
      </c>
      <c r="M71" s="562">
        <v>-0.24678580419252494</v>
      </c>
      <c r="N71" s="562">
        <v>-0.2389770235795983</v>
      </c>
      <c r="O71" s="562">
        <v>-0.23478195211539288</v>
      </c>
      <c r="P71" s="562">
        <v>-0.26121574336039272</v>
      </c>
      <c r="Q71" s="562"/>
    </row>
    <row r="72" spans="1:17" ht="14">
      <c r="C72" s="494"/>
      <c r="K72" s="373" t="s">
        <v>26</v>
      </c>
      <c r="L72" s="563">
        <v>1.3332304152083798</v>
      </c>
      <c r="M72" s="563">
        <v>0.45053674056717496</v>
      </c>
      <c r="N72" s="563">
        <v>0.1845385315489278</v>
      </c>
      <c r="O72" s="563">
        <v>4.1637667573445433E-2</v>
      </c>
      <c r="P72" s="563">
        <v>0.94207801508333944</v>
      </c>
      <c r="Q72" s="563"/>
    </row>
    <row r="73" spans="1:17" ht="15" thickBot="1">
      <c r="C73" s="521"/>
      <c r="K73" s="372" t="s">
        <v>27</v>
      </c>
      <c r="L73" s="562">
        <v>1.2625950842584994</v>
      </c>
      <c r="M73" s="562">
        <v>0.42666703926721705</v>
      </c>
      <c r="N73" s="562">
        <v>0.17476157169242307</v>
      </c>
      <c r="O73" s="562">
        <v>3.9431679474552755E-2</v>
      </c>
      <c r="P73" s="562">
        <v>0.89216616817605332</v>
      </c>
      <c r="Q73" s="562"/>
    </row>
    <row r="74" spans="1:17" ht="15" thickBot="1">
      <c r="B74" s="582" t="s">
        <v>734</v>
      </c>
      <c r="C74" s="583"/>
      <c r="D74" s="583"/>
      <c r="E74" s="583"/>
      <c r="F74" s="583"/>
      <c r="G74" s="584"/>
      <c r="K74" s="373" t="s">
        <v>28</v>
      </c>
      <c r="L74" s="563">
        <v>1.4107081274615032</v>
      </c>
      <c r="M74" s="563">
        <v>1.6297775871475861</v>
      </c>
      <c r="N74" s="563">
        <v>1.695793789145158</v>
      </c>
      <c r="O74" s="563">
        <v>1.7312593373405827</v>
      </c>
      <c r="P74" s="563">
        <v>1.5077854572442699</v>
      </c>
      <c r="Q74" s="563"/>
    </row>
    <row r="75" spans="1:17" ht="15" thickBot="1">
      <c r="A75" s="675" t="s">
        <v>36</v>
      </c>
      <c r="B75" s="677" t="s">
        <v>32</v>
      </c>
      <c r="C75" s="678"/>
      <c r="D75" s="679" t="s">
        <v>593</v>
      </c>
      <c r="E75" s="678"/>
      <c r="F75" s="679" t="s">
        <v>502</v>
      </c>
      <c r="G75" s="680"/>
      <c r="K75" s="372" t="s">
        <v>29</v>
      </c>
      <c r="L75" s="562">
        <v>22.06301647250573</v>
      </c>
      <c r="M75" s="562">
        <v>23.629781253876661</v>
      </c>
      <c r="N75" s="562">
        <v>24.101923105314459</v>
      </c>
      <c r="O75" s="562">
        <v>24.355569469094362</v>
      </c>
      <c r="P75" s="562">
        <v>22.757304674937597</v>
      </c>
      <c r="Q75" s="562"/>
    </row>
    <row r="76" spans="1:17" ht="14" thickBot="1">
      <c r="A76" s="676"/>
      <c r="B76" s="522" t="s">
        <v>504</v>
      </c>
      <c r="C76" s="523" t="s">
        <v>505</v>
      </c>
      <c r="D76" s="523" t="s">
        <v>504</v>
      </c>
      <c r="E76" s="523" t="s">
        <v>505</v>
      </c>
      <c r="F76" s="523" t="s">
        <v>504</v>
      </c>
      <c r="G76" s="524" t="s">
        <v>505</v>
      </c>
    </row>
    <row r="77" spans="1:17" ht="14" thickBot="1">
      <c r="A77" s="525" t="s">
        <v>518</v>
      </c>
    </row>
    <row r="78" spans="1:17" ht="14" thickBot="1">
      <c r="A78" s="526" t="s">
        <v>516</v>
      </c>
    </row>
    <row r="83" spans="1:13">
      <c r="B83" s="663" t="s">
        <v>32</v>
      </c>
      <c r="C83" s="663"/>
      <c r="D83" s="663" t="s">
        <v>502</v>
      </c>
      <c r="E83" s="663"/>
      <c r="F83" s="663" t="s">
        <v>593</v>
      </c>
      <c r="G83" s="663"/>
      <c r="H83" s="663"/>
      <c r="I83" s="663"/>
      <c r="J83" s="663"/>
      <c r="K83" s="663"/>
    </row>
    <row r="84" spans="1:13">
      <c r="A84" t="s">
        <v>360</v>
      </c>
      <c r="B84" s="482" t="s">
        <v>769</v>
      </c>
      <c r="C84" s="482" t="s">
        <v>770</v>
      </c>
      <c r="D84" s="482" t="s">
        <v>771</v>
      </c>
      <c r="E84" s="482" t="s">
        <v>772</v>
      </c>
      <c r="F84" s="482" t="s">
        <v>773</v>
      </c>
      <c r="G84" s="482" t="s">
        <v>774</v>
      </c>
    </row>
    <row r="85" spans="1:13">
      <c r="A85" s="1" t="s">
        <v>760</v>
      </c>
      <c r="B85">
        <v>3.85</v>
      </c>
      <c r="C85">
        <v>5.17</v>
      </c>
      <c r="D85">
        <v>4.51</v>
      </c>
      <c r="E85">
        <v>6.24</v>
      </c>
      <c r="F85" s="318">
        <v>8.83</v>
      </c>
      <c r="G85">
        <v>13.01</v>
      </c>
    </row>
    <row r="86" spans="1:13">
      <c r="A86" s="1" t="s">
        <v>71</v>
      </c>
      <c r="B86">
        <v>0.38</v>
      </c>
      <c r="C86">
        <v>0.62</v>
      </c>
      <c r="D86">
        <v>0.5</v>
      </c>
      <c r="E86">
        <v>0.82</v>
      </c>
      <c r="F86">
        <v>1.32</v>
      </c>
      <c r="G86">
        <v>2.17</v>
      </c>
    </row>
    <row r="87" spans="1:13">
      <c r="A87" s="1" t="s">
        <v>668</v>
      </c>
      <c r="B87">
        <v>0</v>
      </c>
      <c r="C87">
        <v>0.01</v>
      </c>
      <c r="D87">
        <v>0</v>
      </c>
      <c r="E87">
        <v>0.01</v>
      </c>
      <c r="F87">
        <v>0.01</v>
      </c>
      <c r="G87">
        <v>0.01</v>
      </c>
    </row>
    <row r="88" spans="1:13">
      <c r="A88" s="1" t="s">
        <v>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13">
      <c r="A89" s="1" t="s">
        <v>382</v>
      </c>
      <c r="B89">
        <v>7.56</v>
      </c>
      <c r="C89">
        <v>7.56</v>
      </c>
      <c r="D89">
        <v>7.56</v>
      </c>
      <c r="E89">
        <v>7.56</v>
      </c>
      <c r="F89">
        <v>7.56</v>
      </c>
      <c r="G89">
        <v>7.56</v>
      </c>
    </row>
    <row r="90" spans="1:13">
      <c r="A90" s="1" t="s">
        <v>761</v>
      </c>
      <c r="B90">
        <v>2.37</v>
      </c>
      <c r="C90">
        <v>2.37</v>
      </c>
      <c r="D90">
        <v>2.37</v>
      </c>
      <c r="E90">
        <v>2.37</v>
      </c>
      <c r="F90">
        <v>2.37</v>
      </c>
      <c r="G90">
        <v>2.37</v>
      </c>
    </row>
    <row r="91" spans="1:13">
      <c r="A91" s="1" t="s">
        <v>776</v>
      </c>
      <c r="B91">
        <v>17.96</v>
      </c>
      <c r="C91">
        <v>19.53</v>
      </c>
      <c r="D91">
        <v>18.739999999999998</v>
      </c>
      <c r="E91">
        <v>20.79</v>
      </c>
      <c r="F91">
        <v>23.88</v>
      </c>
      <c r="G91">
        <v>28.92</v>
      </c>
    </row>
    <row r="94" spans="1:13">
      <c r="A94" t="s">
        <v>360</v>
      </c>
      <c r="B94" s="482" t="s">
        <v>769</v>
      </c>
      <c r="C94" s="482" t="s">
        <v>770</v>
      </c>
      <c r="D94" s="482" t="s">
        <v>771</v>
      </c>
      <c r="E94" s="482" t="s">
        <v>772</v>
      </c>
      <c r="F94" s="482" t="s">
        <v>773</v>
      </c>
      <c r="G94" s="482" t="s">
        <v>774</v>
      </c>
    </row>
    <row r="95" spans="1:13">
      <c r="A95" s="1" t="s">
        <v>760</v>
      </c>
      <c r="B95" s="577">
        <f>B85</f>
        <v>3.85</v>
      </c>
      <c r="C95" s="577">
        <f t="shared" ref="C95:G95" si="0">C85</f>
        <v>5.17</v>
      </c>
      <c r="D95" s="577">
        <f t="shared" si="0"/>
        <v>4.51</v>
      </c>
      <c r="E95" s="577">
        <f t="shared" si="0"/>
        <v>6.24</v>
      </c>
      <c r="F95" s="577">
        <f t="shared" si="0"/>
        <v>8.83</v>
      </c>
      <c r="G95" s="577">
        <f t="shared" si="0"/>
        <v>13.01</v>
      </c>
      <c r="H95" s="592"/>
      <c r="I95" s="592"/>
      <c r="J95" s="592"/>
      <c r="K95" s="592"/>
      <c r="L95" s="592"/>
      <c r="M95" s="592"/>
    </row>
    <row r="96" spans="1:13">
      <c r="A96" s="1" t="s">
        <v>71</v>
      </c>
      <c r="B96" s="577">
        <f t="shared" ref="B96:G96" si="1">B86</f>
        <v>0.38</v>
      </c>
      <c r="C96" s="577">
        <f t="shared" si="1"/>
        <v>0.62</v>
      </c>
      <c r="D96" s="577">
        <f t="shared" si="1"/>
        <v>0.5</v>
      </c>
      <c r="E96" s="577">
        <f t="shared" si="1"/>
        <v>0.82</v>
      </c>
      <c r="F96" s="577">
        <f t="shared" si="1"/>
        <v>1.32</v>
      </c>
      <c r="G96" s="577">
        <f t="shared" si="1"/>
        <v>2.17</v>
      </c>
      <c r="H96" s="592"/>
      <c r="I96" s="592"/>
      <c r="J96" s="592"/>
      <c r="K96" s="592"/>
      <c r="L96" s="592"/>
      <c r="M96" s="592"/>
    </row>
    <row r="97" spans="1:13">
      <c r="A97" s="1" t="s">
        <v>668</v>
      </c>
      <c r="B97" s="577">
        <f t="shared" ref="B97:G97" si="2">B87</f>
        <v>0</v>
      </c>
      <c r="C97" s="577">
        <f t="shared" si="2"/>
        <v>0.01</v>
      </c>
      <c r="D97" s="577">
        <f t="shared" si="2"/>
        <v>0</v>
      </c>
      <c r="E97" s="577">
        <f t="shared" si="2"/>
        <v>0.01</v>
      </c>
      <c r="F97" s="577">
        <f t="shared" si="2"/>
        <v>0.01</v>
      </c>
      <c r="G97" s="577">
        <f t="shared" si="2"/>
        <v>0.01</v>
      </c>
      <c r="H97" s="592"/>
      <c r="I97" s="592"/>
      <c r="J97" s="592"/>
      <c r="K97" s="592"/>
      <c r="L97" s="592"/>
      <c r="M97" s="592"/>
    </row>
    <row r="98" spans="1:13">
      <c r="A98" s="1" t="s">
        <v>73</v>
      </c>
      <c r="B98" s="577">
        <f t="shared" ref="B98:G98" si="3">B88</f>
        <v>0</v>
      </c>
      <c r="C98" s="577">
        <f t="shared" si="3"/>
        <v>0</v>
      </c>
      <c r="D98" s="577">
        <f t="shared" si="3"/>
        <v>0</v>
      </c>
      <c r="E98" s="577">
        <f t="shared" si="3"/>
        <v>0</v>
      </c>
      <c r="F98" s="577">
        <f t="shared" si="3"/>
        <v>0</v>
      </c>
      <c r="G98" s="577">
        <f t="shared" si="3"/>
        <v>0</v>
      </c>
      <c r="H98" s="592"/>
      <c r="I98" s="592"/>
      <c r="J98" s="592"/>
      <c r="K98" s="592"/>
      <c r="L98" s="592"/>
      <c r="M98" s="592"/>
    </row>
    <row r="99" spans="1:13">
      <c r="A99" s="1" t="s">
        <v>382</v>
      </c>
      <c r="B99" s="577">
        <f t="shared" ref="B99:G99" si="4">B89</f>
        <v>7.56</v>
      </c>
      <c r="C99" s="577">
        <f t="shared" si="4"/>
        <v>7.56</v>
      </c>
      <c r="D99" s="577">
        <f t="shared" si="4"/>
        <v>7.56</v>
      </c>
      <c r="E99" s="577">
        <f t="shared" si="4"/>
        <v>7.56</v>
      </c>
      <c r="F99" s="577">
        <f t="shared" si="4"/>
        <v>7.56</v>
      </c>
      <c r="G99" s="577">
        <f t="shared" si="4"/>
        <v>7.56</v>
      </c>
      <c r="H99" s="592"/>
      <c r="I99" s="592"/>
      <c r="J99" s="592"/>
      <c r="K99" s="592"/>
      <c r="L99" s="592"/>
      <c r="M99" s="592"/>
    </row>
    <row r="100" spans="1:13">
      <c r="A100" s="1" t="s">
        <v>761</v>
      </c>
      <c r="B100" s="577">
        <f t="shared" ref="B100:G100" si="5">B90</f>
        <v>2.37</v>
      </c>
      <c r="C100" s="577">
        <f t="shared" si="5"/>
        <v>2.37</v>
      </c>
      <c r="D100" s="577">
        <f t="shared" si="5"/>
        <v>2.37</v>
      </c>
      <c r="E100" s="577">
        <f t="shared" si="5"/>
        <v>2.37</v>
      </c>
      <c r="F100" s="577">
        <f t="shared" si="5"/>
        <v>2.37</v>
      </c>
      <c r="G100" s="577">
        <f t="shared" si="5"/>
        <v>2.37</v>
      </c>
      <c r="H100" s="592"/>
      <c r="I100" s="592"/>
      <c r="J100" s="592"/>
      <c r="K100" s="592"/>
      <c r="L100" s="592"/>
      <c r="M100" s="592"/>
    </row>
    <row r="101" spans="1:13">
      <c r="B101" s="335">
        <f>SUM(B95:B100)</f>
        <v>14.16</v>
      </c>
      <c r="C101" s="335">
        <f>SUM(C95:C100)</f>
        <v>15.73</v>
      </c>
      <c r="D101" s="335">
        <f t="shared" ref="D101:G101" si="6">SUM(D95:D100)</f>
        <v>14.940000000000001</v>
      </c>
      <c r="E101" s="335">
        <f t="shared" si="6"/>
        <v>17</v>
      </c>
      <c r="F101" s="335">
        <f t="shared" si="6"/>
        <v>20.09</v>
      </c>
      <c r="G101" s="335">
        <f t="shared" si="6"/>
        <v>25.12</v>
      </c>
      <c r="H101" s="335"/>
      <c r="I101" s="335"/>
      <c r="J101" s="335"/>
      <c r="K101" s="335"/>
      <c r="L101" s="335"/>
      <c r="M101" s="335"/>
    </row>
  </sheetData>
  <mergeCells count="23">
    <mergeCell ref="L58:Q58"/>
    <mergeCell ref="L59:M59"/>
    <mergeCell ref="N59:O59"/>
    <mergeCell ref="P59:Q59"/>
    <mergeCell ref="A58:A60"/>
    <mergeCell ref="C1:H1"/>
    <mergeCell ref="C2:D2"/>
    <mergeCell ref="E2:F2"/>
    <mergeCell ref="G2:H2"/>
    <mergeCell ref="A4:A8"/>
    <mergeCell ref="A75:A76"/>
    <mergeCell ref="B75:C75"/>
    <mergeCell ref="D75:E75"/>
    <mergeCell ref="F75:G75"/>
    <mergeCell ref="A9:A13"/>
    <mergeCell ref="G21:H21"/>
    <mergeCell ref="C59:D59"/>
    <mergeCell ref="G59:H59"/>
    <mergeCell ref="F83:G83"/>
    <mergeCell ref="B83:C83"/>
    <mergeCell ref="D83:E83"/>
    <mergeCell ref="H83:I83"/>
    <mergeCell ref="J83:K83"/>
  </mergeCells>
  <conditionalFormatting sqref="C4:H13">
    <cfRule type="cellIs" dxfId="19" priority="1" operator="less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1"/>
  <dimension ref="A1:BQ127"/>
  <sheetViews>
    <sheetView workbookViewId="0">
      <selection activeCell="B5" sqref="B5"/>
    </sheetView>
  </sheetViews>
  <sheetFormatPr baseColWidth="10" defaultColWidth="7.83203125" defaultRowHeight="17"/>
  <cols>
    <col min="1" max="1" width="40.5" style="90" customWidth="1"/>
    <col min="2" max="2" width="52.5" style="90" customWidth="1"/>
    <col min="3" max="3" width="19.5" style="90" customWidth="1"/>
    <col min="4" max="4" width="16.83203125" style="90" customWidth="1"/>
    <col min="5" max="5" width="18.5" style="90" customWidth="1"/>
    <col min="6" max="6" width="24.83203125" style="90" customWidth="1"/>
    <col min="7" max="7" width="26.83203125" style="90" customWidth="1"/>
    <col min="8" max="8" width="18.5" style="90" customWidth="1"/>
    <col min="9" max="9" width="17.83203125" style="90" customWidth="1"/>
    <col min="10" max="10" width="19.5" style="90" customWidth="1"/>
    <col min="11" max="35" width="17.83203125" style="90" customWidth="1"/>
    <col min="36" max="36" width="13.5" style="90" customWidth="1"/>
    <col min="37" max="37" width="15.5" style="90" customWidth="1"/>
    <col min="38" max="76" width="13.5" style="90" customWidth="1"/>
    <col min="77" max="16384" width="7.83203125" style="90"/>
  </cols>
  <sheetData>
    <row r="1" spans="1:13">
      <c r="A1" s="89"/>
    </row>
    <row r="2" spans="1:13">
      <c r="A2" s="89"/>
      <c r="F2" s="91"/>
      <c r="I2" s="91"/>
      <c r="K2" s="92"/>
    </row>
    <row r="3" spans="1:13">
      <c r="A3" s="89"/>
      <c r="F3" s="93"/>
      <c r="H3" s="94"/>
      <c r="I3" s="93"/>
      <c r="J3" s="94"/>
      <c r="M3" s="92"/>
    </row>
    <row r="4" spans="1:13">
      <c r="A4" s="264" t="s">
        <v>150</v>
      </c>
      <c r="B4" s="264" t="s">
        <v>228</v>
      </c>
      <c r="C4" s="264" t="s">
        <v>140</v>
      </c>
      <c r="F4" s="95" t="s">
        <v>229</v>
      </c>
      <c r="H4" s="96"/>
      <c r="I4" s="96"/>
      <c r="J4" s="96"/>
    </row>
    <row r="5" spans="1:13">
      <c r="A5" s="265" t="s">
        <v>230</v>
      </c>
      <c r="B5" s="266">
        <f>'Capital Cost'!K33</f>
        <v>19528036.390000001</v>
      </c>
      <c r="C5" s="265"/>
      <c r="F5" s="96" t="s">
        <v>231</v>
      </c>
      <c r="G5" s="90" t="s">
        <v>232</v>
      </c>
      <c r="H5" s="96" t="s">
        <v>233</v>
      </c>
      <c r="I5" s="96" t="s">
        <v>234</v>
      </c>
      <c r="J5" s="96"/>
    </row>
    <row r="6" spans="1:13">
      <c r="A6" s="265" t="s">
        <v>235</v>
      </c>
      <c r="B6" s="267">
        <f>40%</f>
        <v>0.4</v>
      </c>
      <c r="C6" s="265"/>
      <c r="F6" s="95" t="s">
        <v>236</v>
      </c>
      <c r="G6" s="90">
        <v>0.5</v>
      </c>
      <c r="H6" s="97">
        <v>1.5</v>
      </c>
      <c r="I6" s="97">
        <v>1</v>
      </c>
      <c r="J6" s="98">
        <v>0.185722904361174</v>
      </c>
      <c r="K6" s="98">
        <v>5.3701286263202835E-2</v>
      </c>
      <c r="L6" s="98">
        <v>0.10046474888782933</v>
      </c>
    </row>
    <row r="7" spans="1:13">
      <c r="A7" s="265" t="s">
        <v>237</v>
      </c>
      <c r="B7" s="268">
        <f>7.5%</f>
        <v>7.4999999999999997E-2</v>
      </c>
      <c r="C7" s="265"/>
      <c r="F7" s="99" t="s">
        <v>238</v>
      </c>
      <c r="G7" s="90">
        <v>20</v>
      </c>
      <c r="H7" s="99">
        <v>90</v>
      </c>
      <c r="I7" s="99">
        <v>50</v>
      </c>
      <c r="J7" s="98">
        <v>0.38411589472547103</v>
      </c>
      <c r="K7" s="98">
        <v>-8.6347404702879372E-3</v>
      </c>
      <c r="L7" s="98">
        <v>0.10046474888782933</v>
      </c>
    </row>
    <row r="8" spans="1:13">
      <c r="A8" s="265" t="s">
        <v>239</v>
      </c>
      <c r="B8" s="269">
        <f>10</f>
        <v>10</v>
      </c>
      <c r="C8" s="265"/>
      <c r="F8" s="90" t="s">
        <v>240</v>
      </c>
      <c r="G8" s="99">
        <v>500</v>
      </c>
      <c r="H8" s="90">
        <v>300</v>
      </c>
      <c r="I8" s="99">
        <v>385</v>
      </c>
      <c r="J8" s="98">
        <v>0.20066597479334677</v>
      </c>
      <c r="K8" s="100">
        <v>2.2171960073453661E-2</v>
      </c>
      <c r="L8" s="98">
        <v>0.10046474888782933</v>
      </c>
    </row>
    <row r="9" spans="1:13">
      <c r="A9" s="265" t="s">
        <v>241</v>
      </c>
      <c r="B9" s="266">
        <f>-PMT(B7,B8,B5*(1-B6))</f>
        <v>1706976.0553729294</v>
      </c>
      <c r="C9" s="265"/>
      <c r="H9" s="101"/>
      <c r="J9" s="102"/>
      <c r="K9" s="102"/>
    </row>
    <row r="10" spans="1:13">
      <c r="A10" s="265" t="s">
        <v>242</v>
      </c>
      <c r="B10" s="266">
        <f>B5</f>
        <v>19528036.390000001</v>
      </c>
      <c r="C10" s="270"/>
      <c r="J10" s="102"/>
      <c r="K10" s="102" t="s">
        <v>233</v>
      </c>
      <c r="L10" s="90" t="s">
        <v>234</v>
      </c>
      <c r="M10" s="90" t="s">
        <v>232</v>
      </c>
    </row>
    <row r="11" spans="1:13">
      <c r="A11" s="265" t="s">
        <v>243</v>
      </c>
      <c r="B11" s="266">
        <v>0</v>
      </c>
      <c r="C11" s="265"/>
      <c r="G11" s="95" t="s">
        <v>244</v>
      </c>
      <c r="H11" s="90">
        <v>0.5</v>
      </c>
      <c r="I11" s="97">
        <v>1.5</v>
      </c>
      <c r="J11" s="97">
        <v>1</v>
      </c>
      <c r="K11" s="98">
        <f>K6</f>
        <v>5.3701286263202835E-2</v>
      </c>
      <c r="L11" s="98">
        <f>L6</f>
        <v>0.10046474888782933</v>
      </c>
      <c r="M11" s="98">
        <f>J6</f>
        <v>0.185722904361174</v>
      </c>
    </row>
    <row r="12" spans="1:13">
      <c r="A12" s="265" t="s">
        <v>245</v>
      </c>
      <c r="B12" s="271">
        <v>0.15</v>
      </c>
      <c r="C12" s="265"/>
      <c r="G12" s="90" t="s">
        <v>246</v>
      </c>
      <c r="H12" s="99">
        <v>500</v>
      </c>
      <c r="I12" s="90">
        <v>385</v>
      </c>
      <c r="J12" s="99">
        <v>300</v>
      </c>
      <c r="K12" s="100">
        <f>K8</f>
        <v>2.2171960073453661E-2</v>
      </c>
      <c r="L12" s="98">
        <f>L7</f>
        <v>0.10046474888782933</v>
      </c>
      <c r="M12" s="98">
        <f>J8</f>
        <v>0.20066597479334677</v>
      </c>
    </row>
    <row r="13" spans="1:13">
      <c r="A13" s="295" t="s">
        <v>247</v>
      </c>
      <c r="B13" s="298"/>
      <c r="C13" s="287"/>
      <c r="G13" s="99" t="s">
        <v>248</v>
      </c>
      <c r="H13" s="90">
        <v>-33</v>
      </c>
      <c r="I13" s="99">
        <v>65</v>
      </c>
      <c r="J13" s="99">
        <v>41</v>
      </c>
      <c r="K13" s="98">
        <f>K7</f>
        <v>-8.6347404702879372E-3</v>
      </c>
      <c r="L13" s="98">
        <f>L8</f>
        <v>0.10046474888782933</v>
      </c>
      <c r="M13" s="98">
        <f>J7</f>
        <v>0.38411589472547103</v>
      </c>
    </row>
    <row r="14" spans="1:13">
      <c r="A14" s="296" t="s">
        <v>242</v>
      </c>
      <c r="B14" s="296">
        <v>0</v>
      </c>
      <c r="C14" s="289" t="s">
        <v>249</v>
      </c>
      <c r="E14" s="104"/>
      <c r="H14" s="105"/>
      <c r="I14" s="105"/>
      <c r="J14" s="105"/>
      <c r="K14" s="91"/>
      <c r="L14" s="106"/>
      <c r="M14" s="106"/>
    </row>
    <row r="15" spans="1:13">
      <c r="A15" s="297" t="s">
        <v>243</v>
      </c>
      <c r="B15" s="297">
        <v>0</v>
      </c>
      <c r="C15" s="291" t="s">
        <v>249</v>
      </c>
      <c r="H15" s="105"/>
      <c r="I15" s="105"/>
      <c r="J15" s="105"/>
      <c r="K15" s="93"/>
      <c r="L15" s="106"/>
      <c r="M15" s="106"/>
    </row>
    <row r="16" spans="1:13">
      <c r="A16" s="292" t="s">
        <v>250</v>
      </c>
      <c r="B16" s="298" t="s">
        <v>251</v>
      </c>
      <c r="C16" s="287"/>
      <c r="H16" s="105"/>
      <c r="I16" s="105"/>
      <c r="J16" s="105"/>
      <c r="K16" s="96"/>
      <c r="L16" s="106"/>
      <c r="M16" s="106"/>
    </row>
    <row r="17" spans="1:14">
      <c r="A17" s="288" t="s">
        <v>242</v>
      </c>
      <c r="B17" s="296">
        <f>200</f>
        <v>200</v>
      </c>
      <c r="C17" s="289" t="s">
        <v>252</v>
      </c>
      <c r="H17" s="105"/>
      <c r="I17" s="105"/>
      <c r="J17" s="105"/>
      <c r="K17" s="96"/>
      <c r="L17" s="106"/>
      <c r="M17" s="106"/>
    </row>
    <row r="18" spans="1:14">
      <c r="A18" s="293" t="s">
        <v>243</v>
      </c>
      <c r="B18" s="297">
        <v>150</v>
      </c>
      <c r="C18" s="291" t="s">
        <v>252</v>
      </c>
      <c r="H18" s="105"/>
      <c r="I18" s="105"/>
      <c r="J18" s="105"/>
      <c r="K18" s="96"/>
      <c r="L18" s="106"/>
      <c r="M18" s="106"/>
    </row>
    <row r="19" spans="1:14">
      <c r="A19" s="286" t="s">
        <v>253</v>
      </c>
      <c r="B19" s="298"/>
      <c r="C19" s="287"/>
      <c r="E19" s="107"/>
      <c r="H19" s="105"/>
      <c r="I19" s="105"/>
      <c r="J19" s="105"/>
      <c r="K19" s="99"/>
      <c r="L19" s="106"/>
      <c r="M19" s="106"/>
    </row>
    <row r="20" spans="1:14">
      <c r="A20" s="294" t="s">
        <v>242</v>
      </c>
      <c r="B20" s="296">
        <f>7</f>
        <v>7</v>
      </c>
      <c r="C20" s="289" t="s">
        <v>252</v>
      </c>
      <c r="H20" s="105"/>
      <c r="I20" s="105"/>
      <c r="J20" s="105"/>
      <c r="K20" s="108"/>
      <c r="L20" s="106"/>
      <c r="M20" s="106"/>
      <c r="N20" s="109"/>
    </row>
    <row r="21" spans="1:14">
      <c r="A21" s="290" t="s">
        <v>254</v>
      </c>
      <c r="B21" s="297">
        <f>20</f>
        <v>20</v>
      </c>
      <c r="C21" s="291" t="s">
        <v>252</v>
      </c>
      <c r="H21" s="105"/>
      <c r="I21" s="105"/>
      <c r="J21" s="105"/>
      <c r="K21" s="106"/>
      <c r="L21" s="106"/>
      <c r="M21" s="106"/>
      <c r="N21" s="109"/>
    </row>
    <row r="22" spans="1:14">
      <c r="A22" s="295" t="s">
        <v>255</v>
      </c>
      <c r="B22" s="298">
        <f>2.5</f>
        <v>2.5</v>
      </c>
      <c r="C22" s="287"/>
      <c r="D22" s="110"/>
      <c r="E22" s="110"/>
      <c r="F22" s="110"/>
      <c r="G22" s="110"/>
      <c r="J22" s="111"/>
      <c r="K22" s="109"/>
      <c r="L22" s="109"/>
      <c r="M22" s="109"/>
      <c r="N22" s="109"/>
    </row>
    <row r="23" spans="1:14">
      <c r="A23" s="299" t="s">
        <v>256</v>
      </c>
      <c r="B23" s="301">
        <f>8%</f>
        <v>0.08</v>
      </c>
      <c r="C23" s="289"/>
      <c r="D23" s="112"/>
      <c r="E23" s="112"/>
      <c r="F23" s="112"/>
      <c r="G23" s="110"/>
    </row>
    <row r="24" spans="1:14">
      <c r="A24" s="299" t="s">
        <v>257</v>
      </c>
      <c r="B24" s="301">
        <f>60%</f>
        <v>0.6</v>
      </c>
      <c r="C24" s="289"/>
      <c r="D24" s="110"/>
      <c r="E24" s="110"/>
      <c r="F24" s="110"/>
      <c r="G24" s="110"/>
    </row>
    <row r="25" spans="1:14">
      <c r="A25" s="300" t="s">
        <v>258</v>
      </c>
      <c r="B25" s="302">
        <f>1-SUM(B23:B24)</f>
        <v>0.32000000000000006</v>
      </c>
      <c r="C25" s="291"/>
      <c r="D25" s="110"/>
      <c r="E25" s="110"/>
      <c r="F25" s="110"/>
      <c r="G25" s="110"/>
      <c r="K25" s="106"/>
      <c r="L25" s="106"/>
    </row>
    <row r="26" spans="1:14">
      <c r="A26" s="306" t="s">
        <v>259</v>
      </c>
      <c r="B26" s="287">
        <f>0.5</f>
        <v>0.5</v>
      </c>
      <c r="C26" s="287"/>
      <c r="D26" s="110"/>
      <c r="E26" s="110"/>
      <c r="F26" s="110"/>
      <c r="G26" s="110"/>
      <c r="K26" s="106"/>
      <c r="L26" s="106"/>
    </row>
    <row r="27" spans="1:14">
      <c r="A27" s="299" t="s">
        <v>260</v>
      </c>
      <c r="B27" s="303">
        <v>0.5</v>
      </c>
      <c r="C27" s="289"/>
      <c r="D27" s="113"/>
      <c r="E27" s="113"/>
      <c r="F27" s="113"/>
      <c r="G27" s="110"/>
      <c r="K27" s="106"/>
      <c r="L27" s="106"/>
    </row>
    <row r="28" spans="1:14">
      <c r="A28" s="299" t="s">
        <v>261</v>
      </c>
      <c r="B28" s="303">
        <v>0.75</v>
      </c>
      <c r="C28" s="289"/>
      <c r="D28" s="110"/>
      <c r="E28" s="110"/>
      <c r="F28" s="110"/>
      <c r="G28" s="110"/>
      <c r="K28" s="114"/>
      <c r="L28" s="114"/>
    </row>
    <row r="29" spans="1:14">
      <c r="A29" s="300" t="s">
        <v>262</v>
      </c>
      <c r="B29" s="304">
        <f>100%</f>
        <v>1</v>
      </c>
      <c r="C29" s="291"/>
      <c r="K29" s="114"/>
      <c r="L29" s="114"/>
    </row>
    <row r="30" spans="1:14">
      <c r="A30" s="275" t="s">
        <v>16</v>
      </c>
      <c r="B30" s="305">
        <v>0.1</v>
      </c>
      <c r="C30" s="272" t="s">
        <v>252</v>
      </c>
      <c r="E30" s="115"/>
      <c r="H30" s="108"/>
      <c r="I30" s="108"/>
      <c r="J30" s="108"/>
      <c r="K30" s="116"/>
      <c r="L30" s="116"/>
      <c r="M30" s="108"/>
    </row>
    <row r="31" spans="1:14">
      <c r="A31" s="273" t="s">
        <v>263</v>
      </c>
      <c r="B31" s="274">
        <v>0.21</v>
      </c>
      <c r="C31" s="272" t="s">
        <v>252</v>
      </c>
      <c r="H31" s="108"/>
      <c r="I31" s="108"/>
      <c r="J31" s="108"/>
      <c r="K31" s="116"/>
      <c r="L31" s="116"/>
      <c r="M31" s="108"/>
    </row>
    <row r="32" spans="1:14">
      <c r="A32" s="272" t="s">
        <v>264</v>
      </c>
      <c r="B32" s="276">
        <f>'Mass &amp; Energy'!G21 * 948 *'Mass &amp; Energy'!C3/24/1000000</f>
        <v>407582.82232999784</v>
      </c>
      <c r="C32" s="272"/>
      <c r="D32" s="111"/>
      <c r="K32" s="106"/>
      <c r="L32" s="106"/>
    </row>
    <row r="33" spans="1:35">
      <c r="A33" s="272" t="s">
        <v>265</v>
      </c>
      <c r="B33" s="277">
        <f>'Mass &amp; Energy'!C3</f>
        <v>7446</v>
      </c>
      <c r="C33" s="278">
        <v>0.85</v>
      </c>
    </row>
    <row r="34" spans="1:35">
      <c r="A34" s="272" t="s">
        <v>266</v>
      </c>
      <c r="B34" s="279">
        <v>2018</v>
      </c>
      <c r="C34" s="272"/>
    </row>
    <row r="35" spans="1:35">
      <c r="A35" s="272" t="s">
        <v>267</v>
      </c>
      <c r="B35" s="280" t="s">
        <v>268</v>
      </c>
      <c r="C35" s="272"/>
      <c r="G35" s="117"/>
    </row>
    <row r="36" spans="1:35">
      <c r="A36" s="281" t="s">
        <v>269</v>
      </c>
      <c r="B36" s="376">
        <v>3</v>
      </c>
      <c r="C36" s="282" t="s">
        <v>270</v>
      </c>
    </row>
    <row r="37" spans="1:35">
      <c r="A37" s="283"/>
      <c r="B37" s="284"/>
      <c r="C37" s="275"/>
      <c r="E37" s="115"/>
    </row>
    <row r="38" spans="1:35">
      <c r="A38" s="272" t="s">
        <v>271</v>
      </c>
      <c r="B38" s="285">
        <f>E74</f>
        <v>44443946.334192917</v>
      </c>
      <c r="C38" s="272" t="s">
        <v>272</v>
      </c>
      <c r="H38" s="118"/>
    </row>
    <row r="39" spans="1:35">
      <c r="D39" s="103"/>
    </row>
    <row r="41" spans="1:35">
      <c r="A41" s="119" t="s">
        <v>273</v>
      </c>
      <c r="B41" s="93" t="s">
        <v>274</v>
      </c>
      <c r="C41" s="120"/>
      <c r="D41" s="93"/>
      <c r="E41" s="93"/>
    </row>
    <row r="42" spans="1:35">
      <c r="A42" s="90" t="s">
        <v>275</v>
      </c>
      <c r="C42" s="90">
        <v>-2</v>
      </c>
      <c r="D42" s="90">
        <v>-1</v>
      </c>
      <c r="E42" s="90">
        <v>0</v>
      </c>
      <c r="F42" s="90">
        <v>1</v>
      </c>
      <c r="G42" s="90">
        <v>2</v>
      </c>
      <c r="H42" s="90">
        <v>3</v>
      </c>
      <c r="I42" s="90">
        <v>4</v>
      </c>
      <c r="J42" s="90">
        <v>5</v>
      </c>
      <c r="K42" s="90">
        <v>6</v>
      </c>
      <c r="L42" s="90">
        <v>7</v>
      </c>
      <c r="M42" s="90">
        <v>8</v>
      </c>
      <c r="N42" s="90">
        <v>9</v>
      </c>
      <c r="O42" s="90">
        <v>10</v>
      </c>
      <c r="P42" s="90">
        <v>11</v>
      </c>
      <c r="Q42" s="90">
        <v>12</v>
      </c>
      <c r="R42" s="90">
        <v>13</v>
      </c>
      <c r="S42" s="90">
        <v>14</v>
      </c>
      <c r="T42" s="90">
        <v>15</v>
      </c>
      <c r="U42" s="90">
        <v>16</v>
      </c>
      <c r="V42" s="90">
        <v>17</v>
      </c>
      <c r="W42" s="90">
        <v>18</v>
      </c>
      <c r="X42" s="90">
        <v>19</v>
      </c>
      <c r="Y42" s="90">
        <v>20</v>
      </c>
    </row>
    <row r="43" spans="1:35">
      <c r="A43" s="90" t="s">
        <v>230</v>
      </c>
      <c r="C43" s="93">
        <f>B23*B5</f>
        <v>1562242.9112</v>
      </c>
      <c r="D43" s="93">
        <f>B24*B5</f>
        <v>11716821.834000001</v>
      </c>
      <c r="E43" s="93">
        <f>B25*B5</f>
        <v>6248971.6448000018</v>
      </c>
      <c r="AI43" s="93"/>
    </row>
    <row r="44" spans="1:35" s="121" customFormat="1" ht="18" thickBot="1">
      <c r="A44" s="121" t="s">
        <v>276</v>
      </c>
      <c r="B44" s="122" t="s">
        <v>277</v>
      </c>
      <c r="E44" s="331">
        <f>B12*B5</f>
        <v>2929205.4585000002</v>
      </c>
      <c r="Y44" s="331">
        <f>-E44</f>
        <v>-2929205.4585000002</v>
      </c>
      <c r="AI44" s="122"/>
    </row>
    <row r="45" spans="1:35">
      <c r="A45" s="90" t="s">
        <v>278</v>
      </c>
      <c r="B45" s="93"/>
      <c r="E45" s="93"/>
      <c r="F45" s="123">
        <f>B9</f>
        <v>1706976.0553729294</v>
      </c>
      <c r="G45" s="123">
        <f>IF($B$8&gt;1,$B$9,0)</f>
        <v>1706976.0553729294</v>
      </c>
      <c r="H45" s="123">
        <f>IF($B$8&gt;2,$B$9,0)</f>
        <v>1706976.0553729294</v>
      </c>
      <c r="I45" s="123">
        <f>IF($B$8&gt;3,$B$9,0)</f>
        <v>1706976.0553729294</v>
      </c>
      <c r="J45" s="123">
        <f>IF($B$8&gt;4,$B$9,0)</f>
        <v>1706976.0553729294</v>
      </c>
      <c r="K45" s="123">
        <f>IF($B$8&gt;5,$B$9,0)</f>
        <v>1706976.0553729294</v>
      </c>
      <c r="L45" s="123">
        <f>IF($B$8&gt;6,$B$9,0)</f>
        <v>1706976.0553729294</v>
      </c>
      <c r="M45" s="123">
        <f>IF($B$8&gt;7,$B$9,0)</f>
        <v>1706976.0553729294</v>
      </c>
      <c r="N45" s="123">
        <f>IF($B$8&gt;8,$B$9,0)</f>
        <v>1706976.0553729294</v>
      </c>
      <c r="O45" s="123">
        <f>IF($B$8&gt;9,$B$9,0)</f>
        <v>1706976.0553729294</v>
      </c>
      <c r="P45" s="123">
        <f>IF($B$8&gt;10,$B$9,0)</f>
        <v>0</v>
      </c>
      <c r="Q45" s="123">
        <f>IF($B$8&gt;11,$B$9,0)</f>
        <v>0</v>
      </c>
      <c r="R45" s="123">
        <f>IF($B$8&gt;12,$B$9,0)</f>
        <v>0</v>
      </c>
      <c r="S45" s="123">
        <f>IF($B$8&gt;13,$B$9,0)</f>
        <v>0</v>
      </c>
      <c r="T45" s="123">
        <f>IF($B$8&gt;14,$B$9,0)</f>
        <v>0</v>
      </c>
      <c r="U45" s="123">
        <f>IF($B$8&gt;15,$B$9,0)</f>
        <v>0</v>
      </c>
      <c r="V45" s="123">
        <f>IF($B$8&gt;16,$B$9,0)</f>
        <v>0</v>
      </c>
      <c r="W45" s="123">
        <f>IF($B$8&gt;17,$B$9,0)</f>
        <v>0</v>
      </c>
      <c r="X45" s="123">
        <f>IF($B$8&gt;18,$B$9,0)</f>
        <v>0</v>
      </c>
      <c r="Y45" s="123">
        <f>IF($B$8&gt;19,$B$9,0)</f>
        <v>0</v>
      </c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</row>
    <row r="46" spans="1:35">
      <c r="A46" s="90" t="s">
        <v>279</v>
      </c>
      <c r="B46" s="93"/>
      <c r="C46" s="123">
        <f>$B$7*C47</f>
        <v>70300.931003999998</v>
      </c>
      <c r="D46" s="123">
        <f>$B$7*D47</f>
        <v>597557.91353399993</v>
      </c>
      <c r="E46" s="123">
        <f>$B$7*E47</f>
        <v>878761.63754999998</v>
      </c>
      <c r="F46" s="123">
        <f>B5*(1-B6)*B7</f>
        <v>878761.63754999998</v>
      </c>
      <c r="G46" s="123">
        <f>$B$7*F47</f>
        <v>816645.5562132803</v>
      </c>
      <c r="H46" s="123">
        <f>$B$7*G47</f>
        <v>749870.76877630665</v>
      </c>
      <c r="I46" s="123">
        <f t="shared" ref="I46:Y46" si="0">$B$7*H47</f>
        <v>678087.87228155998</v>
      </c>
      <c r="J46" s="123">
        <f t="shared" si="0"/>
        <v>600921.25854970724</v>
      </c>
      <c r="K46" s="123">
        <f t="shared" si="0"/>
        <v>517967.14878796565</v>
      </c>
      <c r="L46" s="123">
        <f t="shared" si="0"/>
        <v>428791.4807940934</v>
      </c>
      <c r="M46" s="123">
        <f t="shared" si="0"/>
        <v>332927.6377006807</v>
      </c>
      <c r="N46" s="123">
        <f>$B$7*M47</f>
        <v>229874.00637526208</v>
      </c>
      <c r="O46" s="123">
        <f t="shared" si="0"/>
        <v>119091.35270043704</v>
      </c>
      <c r="P46" s="123">
        <f t="shared" si="0"/>
        <v>1.1132215149700641E-10</v>
      </c>
      <c r="Q46" s="123">
        <f t="shared" si="0"/>
        <v>1.1967131285928191E-10</v>
      </c>
      <c r="R46" s="123">
        <f t="shared" si="0"/>
        <v>1.2864666132372804E-10</v>
      </c>
      <c r="S46" s="123">
        <f t="shared" si="0"/>
        <v>1.3829516092300763E-10</v>
      </c>
      <c r="T46" s="123">
        <f t="shared" si="0"/>
        <v>1.4866729799223321E-10</v>
      </c>
      <c r="U46" s="123">
        <f t="shared" si="0"/>
        <v>1.598173453416507E-10</v>
      </c>
      <c r="V46" s="123">
        <f t="shared" si="0"/>
        <v>1.7180364624227452E-10</v>
      </c>
      <c r="W46" s="123">
        <f t="shared" si="0"/>
        <v>1.846889197104451E-10</v>
      </c>
      <c r="X46" s="123">
        <f t="shared" si="0"/>
        <v>1.9854058868872851E-10</v>
      </c>
      <c r="Y46" s="123">
        <f t="shared" si="0"/>
        <v>2.1343113284038313E-10</v>
      </c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</row>
    <row r="47" spans="1:35" s="121" customFormat="1" ht="18" thickBot="1">
      <c r="A47" s="121" t="s">
        <v>280</v>
      </c>
      <c r="B47" s="122"/>
      <c r="C47" s="124">
        <f>$B$5*(1-B6)*B23</f>
        <v>937345.74672000005</v>
      </c>
      <c r="D47" s="124">
        <f>B5*(1-B6)*B24+C47</f>
        <v>7967438.84712</v>
      </c>
      <c r="E47" s="124">
        <f>B5*(1-B6)*B25+D47</f>
        <v>11716821.834000001</v>
      </c>
      <c r="F47" s="124">
        <f>B5*(1-B6)-F45+F46</f>
        <v>10888607.416177072</v>
      </c>
      <c r="G47" s="124">
        <f>F47-G45+G46</f>
        <v>9998276.9170174226</v>
      </c>
      <c r="H47" s="124">
        <f>G47-H45+H46</f>
        <v>9041171.6304208003</v>
      </c>
      <c r="I47" s="124">
        <f t="shared" ref="I47:Y47" si="1">H47-I45+I46</f>
        <v>8012283.4473294308</v>
      </c>
      <c r="J47" s="124">
        <f t="shared" si="1"/>
        <v>6906228.6505062087</v>
      </c>
      <c r="K47" s="124">
        <f t="shared" si="1"/>
        <v>5717219.7439212454</v>
      </c>
      <c r="L47" s="124">
        <f t="shared" si="1"/>
        <v>4439035.1693424098</v>
      </c>
      <c r="M47" s="124">
        <f t="shared" si="1"/>
        <v>3064986.7516701613</v>
      </c>
      <c r="N47" s="124">
        <f>M47-N45+N46</f>
        <v>1587884.7026724939</v>
      </c>
      <c r="O47" s="124">
        <f t="shared" si="1"/>
        <v>1.4842953532934189E-9</v>
      </c>
      <c r="P47" s="124">
        <f t="shared" si="1"/>
        <v>1.5956175047904254E-9</v>
      </c>
      <c r="Q47" s="124">
        <f t="shared" si="1"/>
        <v>1.7152888176497072E-9</v>
      </c>
      <c r="R47" s="124">
        <f t="shared" si="1"/>
        <v>1.8439354789734352E-9</v>
      </c>
      <c r="S47" s="124">
        <f t="shared" si="1"/>
        <v>1.9822306398964428E-9</v>
      </c>
      <c r="T47" s="124">
        <f t="shared" si="1"/>
        <v>2.1308979378886762E-9</v>
      </c>
      <c r="U47" s="124">
        <f t="shared" si="1"/>
        <v>2.290715283230327E-9</v>
      </c>
      <c r="V47" s="124">
        <f t="shared" si="1"/>
        <v>2.4625189294726015E-9</v>
      </c>
      <c r="W47" s="124">
        <f t="shared" si="1"/>
        <v>2.6472078491830468E-9</v>
      </c>
      <c r="X47" s="124">
        <f t="shared" si="1"/>
        <v>2.8457484378717752E-9</v>
      </c>
      <c r="Y47" s="124">
        <f t="shared" si="1"/>
        <v>3.0591795707121584E-9</v>
      </c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</row>
    <row r="48" spans="1:35">
      <c r="A48" s="90" t="s">
        <v>281</v>
      </c>
      <c r="B48" s="93" t="s">
        <v>277</v>
      </c>
      <c r="C48" s="93" t="s">
        <v>277</v>
      </c>
      <c r="D48" s="93" t="s">
        <v>277</v>
      </c>
      <c r="E48" s="93" t="s">
        <v>277</v>
      </c>
      <c r="F48" s="93">
        <f>($B$32*$B$36)*(1-B26)+($B$32*$B$36)*B26*B27</f>
        <v>917061.35024249519</v>
      </c>
      <c r="G48" s="93">
        <f>$B$32*$B$36</f>
        <v>1222748.4669899936</v>
      </c>
      <c r="H48" s="93">
        <f t="shared" ref="H48:Y48" si="2">$B$32*$B$36</f>
        <v>1222748.4669899936</v>
      </c>
      <c r="I48" s="93">
        <f t="shared" si="2"/>
        <v>1222748.4669899936</v>
      </c>
      <c r="J48" s="93">
        <f t="shared" si="2"/>
        <v>1222748.4669899936</v>
      </c>
      <c r="K48" s="93">
        <f t="shared" si="2"/>
        <v>1222748.4669899936</v>
      </c>
      <c r="L48" s="93">
        <f t="shared" si="2"/>
        <v>1222748.4669899936</v>
      </c>
      <c r="M48" s="93">
        <f t="shared" si="2"/>
        <v>1222748.4669899936</v>
      </c>
      <c r="N48" s="93">
        <f t="shared" si="2"/>
        <v>1222748.4669899936</v>
      </c>
      <c r="O48" s="93">
        <f t="shared" si="2"/>
        <v>1222748.4669899936</v>
      </c>
      <c r="P48" s="93">
        <f t="shared" si="2"/>
        <v>1222748.4669899936</v>
      </c>
      <c r="Q48" s="93">
        <f t="shared" si="2"/>
        <v>1222748.4669899936</v>
      </c>
      <c r="R48" s="93">
        <f t="shared" si="2"/>
        <v>1222748.4669899936</v>
      </c>
      <c r="S48" s="93">
        <f t="shared" si="2"/>
        <v>1222748.4669899936</v>
      </c>
      <c r="T48" s="93">
        <f t="shared" si="2"/>
        <v>1222748.4669899936</v>
      </c>
      <c r="U48" s="93">
        <f t="shared" si="2"/>
        <v>1222748.4669899936</v>
      </c>
      <c r="V48" s="93">
        <f>$B$32*$B$36</f>
        <v>1222748.4669899936</v>
      </c>
      <c r="W48" s="93">
        <f t="shared" si="2"/>
        <v>1222748.4669899936</v>
      </c>
      <c r="X48" s="93">
        <f t="shared" si="2"/>
        <v>1222748.4669899936</v>
      </c>
      <c r="Y48" s="93">
        <f t="shared" si="2"/>
        <v>1222748.4669899936</v>
      </c>
      <c r="Z48" s="93"/>
      <c r="AA48" s="93"/>
      <c r="AB48" s="93"/>
      <c r="AC48" s="93"/>
      <c r="AD48" s="93"/>
      <c r="AE48" s="93"/>
      <c r="AF48" s="93"/>
      <c r="AG48" s="93"/>
      <c r="AH48" s="93"/>
      <c r="AI48" s="93"/>
    </row>
    <row r="49" spans="1:69" ht="12" customHeight="1">
      <c r="A49" s="90" t="s">
        <v>282</v>
      </c>
      <c r="B49" s="93" t="s">
        <v>277</v>
      </c>
      <c r="C49" s="93" t="s">
        <v>277</v>
      </c>
      <c r="D49" s="93" t="s">
        <v>277</v>
      </c>
      <c r="E49" s="93" t="s">
        <v>277</v>
      </c>
      <c r="F49" s="125">
        <f>(-'Operating Costs'!I36)*(1-B26)+(-'Operating Costs'!I36)*B26*B27</f>
        <v>11342304.754672805</v>
      </c>
      <c r="G49" s="125">
        <f>-'Operating Costs'!$I$36</f>
        <v>15123073.006230406</v>
      </c>
      <c r="H49" s="125">
        <f>-'Operating Costs'!$I$36</f>
        <v>15123073.006230406</v>
      </c>
      <c r="I49" s="125">
        <f>-'Operating Costs'!$I$36</f>
        <v>15123073.006230406</v>
      </c>
      <c r="J49" s="125">
        <f>-'Operating Costs'!$I$36</f>
        <v>15123073.006230406</v>
      </c>
      <c r="K49" s="125">
        <f>-'Operating Costs'!$I$36</f>
        <v>15123073.006230406</v>
      </c>
      <c r="L49" s="125">
        <f>-'Operating Costs'!$I$36</f>
        <v>15123073.006230406</v>
      </c>
      <c r="M49" s="125">
        <f>-'Operating Costs'!$I$36</f>
        <v>15123073.006230406</v>
      </c>
      <c r="N49" s="125">
        <f>-'Operating Costs'!$I$36</f>
        <v>15123073.006230406</v>
      </c>
      <c r="O49" s="125">
        <f>-'Operating Costs'!$I$36</f>
        <v>15123073.006230406</v>
      </c>
      <c r="P49" s="125">
        <f>-'Operating Costs'!$I$36</f>
        <v>15123073.006230406</v>
      </c>
      <c r="Q49" s="125">
        <f>-'Operating Costs'!$I$36</f>
        <v>15123073.006230406</v>
      </c>
      <c r="R49" s="125">
        <f>-'Operating Costs'!$I$36</f>
        <v>15123073.006230406</v>
      </c>
      <c r="S49" s="125">
        <f>-'Operating Costs'!$I$36</f>
        <v>15123073.006230406</v>
      </c>
      <c r="T49" s="125">
        <f>-'Operating Costs'!$I$36</f>
        <v>15123073.006230406</v>
      </c>
      <c r="U49" s="125">
        <f>-'Operating Costs'!$I$36</f>
        <v>15123073.006230406</v>
      </c>
      <c r="V49" s="125">
        <f>-'Operating Costs'!$I$36</f>
        <v>15123073.006230406</v>
      </c>
      <c r="W49" s="125">
        <f>-'Operating Costs'!$I$36</f>
        <v>15123073.006230406</v>
      </c>
      <c r="X49" s="125">
        <f>-'Operating Costs'!$I$36</f>
        <v>15123073.006230406</v>
      </c>
      <c r="Y49" s="125">
        <f>-'Operating Costs'!$I$36</f>
        <v>15123073.006230406</v>
      </c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</row>
    <row r="50" spans="1:69" s="121" customFormat="1" ht="18" thickBot="1">
      <c r="A50" s="121" t="s">
        <v>283</v>
      </c>
      <c r="B50" s="122"/>
      <c r="C50" s="122"/>
      <c r="D50" s="122"/>
      <c r="E50" s="122"/>
      <c r="F50" s="122">
        <f t="shared" ref="F50:Y50" si="3">F48+F49</f>
        <v>12259366.1049153</v>
      </c>
      <c r="G50" s="122">
        <f t="shared" si="3"/>
        <v>16345821.473220401</v>
      </c>
      <c r="H50" s="122">
        <f t="shared" si="3"/>
        <v>16345821.473220401</v>
      </c>
      <c r="I50" s="122">
        <f t="shared" si="3"/>
        <v>16345821.473220401</v>
      </c>
      <c r="J50" s="122">
        <f t="shared" si="3"/>
        <v>16345821.473220401</v>
      </c>
      <c r="K50" s="122">
        <f t="shared" si="3"/>
        <v>16345821.473220401</v>
      </c>
      <c r="L50" s="122">
        <f t="shared" si="3"/>
        <v>16345821.473220401</v>
      </c>
      <c r="M50" s="122">
        <f t="shared" si="3"/>
        <v>16345821.473220401</v>
      </c>
      <c r="N50" s="122">
        <f t="shared" si="3"/>
        <v>16345821.473220401</v>
      </c>
      <c r="O50" s="122">
        <f t="shared" si="3"/>
        <v>16345821.473220401</v>
      </c>
      <c r="P50" s="122">
        <f t="shared" si="3"/>
        <v>16345821.473220401</v>
      </c>
      <c r="Q50" s="122">
        <f t="shared" si="3"/>
        <v>16345821.473220401</v>
      </c>
      <c r="R50" s="122">
        <f t="shared" si="3"/>
        <v>16345821.473220401</v>
      </c>
      <c r="S50" s="122">
        <f t="shared" si="3"/>
        <v>16345821.473220401</v>
      </c>
      <c r="T50" s="122">
        <f t="shared" si="3"/>
        <v>16345821.473220401</v>
      </c>
      <c r="U50" s="122">
        <f t="shared" si="3"/>
        <v>16345821.473220401</v>
      </c>
      <c r="V50" s="122">
        <f t="shared" si="3"/>
        <v>16345821.473220401</v>
      </c>
      <c r="W50" s="122">
        <f t="shared" si="3"/>
        <v>16345821.473220401</v>
      </c>
      <c r="X50" s="122">
        <f t="shared" si="3"/>
        <v>16345821.473220401</v>
      </c>
      <c r="Y50" s="122">
        <f t="shared" si="3"/>
        <v>16345821.473220401</v>
      </c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</row>
    <row r="51" spans="1:69">
      <c r="A51" s="90" t="s">
        <v>284</v>
      </c>
    </row>
    <row r="52" spans="1:69">
      <c r="A52" s="103" t="s">
        <v>285</v>
      </c>
      <c r="F52" s="125">
        <f>'Operating Costs'!$I$25*(1-B26)+'Operating Costs'!I25*B26*B28</f>
        <v>3296507.8857217757</v>
      </c>
      <c r="G52" s="125">
        <f>'Operating Costs'!$I$25</f>
        <v>3767437.5836820295</v>
      </c>
      <c r="H52" s="125">
        <f>'Operating Costs'!$I$25</f>
        <v>3767437.5836820295</v>
      </c>
      <c r="I52" s="125">
        <f>'Operating Costs'!$I$25</f>
        <v>3767437.5836820295</v>
      </c>
      <c r="J52" s="125">
        <f>'Operating Costs'!$I$25</f>
        <v>3767437.5836820295</v>
      </c>
      <c r="K52" s="125">
        <f>'Operating Costs'!$I$25</f>
        <v>3767437.5836820295</v>
      </c>
      <c r="L52" s="125">
        <f>'Operating Costs'!$I$25</f>
        <v>3767437.5836820295</v>
      </c>
      <c r="M52" s="125">
        <f>'Operating Costs'!$I$25</f>
        <v>3767437.5836820295</v>
      </c>
      <c r="N52" s="125">
        <f>'Operating Costs'!$I$25</f>
        <v>3767437.5836820295</v>
      </c>
      <c r="O52" s="125">
        <f>'Operating Costs'!$I$25</f>
        <v>3767437.5836820295</v>
      </c>
      <c r="P52" s="125">
        <f>'Operating Costs'!$I$25</f>
        <v>3767437.5836820295</v>
      </c>
      <c r="Q52" s="125">
        <f>'Operating Costs'!$I$25</f>
        <v>3767437.5836820295</v>
      </c>
      <c r="R52" s="125">
        <f>'Operating Costs'!$I$25</f>
        <v>3767437.5836820295</v>
      </c>
      <c r="S52" s="125">
        <f>'Operating Costs'!$I$25</f>
        <v>3767437.5836820295</v>
      </c>
      <c r="T52" s="125">
        <f>'Operating Costs'!$I$25</f>
        <v>3767437.5836820295</v>
      </c>
      <c r="U52" s="125">
        <f>'Operating Costs'!$I$25</f>
        <v>3767437.5836820295</v>
      </c>
      <c r="V52" s="125">
        <f>'Operating Costs'!$I$25</f>
        <v>3767437.5836820295</v>
      </c>
      <c r="W52" s="125">
        <f>'Operating Costs'!$I$25</f>
        <v>3767437.5836820295</v>
      </c>
      <c r="X52" s="125">
        <f>'Operating Costs'!$I$25</f>
        <v>3767437.5836820295</v>
      </c>
      <c r="Y52" s="125">
        <f>'Operating Costs'!$I$25</f>
        <v>3767437.5836820295</v>
      </c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93" t="s">
        <v>277</v>
      </c>
      <c r="AK52" s="93" t="s">
        <v>277</v>
      </c>
      <c r="AL52" s="93" t="s">
        <v>277</v>
      </c>
      <c r="AM52" s="93" t="s">
        <v>277</v>
      </c>
      <c r="AN52" s="93" t="s">
        <v>286</v>
      </c>
      <c r="AO52" s="93" t="s">
        <v>277</v>
      </c>
      <c r="AP52" s="93" t="s">
        <v>277</v>
      </c>
      <c r="AQ52" s="93" t="s">
        <v>277</v>
      </c>
      <c r="AR52" s="93" t="s">
        <v>277</v>
      </c>
      <c r="AS52" s="93" t="s">
        <v>277</v>
      </c>
      <c r="AT52" s="93" t="s">
        <v>277</v>
      </c>
      <c r="AU52" s="93" t="s">
        <v>277</v>
      </c>
      <c r="AV52" s="93" t="s">
        <v>277</v>
      </c>
      <c r="AW52" s="93" t="s">
        <v>277</v>
      </c>
      <c r="AX52" s="93" t="s">
        <v>277</v>
      </c>
      <c r="AY52" s="93" t="s">
        <v>277</v>
      </c>
      <c r="AZ52" s="93" t="s">
        <v>277</v>
      </c>
      <c r="BA52" s="93" t="s">
        <v>277</v>
      </c>
      <c r="BB52" s="93" t="s">
        <v>277</v>
      </c>
      <c r="BC52" s="93" t="s">
        <v>277</v>
      </c>
      <c r="BD52" s="93" t="s">
        <v>277</v>
      </c>
      <c r="BE52" s="93" t="s">
        <v>277</v>
      </c>
      <c r="BF52" s="93" t="s">
        <v>277</v>
      </c>
      <c r="BG52" s="93" t="s">
        <v>277</v>
      </c>
      <c r="BH52" s="93" t="s">
        <v>277</v>
      </c>
      <c r="BI52" s="93" t="s">
        <v>277</v>
      </c>
      <c r="BJ52" s="93" t="s">
        <v>277</v>
      </c>
      <c r="BK52" s="93" t="s">
        <v>277</v>
      </c>
      <c r="BL52" s="93" t="s">
        <v>277</v>
      </c>
      <c r="BM52" s="93" t="s">
        <v>277</v>
      </c>
      <c r="BN52" s="93" t="s">
        <v>277</v>
      </c>
      <c r="BO52" s="93" t="s">
        <v>277</v>
      </c>
      <c r="BP52" s="93" t="s">
        <v>277</v>
      </c>
      <c r="BQ52" s="93" t="s">
        <v>277</v>
      </c>
    </row>
    <row r="53" spans="1:69">
      <c r="A53" s="90" t="s">
        <v>287</v>
      </c>
      <c r="F53" s="125">
        <f>('Labor Costs'!H22*1000000)*(1-B26)+('Labor Costs'!H22*1000000)*B26*B29</f>
        <v>862732.57750968274</v>
      </c>
      <c r="G53" s="125">
        <f>'Labor Costs'!$H$22*1000000</f>
        <v>862732.57750968274</v>
      </c>
      <c r="H53" s="125">
        <f>'Labor Costs'!$H$22*1000000</f>
        <v>862732.57750968274</v>
      </c>
      <c r="I53" s="125">
        <f>'Labor Costs'!$H$22*1000000</f>
        <v>862732.57750968274</v>
      </c>
      <c r="J53" s="125">
        <f>'Labor Costs'!$H$22*1000000</f>
        <v>862732.57750968274</v>
      </c>
      <c r="K53" s="125">
        <f>'Labor Costs'!$H$22*1000000</f>
        <v>862732.57750968274</v>
      </c>
      <c r="L53" s="125">
        <f>'Labor Costs'!$H$22*1000000</f>
        <v>862732.57750968274</v>
      </c>
      <c r="M53" s="125">
        <f>'Labor Costs'!$H$22*1000000</f>
        <v>862732.57750968274</v>
      </c>
      <c r="N53" s="125">
        <f>'Labor Costs'!$H$22*1000000</f>
        <v>862732.57750968274</v>
      </c>
      <c r="O53" s="125">
        <f>'Labor Costs'!$H$22*1000000</f>
        <v>862732.57750968274</v>
      </c>
      <c r="P53" s="125">
        <f>'Labor Costs'!$H$22*1000000</f>
        <v>862732.57750968274</v>
      </c>
      <c r="Q53" s="125">
        <f>'Labor Costs'!$H$22*1000000</f>
        <v>862732.57750968274</v>
      </c>
      <c r="R53" s="125">
        <f>'Labor Costs'!$H$22*1000000</f>
        <v>862732.57750968274</v>
      </c>
      <c r="S53" s="125">
        <f>'Labor Costs'!$H$22*1000000</f>
        <v>862732.57750968274</v>
      </c>
      <c r="T53" s="125">
        <f>'Labor Costs'!$H$22*1000000</f>
        <v>862732.57750968274</v>
      </c>
      <c r="U53" s="125">
        <f>'Labor Costs'!$H$22*1000000</f>
        <v>862732.57750968274</v>
      </c>
      <c r="V53" s="125">
        <f>'Labor Costs'!$H$22*1000000</f>
        <v>862732.57750968274</v>
      </c>
      <c r="W53" s="125">
        <f>'Labor Costs'!$H$22*1000000</f>
        <v>862732.57750968274</v>
      </c>
      <c r="X53" s="125">
        <f>'Labor Costs'!$H$22*1000000</f>
        <v>862732.57750968274</v>
      </c>
      <c r="Y53" s="125">
        <f>'Labor Costs'!$H$22*1000000</f>
        <v>862732.57750968274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</row>
    <row r="54" spans="1:69" s="121" customFormat="1" ht="18" thickBot="1">
      <c r="A54" s="121" t="s">
        <v>288</v>
      </c>
      <c r="F54" s="122">
        <f t="shared" ref="F54:Y54" si="4">SUM(F52:F53)</f>
        <v>4159240.4632314583</v>
      </c>
      <c r="G54" s="122">
        <f t="shared" si="4"/>
        <v>4630170.1611917121</v>
      </c>
      <c r="H54" s="122">
        <f t="shared" si="4"/>
        <v>4630170.1611917121</v>
      </c>
      <c r="I54" s="122">
        <f t="shared" si="4"/>
        <v>4630170.1611917121</v>
      </c>
      <c r="J54" s="122">
        <f t="shared" si="4"/>
        <v>4630170.1611917121</v>
      </c>
      <c r="K54" s="122">
        <f t="shared" si="4"/>
        <v>4630170.1611917121</v>
      </c>
      <c r="L54" s="122">
        <f t="shared" si="4"/>
        <v>4630170.1611917121</v>
      </c>
      <c r="M54" s="122">
        <f t="shared" si="4"/>
        <v>4630170.1611917121</v>
      </c>
      <c r="N54" s="122">
        <f t="shared" si="4"/>
        <v>4630170.1611917121</v>
      </c>
      <c r="O54" s="122">
        <f t="shared" si="4"/>
        <v>4630170.1611917121</v>
      </c>
      <c r="P54" s="122">
        <f t="shared" si="4"/>
        <v>4630170.1611917121</v>
      </c>
      <c r="Q54" s="122">
        <f t="shared" si="4"/>
        <v>4630170.1611917121</v>
      </c>
      <c r="R54" s="122">
        <f t="shared" si="4"/>
        <v>4630170.1611917121</v>
      </c>
      <c r="S54" s="122">
        <f t="shared" si="4"/>
        <v>4630170.1611917121</v>
      </c>
      <c r="T54" s="122">
        <f t="shared" si="4"/>
        <v>4630170.1611917121</v>
      </c>
      <c r="U54" s="122">
        <f t="shared" si="4"/>
        <v>4630170.1611917121</v>
      </c>
      <c r="V54" s="122">
        <f t="shared" si="4"/>
        <v>4630170.1611917121</v>
      </c>
      <c r="W54" s="122">
        <f t="shared" si="4"/>
        <v>4630170.1611917121</v>
      </c>
      <c r="X54" s="122">
        <f t="shared" si="4"/>
        <v>4630170.1611917121</v>
      </c>
      <c r="Y54" s="122">
        <f t="shared" si="4"/>
        <v>4630170.1611917121</v>
      </c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</row>
    <row r="55" spans="1:69">
      <c r="A55" s="90" t="s">
        <v>289</v>
      </c>
      <c r="I55" s="93"/>
    </row>
    <row r="56" spans="1:69">
      <c r="A56" s="90" t="s">
        <v>242</v>
      </c>
      <c r="AJ56" s="93" t="s">
        <v>277</v>
      </c>
    </row>
    <row r="57" spans="1:69">
      <c r="A57" s="90" t="s">
        <v>290</v>
      </c>
      <c r="F57" s="93">
        <f>$B$17/(100*$B$20)*($B$10-$B$14)</f>
        <v>5579438.9685714282</v>
      </c>
      <c r="G57" s="93">
        <f t="shared" ref="G57:L57" si="5">$B$17/(100*$B$20)*F59</f>
        <v>3985313.548979592</v>
      </c>
      <c r="H57" s="93">
        <f t="shared" si="5"/>
        <v>2846652.5349854231</v>
      </c>
      <c r="I57" s="93">
        <f t="shared" si="5"/>
        <v>2033323.239275302</v>
      </c>
      <c r="J57" s="93">
        <f t="shared" si="5"/>
        <v>1452373.7423395016</v>
      </c>
      <c r="K57" s="93">
        <f t="shared" si="5"/>
        <v>1037409.8159567869</v>
      </c>
      <c r="L57" s="93">
        <f t="shared" si="5"/>
        <v>741007.01139770495</v>
      </c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</row>
    <row r="58" spans="1:69">
      <c r="A58" s="90" t="s">
        <v>291</v>
      </c>
      <c r="F58" s="93">
        <f>B10/($B$20+1-F42)</f>
        <v>2789719.4842857146</v>
      </c>
      <c r="G58" s="93">
        <f t="shared" ref="G58:L58" si="6">IF(F58&gt;F57,F58,F59/($B$20+1-G42))</f>
        <v>2324766.2369047622</v>
      </c>
      <c r="H58" s="93">
        <f t="shared" si="6"/>
        <v>1992656.7744897963</v>
      </c>
      <c r="I58" s="93">
        <f t="shared" si="6"/>
        <v>1779157.8343658894</v>
      </c>
      <c r="J58" s="93">
        <f t="shared" si="6"/>
        <v>1694436.0327294187</v>
      </c>
      <c r="K58" s="93">
        <f t="shared" si="6"/>
        <v>1694436.0327294187</v>
      </c>
      <c r="L58" s="93">
        <f t="shared" si="6"/>
        <v>1694436.0327294187</v>
      </c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</row>
    <row r="59" spans="1:69">
      <c r="A59" s="90" t="s">
        <v>292</v>
      </c>
      <c r="F59" s="93">
        <f>$B$10-$B$14-F57</f>
        <v>13948597.421428572</v>
      </c>
      <c r="G59" s="93">
        <f t="shared" ref="G59:L59" si="7">F59-G57</f>
        <v>9963283.8724489808</v>
      </c>
      <c r="H59" s="93">
        <f t="shared" si="7"/>
        <v>7116631.3374635577</v>
      </c>
      <c r="I59" s="93">
        <f t="shared" si="7"/>
        <v>5083308.0981882559</v>
      </c>
      <c r="J59" s="93">
        <f t="shared" si="7"/>
        <v>3630934.3558487543</v>
      </c>
      <c r="K59" s="93">
        <f t="shared" si="7"/>
        <v>2593524.5398919675</v>
      </c>
      <c r="L59" s="93">
        <f t="shared" si="7"/>
        <v>1852517.5284942626</v>
      </c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</row>
    <row r="60" spans="1:69">
      <c r="A60" s="90" t="s">
        <v>293</v>
      </c>
      <c r="F60" s="93">
        <f t="shared" ref="F60:L60" si="8">IF(F58&gt;F57,F58,F57)</f>
        <v>5579438.9685714282</v>
      </c>
      <c r="G60" s="93">
        <f t="shared" si="8"/>
        <v>3985313.548979592</v>
      </c>
      <c r="H60" s="93">
        <f t="shared" si="8"/>
        <v>2846652.5349854231</v>
      </c>
      <c r="I60" s="93">
        <f t="shared" si="8"/>
        <v>2033323.239275302</v>
      </c>
      <c r="J60" s="93">
        <f t="shared" si="8"/>
        <v>1694436.0327294187</v>
      </c>
      <c r="K60" s="93">
        <f t="shared" si="8"/>
        <v>1694436.0327294187</v>
      </c>
      <c r="L60" s="93">
        <f t="shared" si="8"/>
        <v>1694436.0327294187</v>
      </c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</row>
    <row r="61" spans="1:69">
      <c r="A61" s="90" t="s">
        <v>243</v>
      </c>
      <c r="F61" s="93" t="s">
        <v>277</v>
      </c>
      <c r="G61" s="93" t="s">
        <v>277</v>
      </c>
      <c r="H61" s="93" t="s">
        <v>277</v>
      </c>
      <c r="I61" s="93" t="s">
        <v>277</v>
      </c>
      <c r="J61" s="93" t="s">
        <v>277</v>
      </c>
      <c r="K61" s="93" t="s">
        <v>277</v>
      </c>
      <c r="L61" s="93" t="s">
        <v>277</v>
      </c>
      <c r="M61" s="93" t="s">
        <v>277</v>
      </c>
      <c r="N61" s="93" t="s">
        <v>277</v>
      </c>
      <c r="O61" s="93" t="s">
        <v>277</v>
      </c>
      <c r="P61" s="93" t="s">
        <v>277</v>
      </c>
      <c r="Q61" s="93" t="s">
        <v>277</v>
      </c>
      <c r="R61" s="93" t="s">
        <v>277</v>
      </c>
      <c r="S61" s="93" t="s">
        <v>277</v>
      </c>
      <c r="T61" s="93" t="s">
        <v>277</v>
      </c>
      <c r="U61" s="93" t="s">
        <v>277</v>
      </c>
      <c r="V61" s="93" t="s">
        <v>277</v>
      </c>
      <c r="W61" s="93" t="s">
        <v>277</v>
      </c>
      <c r="X61" s="93" t="s">
        <v>277</v>
      </c>
      <c r="Y61" s="93" t="s">
        <v>277</v>
      </c>
      <c r="Z61" s="93"/>
      <c r="AA61" s="93"/>
      <c r="AB61" s="93"/>
      <c r="AC61" s="93"/>
      <c r="AD61" s="93"/>
      <c r="AE61" s="93"/>
      <c r="AF61" s="93"/>
      <c r="AG61" s="93"/>
      <c r="AH61" s="93"/>
      <c r="AI61" s="93"/>
    </row>
    <row r="62" spans="1:69">
      <c r="A62" s="90" t="s">
        <v>290</v>
      </c>
      <c r="F62" s="93">
        <f>$B$18/(100*$B$21)*($B$11-$B$15)</f>
        <v>0</v>
      </c>
      <c r="G62" s="93">
        <f>$B$18/(100*$B$21)*(F64-$B$15)</f>
        <v>0</v>
      </c>
      <c r="H62" s="93">
        <f>$B$18/(100*$B$21)*(G64-$B$15)</f>
        <v>0</v>
      </c>
      <c r="I62" s="93">
        <f t="shared" ref="I62:Y62" si="9">$B$18/(100*$B$21)*(H64-$B$15)</f>
        <v>0</v>
      </c>
      <c r="J62" s="93">
        <f t="shared" si="9"/>
        <v>0</v>
      </c>
      <c r="K62" s="93">
        <f t="shared" si="9"/>
        <v>0</v>
      </c>
      <c r="L62" s="93">
        <f t="shared" si="9"/>
        <v>0</v>
      </c>
      <c r="M62" s="93">
        <f t="shared" si="9"/>
        <v>0</v>
      </c>
      <c r="N62" s="93">
        <f>$B$18/(100*$B$21)*(M64-$B$15)</f>
        <v>0</v>
      </c>
      <c r="O62" s="93">
        <f t="shared" si="9"/>
        <v>0</v>
      </c>
      <c r="P62" s="93">
        <f t="shared" si="9"/>
        <v>0</v>
      </c>
      <c r="Q62" s="93">
        <f t="shared" si="9"/>
        <v>0</v>
      </c>
      <c r="R62" s="93">
        <f t="shared" si="9"/>
        <v>0</v>
      </c>
      <c r="S62" s="93">
        <f t="shared" si="9"/>
        <v>0</v>
      </c>
      <c r="T62" s="93">
        <f t="shared" si="9"/>
        <v>0</v>
      </c>
      <c r="U62" s="93">
        <f t="shared" si="9"/>
        <v>0</v>
      </c>
      <c r="V62" s="93">
        <f t="shared" si="9"/>
        <v>0</v>
      </c>
      <c r="W62" s="93">
        <f t="shared" si="9"/>
        <v>0</v>
      </c>
      <c r="X62" s="93">
        <f t="shared" si="9"/>
        <v>0</v>
      </c>
      <c r="Y62" s="93">
        <f t="shared" si="9"/>
        <v>0</v>
      </c>
      <c r="Z62" s="93"/>
      <c r="AA62" s="93"/>
      <c r="AB62" s="93"/>
      <c r="AC62" s="93"/>
      <c r="AD62" s="93"/>
      <c r="AE62" s="93"/>
      <c r="AF62" s="93"/>
      <c r="AG62" s="93"/>
      <c r="AH62" s="93"/>
      <c r="AI62" s="93"/>
    </row>
    <row r="63" spans="1:69">
      <c r="A63" s="90" t="s">
        <v>294</v>
      </c>
      <c r="F63" s="93">
        <f>B11/(B21+1-F42)</f>
        <v>0</v>
      </c>
      <c r="G63" s="93">
        <f>IF(F63&gt;F62,F63,F64/($B$21+1-G42))</f>
        <v>0</v>
      </c>
      <c r="H63" s="93">
        <f>IF(G63&gt;G62,G63,G64/($B$21+1-H42))</f>
        <v>0</v>
      </c>
      <c r="I63" s="93">
        <f t="shared" ref="I63:Y63" si="10">IF(H63&gt;H62,H63,H64/($B$21+1-I42))</f>
        <v>0</v>
      </c>
      <c r="J63" s="93">
        <f t="shared" si="10"/>
        <v>0</v>
      </c>
      <c r="K63" s="93">
        <f t="shared" si="10"/>
        <v>0</v>
      </c>
      <c r="L63" s="93">
        <f t="shared" si="10"/>
        <v>0</v>
      </c>
      <c r="M63" s="93">
        <f t="shared" si="10"/>
        <v>0</v>
      </c>
      <c r="N63" s="93">
        <f>IF(M63&gt;M62,M63,M64/($B$21+1-N42))</f>
        <v>0</v>
      </c>
      <c r="O63" s="93">
        <f t="shared" si="10"/>
        <v>0</v>
      </c>
      <c r="P63" s="93">
        <f t="shared" si="10"/>
        <v>0</v>
      </c>
      <c r="Q63" s="93">
        <f t="shared" si="10"/>
        <v>0</v>
      </c>
      <c r="R63" s="93">
        <f t="shared" si="10"/>
        <v>0</v>
      </c>
      <c r="S63" s="93">
        <f t="shared" si="10"/>
        <v>0</v>
      </c>
      <c r="T63" s="93">
        <f t="shared" si="10"/>
        <v>0</v>
      </c>
      <c r="U63" s="93">
        <f t="shared" si="10"/>
        <v>0</v>
      </c>
      <c r="V63" s="93">
        <f t="shared" si="10"/>
        <v>0</v>
      </c>
      <c r="W63" s="93">
        <f t="shared" si="10"/>
        <v>0</v>
      </c>
      <c r="X63" s="93">
        <f t="shared" si="10"/>
        <v>0</v>
      </c>
      <c r="Y63" s="93">
        <f t="shared" si="10"/>
        <v>0</v>
      </c>
      <c r="Z63" s="93"/>
      <c r="AA63" s="93"/>
      <c r="AB63" s="93"/>
      <c r="AC63" s="93"/>
      <c r="AD63" s="93"/>
      <c r="AE63" s="93"/>
      <c r="AF63" s="93"/>
      <c r="AG63" s="93"/>
      <c r="AH63" s="93"/>
      <c r="AI63" s="93"/>
    </row>
    <row r="64" spans="1:69">
      <c r="A64" s="90" t="s">
        <v>292</v>
      </c>
      <c r="F64" s="93">
        <f>B11-B15-F62</f>
        <v>0</v>
      </c>
      <c r="G64" s="93">
        <f>F64-G62</f>
        <v>0</v>
      </c>
      <c r="H64" s="93">
        <f>G64-H62</f>
        <v>0</v>
      </c>
      <c r="I64" s="93">
        <f t="shared" ref="I64:Y64" si="11">H64-I62</f>
        <v>0</v>
      </c>
      <c r="J64" s="93">
        <f t="shared" si="11"/>
        <v>0</v>
      </c>
      <c r="K64" s="93">
        <f t="shared" si="11"/>
        <v>0</v>
      </c>
      <c r="L64" s="93">
        <f t="shared" si="11"/>
        <v>0</v>
      </c>
      <c r="M64" s="93">
        <f t="shared" si="11"/>
        <v>0</v>
      </c>
      <c r="N64" s="93">
        <f>M64-N62</f>
        <v>0</v>
      </c>
      <c r="O64" s="93">
        <f t="shared" si="11"/>
        <v>0</v>
      </c>
      <c r="P64" s="93">
        <f t="shared" si="11"/>
        <v>0</v>
      </c>
      <c r="Q64" s="93">
        <f t="shared" si="11"/>
        <v>0</v>
      </c>
      <c r="R64" s="93">
        <f t="shared" si="11"/>
        <v>0</v>
      </c>
      <c r="S64" s="93">
        <f t="shared" si="11"/>
        <v>0</v>
      </c>
      <c r="T64" s="93">
        <f t="shared" si="11"/>
        <v>0</v>
      </c>
      <c r="U64" s="93">
        <f t="shared" si="11"/>
        <v>0</v>
      </c>
      <c r="V64" s="93">
        <f t="shared" si="11"/>
        <v>0</v>
      </c>
      <c r="W64" s="93">
        <f t="shared" si="11"/>
        <v>0</v>
      </c>
      <c r="X64" s="93">
        <f t="shared" si="11"/>
        <v>0</v>
      </c>
      <c r="Y64" s="93">
        <f t="shared" si="11"/>
        <v>0</v>
      </c>
      <c r="Z64" s="93"/>
      <c r="AA64" s="93"/>
      <c r="AB64" s="93"/>
      <c r="AC64" s="93"/>
      <c r="AD64" s="93"/>
      <c r="AE64" s="93"/>
      <c r="AF64" s="93"/>
      <c r="AG64" s="93"/>
      <c r="AH64" s="93"/>
      <c r="AI64" s="93"/>
    </row>
    <row r="65" spans="1:37" ht="0.75" customHeight="1">
      <c r="A65" s="90" t="s">
        <v>293</v>
      </c>
      <c r="F65" s="93">
        <f t="shared" ref="F65:Y65" si="12">IF(F63&gt;F62,F63,F62)</f>
        <v>0</v>
      </c>
      <c r="G65" s="93">
        <f t="shared" si="12"/>
        <v>0</v>
      </c>
      <c r="H65" s="93">
        <f t="shared" si="12"/>
        <v>0</v>
      </c>
      <c r="I65" s="93">
        <f t="shared" si="12"/>
        <v>0</v>
      </c>
      <c r="J65" s="93">
        <f t="shared" si="12"/>
        <v>0</v>
      </c>
      <c r="K65" s="93">
        <f t="shared" si="12"/>
        <v>0</v>
      </c>
      <c r="L65" s="93">
        <f t="shared" si="12"/>
        <v>0</v>
      </c>
      <c r="M65" s="93">
        <f t="shared" si="12"/>
        <v>0</v>
      </c>
      <c r="N65" s="93">
        <f t="shared" si="12"/>
        <v>0</v>
      </c>
      <c r="O65" s="93">
        <f t="shared" si="12"/>
        <v>0</v>
      </c>
      <c r="P65" s="93">
        <f t="shared" si="12"/>
        <v>0</v>
      </c>
      <c r="Q65" s="93">
        <f t="shared" si="12"/>
        <v>0</v>
      </c>
      <c r="R65" s="93">
        <f t="shared" si="12"/>
        <v>0</v>
      </c>
      <c r="S65" s="93">
        <f t="shared" si="12"/>
        <v>0</v>
      </c>
      <c r="T65" s="93">
        <f t="shared" si="12"/>
        <v>0</v>
      </c>
      <c r="U65" s="93">
        <f t="shared" si="12"/>
        <v>0</v>
      </c>
      <c r="V65" s="93">
        <f t="shared" si="12"/>
        <v>0</v>
      </c>
      <c r="W65" s="93">
        <f t="shared" si="12"/>
        <v>0</v>
      </c>
      <c r="X65" s="93">
        <f t="shared" si="12"/>
        <v>0</v>
      </c>
      <c r="Y65" s="93">
        <f t="shared" si="12"/>
        <v>0</v>
      </c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>
        <f>SUM(F65:AI65)*0</f>
        <v>0</v>
      </c>
      <c r="AK65" s="93"/>
    </row>
    <row r="66" spans="1:37">
      <c r="A66" s="90" t="s">
        <v>295</v>
      </c>
      <c r="F66" s="93">
        <f t="shared" ref="F66:Y66" si="13">F50-F54-F60-F65-F46</f>
        <v>1641925.0355624137</v>
      </c>
      <c r="G66" s="93">
        <f t="shared" si="13"/>
        <v>6913692.2068358157</v>
      </c>
      <c r="H66" s="93">
        <f t="shared" si="13"/>
        <v>8119128.0082669575</v>
      </c>
      <c r="I66" s="93">
        <f t="shared" si="13"/>
        <v>9004240.200471824</v>
      </c>
      <c r="J66" s="93">
        <f t="shared" si="13"/>
        <v>9420294.0207495615</v>
      </c>
      <c r="K66" s="93">
        <f t="shared" si="13"/>
        <v>9503248.1305113025</v>
      </c>
      <c r="L66" s="93">
        <f t="shared" si="13"/>
        <v>9592423.7985051759</v>
      </c>
      <c r="M66" s="93">
        <f t="shared" si="13"/>
        <v>11382723.674328007</v>
      </c>
      <c r="N66" s="93">
        <f t="shared" si="13"/>
        <v>11485777.305653425</v>
      </c>
      <c r="O66" s="93">
        <f t="shared" si="13"/>
        <v>11596559.959328251</v>
      </c>
      <c r="P66" s="93">
        <f t="shared" si="13"/>
        <v>11715651.312028687</v>
      </c>
      <c r="Q66" s="93">
        <f t="shared" si="13"/>
        <v>11715651.312028687</v>
      </c>
      <c r="R66" s="93">
        <f t="shared" si="13"/>
        <v>11715651.312028687</v>
      </c>
      <c r="S66" s="93">
        <f t="shared" si="13"/>
        <v>11715651.312028687</v>
      </c>
      <c r="T66" s="93">
        <f t="shared" si="13"/>
        <v>11715651.312028687</v>
      </c>
      <c r="U66" s="93">
        <f t="shared" si="13"/>
        <v>11715651.312028687</v>
      </c>
      <c r="V66" s="93">
        <f t="shared" si="13"/>
        <v>11715651.312028687</v>
      </c>
      <c r="W66" s="93">
        <f t="shared" si="13"/>
        <v>11715651.312028687</v>
      </c>
      <c r="X66" s="93">
        <f t="shared" si="13"/>
        <v>11715651.312028687</v>
      </c>
      <c r="Y66" s="93">
        <f t="shared" si="13"/>
        <v>11715651.312028687</v>
      </c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</row>
    <row r="67" spans="1:37">
      <c r="A67" s="90" t="s">
        <v>296</v>
      </c>
      <c r="F67" s="93"/>
      <c r="G67" s="93">
        <f>IF(F68&lt;0,F68,0)</f>
        <v>0</v>
      </c>
      <c r="H67" s="93">
        <f>IF(G68&lt;0,G68,0)</f>
        <v>0</v>
      </c>
      <c r="I67" s="93">
        <f t="shared" ref="I67:Y67" si="14">IF(H68&lt;0,H68,0)</f>
        <v>0</v>
      </c>
      <c r="J67" s="93">
        <f t="shared" si="14"/>
        <v>0</v>
      </c>
      <c r="K67" s="93">
        <f t="shared" si="14"/>
        <v>0</v>
      </c>
      <c r="L67" s="93">
        <f t="shared" si="14"/>
        <v>0</v>
      </c>
      <c r="M67" s="93">
        <f t="shared" si="14"/>
        <v>0</v>
      </c>
      <c r="N67" s="93">
        <f>IF(M68&lt;0,M68,0)</f>
        <v>0</v>
      </c>
      <c r="O67" s="93">
        <f t="shared" si="14"/>
        <v>0</v>
      </c>
      <c r="P67" s="93">
        <f t="shared" si="14"/>
        <v>0</v>
      </c>
      <c r="Q67" s="93">
        <f t="shared" si="14"/>
        <v>0</v>
      </c>
      <c r="R67" s="93">
        <f t="shared" si="14"/>
        <v>0</v>
      </c>
      <c r="S67" s="93">
        <f t="shared" si="14"/>
        <v>0</v>
      </c>
      <c r="T67" s="93">
        <f t="shared" si="14"/>
        <v>0</v>
      </c>
      <c r="U67" s="93">
        <f t="shared" si="14"/>
        <v>0</v>
      </c>
      <c r="V67" s="93">
        <f t="shared" si="14"/>
        <v>0</v>
      </c>
      <c r="W67" s="93">
        <f t="shared" si="14"/>
        <v>0</v>
      </c>
      <c r="X67" s="93">
        <f t="shared" si="14"/>
        <v>0</v>
      </c>
      <c r="Y67" s="93">
        <f t="shared" si="14"/>
        <v>0</v>
      </c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</row>
    <row r="68" spans="1:37">
      <c r="A68" s="90" t="s">
        <v>297</v>
      </c>
      <c r="F68" s="93">
        <f t="shared" ref="F68:Y68" si="15">F66+F67</f>
        <v>1641925.0355624137</v>
      </c>
      <c r="G68" s="93">
        <f t="shared" si="15"/>
        <v>6913692.2068358157</v>
      </c>
      <c r="H68" s="93">
        <f t="shared" si="15"/>
        <v>8119128.0082669575</v>
      </c>
      <c r="I68" s="93">
        <f t="shared" si="15"/>
        <v>9004240.200471824</v>
      </c>
      <c r="J68" s="93">
        <f t="shared" si="15"/>
        <v>9420294.0207495615</v>
      </c>
      <c r="K68" s="93">
        <f t="shared" si="15"/>
        <v>9503248.1305113025</v>
      </c>
      <c r="L68" s="93">
        <f t="shared" si="15"/>
        <v>9592423.7985051759</v>
      </c>
      <c r="M68" s="93">
        <f t="shared" si="15"/>
        <v>11382723.674328007</v>
      </c>
      <c r="N68" s="93">
        <f t="shared" si="15"/>
        <v>11485777.305653425</v>
      </c>
      <c r="O68" s="93">
        <f t="shared" si="15"/>
        <v>11596559.959328251</v>
      </c>
      <c r="P68" s="93">
        <f t="shared" si="15"/>
        <v>11715651.312028687</v>
      </c>
      <c r="Q68" s="93">
        <f t="shared" si="15"/>
        <v>11715651.312028687</v>
      </c>
      <c r="R68" s="93">
        <f t="shared" si="15"/>
        <v>11715651.312028687</v>
      </c>
      <c r="S68" s="93">
        <f t="shared" si="15"/>
        <v>11715651.312028687</v>
      </c>
      <c r="T68" s="93">
        <f t="shared" si="15"/>
        <v>11715651.312028687</v>
      </c>
      <c r="U68" s="93">
        <f t="shared" si="15"/>
        <v>11715651.312028687</v>
      </c>
      <c r="V68" s="93">
        <f t="shared" si="15"/>
        <v>11715651.312028687</v>
      </c>
      <c r="W68" s="93">
        <f t="shared" si="15"/>
        <v>11715651.312028687</v>
      </c>
      <c r="X68" s="93">
        <f t="shared" si="15"/>
        <v>11715651.312028687</v>
      </c>
      <c r="Y68" s="93">
        <f t="shared" si="15"/>
        <v>11715651.312028687</v>
      </c>
      <c r="Z68" s="93"/>
      <c r="AA68" s="93"/>
      <c r="AB68" s="93"/>
      <c r="AC68" s="93"/>
      <c r="AD68" s="93"/>
      <c r="AE68" s="93"/>
      <c r="AF68" s="93"/>
      <c r="AG68" s="93"/>
      <c r="AH68" s="93"/>
      <c r="AI68" s="93"/>
    </row>
    <row r="69" spans="1:37" s="121" customFormat="1" ht="18" thickBot="1">
      <c r="A69" s="121" t="s">
        <v>28</v>
      </c>
      <c r="F69" s="122">
        <f t="shared" ref="F69:Y69" si="16">IF(F68*($B$31)&lt;0,0,F68*$B$31)</f>
        <v>344804.25746810687</v>
      </c>
      <c r="G69" s="122">
        <f t="shared" si="16"/>
        <v>1451875.3634355213</v>
      </c>
      <c r="H69" s="122">
        <f t="shared" si="16"/>
        <v>1705016.8817360611</v>
      </c>
      <c r="I69" s="122">
        <f t="shared" si="16"/>
        <v>1890890.442099083</v>
      </c>
      <c r="J69" s="122">
        <f t="shared" si="16"/>
        <v>1978261.7443574078</v>
      </c>
      <c r="K69" s="122">
        <f t="shared" si="16"/>
        <v>1995682.1074073734</v>
      </c>
      <c r="L69" s="122">
        <f t="shared" si="16"/>
        <v>2014408.9976860869</v>
      </c>
      <c r="M69" s="122">
        <f t="shared" si="16"/>
        <v>2390371.9716088814</v>
      </c>
      <c r="N69" s="122">
        <f t="shared" si="16"/>
        <v>2412013.2341872193</v>
      </c>
      <c r="O69" s="122">
        <f t="shared" si="16"/>
        <v>2435277.5914589325</v>
      </c>
      <c r="P69" s="122">
        <f t="shared" si="16"/>
        <v>2460286.7755260244</v>
      </c>
      <c r="Q69" s="122">
        <f t="shared" si="16"/>
        <v>2460286.7755260244</v>
      </c>
      <c r="R69" s="122">
        <f t="shared" si="16"/>
        <v>2460286.7755260244</v>
      </c>
      <c r="S69" s="122">
        <f t="shared" si="16"/>
        <v>2460286.7755260244</v>
      </c>
      <c r="T69" s="122">
        <f t="shared" si="16"/>
        <v>2460286.7755260244</v>
      </c>
      <c r="U69" s="122">
        <f t="shared" si="16"/>
        <v>2460286.7755260244</v>
      </c>
      <c r="V69" s="122">
        <f t="shared" si="16"/>
        <v>2460286.7755260244</v>
      </c>
      <c r="W69" s="122">
        <f t="shared" si="16"/>
        <v>2460286.7755260244</v>
      </c>
      <c r="X69" s="122">
        <f t="shared" si="16"/>
        <v>2460286.7755260244</v>
      </c>
      <c r="Y69" s="122">
        <f t="shared" si="16"/>
        <v>2460286.7755260244</v>
      </c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 t="s">
        <v>277</v>
      </c>
      <c r="AK69" s="122" t="s">
        <v>277</v>
      </c>
    </row>
    <row r="70" spans="1:37">
      <c r="A70" s="90" t="s">
        <v>298</v>
      </c>
      <c r="F70" s="93">
        <f t="shared" ref="F70:Y70" si="17">F50-F54-F69-F45</f>
        <v>6048345.3288428057</v>
      </c>
      <c r="G70" s="93">
        <f t="shared" si="17"/>
        <v>8556799.8932202365</v>
      </c>
      <c r="H70" s="93">
        <f t="shared" si="17"/>
        <v>8303658.3749196976</v>
      </c>
      <c r="I70" s="93">
        <f t="shared" si="17"/>
        <v>8117784.814556675</v>
      </c>
      <c r="J70" s="93">
        <f t="shared" si="17"/>
        <v>8030413.5122983512</v>
      </c>
      <c r="K70" s="93">
        <f t="shared" si="17"/>
        <v>8012993.1492483858</v>
      </c>
      <c r="L70" s="93">
        <f t="shared" si="17"/>
        <v>7994266.258969672</v>
      </c>
      <c r="M70" s="93">
        <f t="shared" si="17"/>
        <v>7618303.2850468773</v>
      </c>
      <c r="N70" s="93">
        <f t="shared" si="17"/>
        <v>7596662.022468539</v>
      </c>
      <c r="O70" s="93">
        <f t="shared" si="17"/>
        <v>7573397.6651968267</v>
      </c>
      <c r="P70" s="93">
        <f t="shared" si="17"/>
        <v>9255364.536502663</v>
      </c>
      <c r="Q70" s="93">
        <f t="shared" si="17"/>
        <v>9255364.536502663</v>
      </c>
      <c r="R70" s="93">
        <f t="shared" si="17"/>
        <v>9255364.536502663</v>
      </c>
      <c r="S70" s="93">
        <f t="shared" si="17"/>
        <v>9255364.536502663</v>
      </c>
      <c r="T70" s="93">
        <f t="shared" si="17"/>
        <v>9255364.536502663</v>
      </c>
      <c r="U70" s="93">
        <f t="shared" si="17"/>
        <v>9255364.536502663</v>
      </c>
      <c r="V70" s="93">
        <f t="shared" si="17"/>
        <v>9255364.536502663</v>
      </c>
      <c r="W70" s="93">
        <f t="shared" si="17"/>
        <v>9255364.536502663</v>
      </c>
      <c r="X70" s="93">
        <f t="shared" si="17"/>
        <v>9255364.536502663</v>
      </c>
      <c r="Y70" s="93">
        <f t="shared" si="17"/>
        <v>9255364.536502663</v>
      </c>
      <c r="Z70" s="93"/>
      <c r="AA70" s="93"/>
      <c r="AB70" s="93"/>
      <c r="AC70" s="93"/>
      <c r="AD70" s="93"/>
      <c r="AE70" s="93"/>
      <c r="AF70" s="93"/>
      <c r="AG70" s="93"/>
      <c r="AH70" s="93"/>
      <c r="AI70" s="93"/>
    </row>
    <row r="71" spans="1:37">
      <c r="A71" s="90" t="s">
        <v>299</v>
      </c>
      <c r="C71" s="90">
        <f t="shared" ref="C71:Y71" si="18">1/(1+$B$30)^C42</f>
        <v>1.2100000000000002</v>
      </c>
      <c r="D71" s="90">
        <f t="shared" si="18"/>
        <v>1.1000000000000001</v>
      </c>
      <c r="E71" s="90">
        <f t="shared" si="18"/>
        <v>1</v>
      </c>
      <c r="F71" s="90">
        <f t="shared" si="18"/>
        <v>0.90909090909090906</v>
      </c>
      <c r="G71" s="90">
        <f t="shared" si="18"/>
        <v>0.82644628099173545</v>
      </c>
      <c r="H71" s="90">
        <f t="shared" si="18"/>
        <v>0.75131480090157754</v>
      </c>
      <c r="I71" s="90">
        <f t="shared" si="18"/>
        <v>0.68301345536507052</v>
      </c>
      <c r="J71" s="90">
        <f t="shared" si="18"/>
        <v>0.62092132305915493</v>
      </c>
      <c r="K71" s="90">
        <f t="shared" si="18"/>
        <v>0.56447393005377722</v>
      </c>
      <c r="L71" s="90">
        <f t="shared" si="18"/>
        <v>0.51315811823070645</v>
      </c>
      <c r="M71" s="90">
        <f t="shared" si="18"/>
        <v>0.46650738020973315</v>
      </c>
      <c r="N71" s="90">
        <f t="shared" si="18"/>
        <v>0.42409761837248466</v>
      </c>
      <c r="O71" s="90">
        <f t="shared" si="18"/>
        <v>0.38554328942953148</v>
      </c>
      <c r="P71" s="90">
        <f t="shared" si="18"/>
        <v>0.3504938994813922</v>
      </c>
      <c r="Q71" s="90">
        <f t="shared" si="18"/>
        <v>0.31863081771035656</v>
      </c>
      <c r="R71" s="90">
        <f t="shared" si="18"/>
        <v>0.28966437973668779</v>
      </c>
      <c r="S71" s="90">
        <f t="shared" si="18"/>
        <v>0.26333125430607973</v>
      </c>
      <c r="T71" s="90">
        <f t="shared" si="18"/>
        <v>0.23939204936916339</v>
      </c>
      <c r="U71" s="90">
        <f t="shared" si="18"/>
        <v>0.21762913579014853</v>
      </c>
      <c r="V71" s="90">
        <f t="shared" si="18"/>
        <v>0.19784466890013502</v>
      </c>
      <c r="W71" s="90">
        <f t="shared" si="18"/>
        <v>0.17985878990921364</v>
      </c>
      <c r="X71" s="90">
        <f t="shared" si="18"/>
        <v>0.16350799082655781</v>
      </c>
      <c r="Y71" s="90">
        <f t="shared" si="18"/>
        <v>0.14864362802414349</v>
      </c>
    </row>
    <row r="72" spans="1:37">
      <c r="A72" s="90" t="s">
        <v>300</v>
      </c>
      <c r="B72" s="93">
        <f>SUM(F72:AI72)</f>
        <v>69586673.1198176</v>
      </c>
      <c r="F72" s="93">
        <f t="shared" ref="F72:Y72" si="19">F71*F70</f>
        <v>5498495.7534934599</v>
      </c>
      <c r="G72" s="93">
        <f t="shared" si="19"/>
        <v>7071735.4489423437</v>
      </c>
      <c r="H72" s="93">
        <f t="shared" si="19"/>
        <v>6238661.4387075091</v>
      </c>
      <c r="I72" s="93">
        <f t="shared" si="19"/>
        <v>5544556.2561004525</v>
      </c>
      <c r="J72" s="93">
        <f t="shared" si="19"/>
        <v>4986254.9827684071</v>
      </c>
      <c r="K72" s="93">
        <f t="shared" si="19"/>
        <v>4523125.7344502294</v>
      </c>
      <c r="L72" s="93">
        <f t="shared" si="19"/>
        <v>4102322.6300881063</v>
      </c>
      <c r="M72" s="93">
        <f t="shared" si="19"/>
        <v>3553994.7071504225</v>
      </c>
      <c r="N72" s="93">
        <f t="shared" si="19"/>
        <v>3221726.27130961</v>
      </c>
      <c r="O72" s="93">
        <f t="shared" si="19"/>
        <v>2919872.6479979181</v>
      </c>
      <c r="P72" s="93">
        <f t="shared" si="19"/>
        <v>3243948.8075206066</v>
      </c>
      <c r="Q72" s="93">
        <f t="shared" si="19"/>
        <v>2949044.3704732787</v>
      </c>
      <c r="R72" s="93">
        <f t="shared" si="19"/>
        <v>2680949.4277029806</v>
      </c>
      <c r="S72" s="93">
        <f t="shared" si="19"/>
        <v>2437226.7524572546</v>
      </c>
      <c r="T72" s="93">
        <f t="shared" si="19"/>
        <v>2215660.6840520496</v>
      </c>
      <c r="U72" s="93">
        <f t="shared" si="19"/>
        <v>2014236.9855018631</v>
      </c>
      <c r="V72" s="93">
        <f t="shared" si="19"/>
        <v>1831124.5322744211</v>
      </c>
      <c r="W72" s="93">
        <f t="shared" si="19"/>
        <v>1664658.6657040189</v>
      </c>
      <c r="X72" s="93">
        <f t="shared" si="19"/>
        <v>1513326.0597309258</v>
      </c>
      <c r="Y72" s="93">
        <f t="shared" si="19"/>
        <v>1375750.9633917511</v>
      </c>
      <c r="Z72" s="93"/>
      <c r="AA72" s="93"/>
      <c r="AB72" s="93"/>
      <c r="AC72" s="93"/>
      <c r="AD72" s="93"/>
      <c r="AE72" s="93"/>
      <c r="AF72" s="93"/>
      <c r="AG72" s="93"/>
      <c r="AH72" s="93"/>
      <c r="AI72" s="93"/>
    </row>
    <row r="73" spans="1:37">
      <c r="A73" s="90" t="s">
        <v>301</v>
      </c>
      <c r="B73" s="93"/>
      <c r="C73" s="93">
        <f>(C43+C46)*C71</f>
        <v>1975378.0490668402</v>
      </c>
      <c r="D73" s="93">
        <f>(D43+D46)*D71</f>
        <v>13545817.722287402</v>
      </c>
      <c r="E73" s="93">
        <f>(E43+E46+E44)*E71</f>
        <v>10056938.740850002</v>
      </c>
      <c r="G73" s="93" t="s">
        <v>277</v>
      </c>
      <c r="Y73" s="92">
        <f>(Y43+Y46+Y44)*Y71</f>
        <v>-435407.72657956474</v>
      </c>
      <c r="AI73" s="92"/>
    </row>
    <row r="74" spans="1:37">
      <c r="A74" s="90" t="s">
        <v>271</v>
      </c>
      <c r="E74" s="93">
        <f>B72-SUM(B73:Y73)</f>
        <v>44443946.334192917</v>
      </c>
      <c r="G74" s="93"/>
    </row>
    <row r="75" spans="1:37">
      <c r="F75" s="93">
        <f>SUM($F$72:F72)-SUM($C$43:$E$43)</f>
        <v>-14029540.636506541</v>
      </c>
      <c r="G75" s="93">
        <f>SUM($F$72:G72)-SUM($C$43:$E$43)</f>
        <v>-6957805.1875641979</v>
      </c>
      <c r="H75" s="93">
        <f>SUM($F$72:H72)-SUM($C$43:$E$43)</f>
        <v>-719143.74885668978</v>
      </c>
      <c r="I75" s="93">
        <f>SUM($F$72:I72)-SUM($C$43:$E$43)</f>
        <v>4825412.5072437637</v>
      </c>
      <c r="J75" s="93">
        <f>SUM($F$72:J72)-SUM($C$43:$E$43)</f>
        <v>9811667.4900121689</v>
      </c>
      <c r="K75" s="93">
        <f>SUM($F$72:K72)-SUM($C$43:$E$43)</f>
        <v>14334793.224462397</v>
      </c>
      <c r="L75" s="93">
        <f>SUM($F$72:L72)-SUM($C$43:$E$43)</f>
        <v>18437115.854550503</v>
      </c>
      <c r="M75" s="93">
        <f>SUM($F$72:M72)-SUM($C$43:$E$43)</f>
        <v>21991110.561700925</v>
      </c>
      <c r="N75" s="93">
        <f>SUM($F$72:N72)-SUM($C$43:$E$43)</f>
        <v>25212836.833010532</v>
      </c>
      <c r="O75" s="93">
        <f>SUM($F$72:O72)-SUM($C$43:$E$43)</f>
        <v>28132709.481008448</v>
      </c>
      <c r="P75" s="93">
        <f>SUM($F$72:P72)-SUM($C$43:$E$43)</f>
        <v>31376658.288529053</v>
      </c>
      <c r="Q75" s="93">
        <f>SUM($F$72:Q72)-SUM($C$43:$E$43)</f>
        <v>34325702.659002334</v>
      </c>
      <c r="R75" s="93">
        <f>SUM($F$72:R72)-SUM($C$43:$E$43)</f>
        <v>37006652.086705312</v>
      </c>
      <c r="S75" s="93">
        <f>SUM($F$72:S72)-SUM($C$43:$E$43)</f>
        <v>39443878.839162566</v>
      </c>
      <c r="T75" s="93">
        <f>SUM($F$72:T72)-SUM($C$43:$E$43)</f>
        <v>41659539.523214616</v>
      </c>
      <c r="U75" s="93">
        <f>SUM($F$72:U72)-SUM($C$43:$E$43)</f>
        <v>43673776.508716479</v>
      </c>
      <c r="V75" s="93">
        <f>SUM($F$72:V72)-SUM($C$43:$E$43)</f>
        <v>45504901.040990897</v>
      </c>
      <c r="W75" s="93">
        <f>SUM($F$72:W72)-SUM($C$43:$E$43)</f>
        <v>47169559.706694916</v>
      </c>
      <c r="X75" s="93">
        <f>SUM($F$72:X72)-SUM($C$43:$E$43)</f>
        <v>48682885.766425848</v>
      </c>
      <c r="Y75" s="93">
        <f>SUM($F$72:Y72)-SUM($C$43:$E$43)</f>
        <v>50058636.729817599</v>
      </c>
      <c r="Z75" s="93"/>
      <c r="AA75" s="93"/>
      <c r="AB75" s="93"/>
      <c r="AC75" s="93"/>
      <c r="AD75" s="93"/>
      <c r="AE75" s="93"/>
      <c r="AF75" s="93"/>
      <c r="AG75" s="93"/>
      <c r="AH75" s="93"/>
      <c r="AI75" s="93"/>
    </row>
    <row r="76" spans="1:37">
      <c r="G76" s="93" t="s">
        <v>277</v>
      </c>
    </row>
    <row r="77" spans="1:37">
      <c r="B77" s="92"/>
      <c r="F77" s="90" t="s">
        <v>302</v>
      </c>
      <c r="G77" s="93"/>
    </row>
    <row r="78" spans="1:37">
      <c r="F78" s="90" t="s">
        <v>303</v>
      </c>
      <c r="G78" s="93"/>
    </row>
    <row r="79" spans="1:37">
      <c r="F79" s="90" t="s">
        <v>304</v>
      </c>
      <c r="G79" s="93"/>
    </row>
    <row r="80" spans="1:37">
      <c r="F80" s="90" t="s">
        <v>305</v>
      </c>
      <c r="G80" s="93"/>
    </row>
    <row r="81" spans="1:35">
      <c r="G81" s="93" t="s">
        <v>277</v>
      </c>
    </row>
    <row r="82" spans="1:35">
      <c r="A82" s="90" t="s">
        <v>306</v>
      </c>
      <c r="B82" s="93">
        <f>SUM(F82:AI82)</f>
        <v>16379800.405046238</v>
      </c>
      <c r="C82" s="93"/>
      <c r="D82" s="93"/>
      <c r="E82" s="93"/>
      <c r="F82" s="93">
        <f t="shared" ref="F82:Y82" si="20">F69*F71</f>
        <v>313458.41588009713</v>
      </c>
      <c r="G82" s="93">
        <f t="shared" si="20"/>
        <v>1199896.9945748108</v>
      </c>
      <c r="H82" s="93">
        <f t="shared" si="20"/>
        <v>1281004.4190353572</v>
      </c>
      <c r="I82" s="93">
        <f t="shared" si="20"/>
        <v>1291503.6145748806</v>
      </c>
      <c r="J82" s="93">
        <f t="shared" si="20"/>
        <v>1228344.8996637133</v>
      </c>
      <c r="K82" s="93">
        <f t="shared" si="20"/>
        <v>1126510.5223062444</v>
      </c>
      <c r="L82" s="93">
        <f t="shared" si="20"/>
        <v>1033710.3305995959</v>
      </c>
      <c r="M82" s="93">
        <f t="shared" si="20"/>
        <v>1115126.1662020339</v>
      </c>
      <c r="N82" s="93">
        <f t="shared" si="20"/>
        <v>1022929.0681017138</v>
      </c>
      <c r="O82" s="93">
        <f t="shared" si="20"/>
        <v>938904.93328510353</v>
      </c>
      <c r="P82" s="93">
        <f t="shared" si="20"/>
        <v>862315.5057966169</v>
      </c>
      <c r="Q82" s="93">
        <f t="shared" si="20"/>
        <v>783923.18708783365</v>
      </c>
      <c r="R82" s="93">
        <f t="shared" si="20"/>
        <v>712657.44280712144</v>
      </c>
      <c r="S82" s="93">
        <f t="shared" si="20"/>
        <v>647870.40255192842</v>
      </c>
      <c r="T82" s="93">
        <f t="shared" si="20"/>
        <v>588973.09322902584</v>
      </c>
      <c r="U82" s="93">
        <f t="shared" si="20"/>
        <v>535430.08475365979</v>
      </c>
      <c r="V82" s="93">
        <f t="shared" si="20"/>
        <v>486754.62250332709</v>
      </c>
      <c r="W82" s="93">
        <f t="shared" si="20"/>
        <v>442504.20227575186</v>
      </c>
      <c r="X82" s="92">
        <f t="shared" si="20"/>
        <v>402276.5475234107</v>
      </c>
      <c r="Y82" s="92">
        <f t="shared" si="20"/>
        <v>365705.9522940098</v>
      </c>
      <c r="Z82" s="92"/>
      <c r="AA82" s="92"/>
      <c r="AB82" s="92"/>
      <c r="AC82" s="92"/>
      <c r="AD82" s="92"/>
      <c r="AE82" s="92"/>
      <c r="AF82" s="92"/>
      <c r="AG82" s="92"/>
      <c r="AH82" s="92"/>
      <c r="AI82" s="92"/>
    </row>
    <row r="83" spans="1:35">
      <c r="A83" s="90" t="s">
        <v>307</v>
      </c>
      <c r="B83" s="93">
        <f>SUM(F83:AI83)</f>
        <v>10132049.608095044</v>
      </c>
      <c r="C83" s="93"/>
      <c r="D83" s="93"/>
      <c r="E83" s="93"/>
      <c r="F83" s="93">
        <f t="shared" ref="F83:Y83" si="21">F48*F71</f>
        <v>833692.13658408646</v>
      </c>
      <c r="G83" s="93">
        <f t="shared" si="21"/>
        <v>1010535.923132226</v>
      </c>
      <c r="H83" s="93">
        <f t="shared" si="21"/>
        <v>918669.02102929621</v>
      </c>
      <c r="I83" s="93">
        <f t="shared" si="21"/>
        <v>835153.65548117843</v>
      </c>
      <c r="J83" s="93">
        <f t="shared" si="21"/>
        <v>759230.59589198022</v>
      </c>
      <c r="K83" s="93">
        <f t="shared" si="21"/>
        <v>690209.63262907299</v>
      </c>
      <c r="L83" s="93">
        <f t="shared" si="21"/>
        <v>627463.30239006621</v>
      </c>
      <c r="M83" s="93">
        <f t="shared" si="21"/>
        <v>570421.18399096932</v>
      </c>
      <c r="N83" s="93">
        <f t="shared" si="21"/>
        <v>518564.71271906298</v>
      </c>
      <c r="O83" s="93">
        <f t="shared" si="21"/>
        <v>471422.46610823902</v>
      </c>
      <c r="P83" s="93">
        <f t="shared" si="21"/>
        <v>428565.87828021724</v>
      </c>
      <c r="Q83" s="93">
        <f t="shared" si="21"/>
        <v>389605.3438911066</v>
      </c>
      <c r="R83" s="93">
        <f t="shared" si="21"/>
        <v>354186.67626464239</v>
      </c>
      <c r="S83" s="93">
        <f t="shared" si="21"/>
        <v>321987.88751331111</v>
      </c>
      <c r="T83" s="93">
        <f t="shared" si="21"/>
        <v>292716.26137573738</v>
      </c>
      <c r="U83" s="93">
        <f t="shared" si="21"/>
        <v>266105.69215976127</v>
      </c>
      <c r="V83" s="93">
        <f t="shared" si="21"/>
        <v>241914.26559978296</v>
      </c>
      <c r="W83" s="93">
        <f t="shared" si="21"/>
        <v>219922.05963616632</v>
      </c>
      <c r="X83" s="92">
        <f t="shared" si="21"/>
        <v>199929.14512378752</v>
      </c>
      <c r="Y83" s="93">
        <f t="shared" si="21"/>
        <v>181753.76829435231</v>
      </c>
      <c r="Z83" s="93"/>
      <c r="AA83" s="93"/>
      <c r="AB83" s="93"/>
      <c r="AC83" s="93"/>
      <c r="AD83" s="93"/>
      <c r="AE83" s="93"/>
      <c r="AF83" s="93"/>
      <c r="AG83" s="93"/>
      <c r="AH83" s="93"/>
      <c r="AI83" s="93"/>
    </row>
    <row r="84" spans="1:35">
      <c r="G84" s="93" t="s">
        <v>277</v>
      </c>
    </row>
    <row r="85" spans="1:35">
      <c r="G85" s="93" t="s">
        <v>277</v>
      </c>
    </row>
    <row r="86" spans="1:35">
      <c r="G86" s="93" t="s">
        <v>277</v>
      </c>
    </row>
    <row r="87" spans="1:35">
      <c r="G87" s="93" t="s">
        <v>277</v>
      </c>
    </row>
    <row r="88" spans="1:35">
      <c r="G88" s="93" t="s">
        <v>277</v>
      </c>
    </row>
    <row r="89" spans="1:35">
      <c r="G89" s="93" t="s">
        <v>277</v>
      </c>
    </row>
    <row r="90" spans="1:35">
      <c r="G90" s="93" t="s">
        <v>277</v>
      </c>
    </row>
    <row r="91" spans="1:35">
      <c r="G91" s="93" t="s">
        <v>277</v>
      </c>
    </row>
    <row r="92" spans="1:35">
      <c r="G92" s="93" t="s">
        <v>277</v>
      </c>
    </row>
    <row r="93" spans="1:35">
      <c r="G93" s="93" t="s">
        <v>277</v>
      </c>
    </row>
    <row r="94" spans="1:35">
      <c r="G94" s="93" t="s">
        <v>277</v>
      </c>
    </row>
    <row r="95" spans="1:35">
      <c r="G95" s="93" t="s">
        <v>277</v>
      </c>
    </row>
    <row r="96" spans="1:35">
      <c r="G96" s="93" t="s">
        <v>277</v>
      </c>
    </row>
    <row r="97" spans="7:7">
      <c r="G97" s="93" t="s">
        <v>277</v>
      </c>
    </row>
    <row r="98" spans="7:7">
      <c r="G98" s="93" t="s">
        <v>277</v>
      </c>
    </row>
    <row r="99" spans="7:7">
      <c r="G99" s="93" t="s">
        <v>277</v>
      </c>
    </row>
    <row r="100" spans="7:7">
      <c r="G100" s="93" t="s">
        <v>277</v>
      </c>
    </row>
    <row r="101" spans="7:7">
      <c r="G101" s="93" t="s">
        <v>277</v>
      </c>
    </row>
    <row r="102" spans="7:7">
      <c r="G102" s="93" t="s">
        <v>277</v>
      </c>
    </row>
    <row r="103" spans="7:7">
      <c r="G103" s="93" t="s">
        <v>277</v>
      </c>
    </row>
    <row r="104" spans="7:7">
      <c r="G104" s="93" t="s">
        <v>277</v>
      </c>
    </row>
    <row r="105" spans="7:7">
      <c r="G105" s="93" t="s">
        <v>277</v>
      </c>
    </row>
    <row r="106" spans="7:7">
      <c r="G106" s="93" t="s">
        <v>277</v>
      </c>
    </row>
    <row r="107" spans="7:7">
      <c r="G107" s="93" t="s">
        <v>277</v>
      </c>
    </row>
    <row r="108" spans="7:7">
      <c r="G108" s="93" t="s">
        <v>277</v>
      </c>
    </row>
    <row r="109" spans="7:7">
      <c r="G109" s="93" t="s">
        <v>277</v>
      </c>
    </row>
    <row r="110" spans="7:7">
      <c r="G110" s="93" t="s">
        <v>277</v>
      </c>
    </row>
    <row r="111" spans="7:7">
      <c r="G111" s="93" t="s">
        <v>277</v>
      </c>
    </row>
    <row r="112" spans="7:7">
      <c r="G112" s="93" t="s">
        <v>277</v>
      </c>
    </row>
    <row r="113" spans="7:7">
      <c r="G113" s="93" t="s">
        <v>277</v>
      </c>
    </row>
    <row r="114" spans="7:7">
      <c r="G114" s="93" t="s">
        <v>277</v>
      </c>
    </row>
    <row r="115" spans="7:7">
      <c r="G115" s="93" t="s">
        <v>277</v>
      </c>
    </row>
    <row r="116" spans="7:7">
      <c r="G116" s="93" t="s">
        <v>277</v>
      </c>
    </row>
    <row r="117" spans="7:7">
      <c r="G117" s="93" t="s">
        <v>277</v>
      </c>
    </row>
    <row r="118" spans="7:7">
      <c r="G118" s="93" t="s">
        <v>277</v>
      </c>
    </row>
    <row r="119" spans="7:7">
      <c r="G119" s="93" t="s">
        <v>277</v>
      </c>
    </row>
    <row r="120" spans="7:7">
      <c r="G120" s="93" t="s">
        <v>277</v>
      </c>
    </row>
    <row r="121" spans="7:7">
      <c r="G121" s="93" t="s">
        <v>277</v>
      </c>
    </row>
    <row r="122" spans="7:7">
      <c r="G122" s="93" t="s">
        <v>277</v>
      </c>
    </row>
    <row r="123" spans="7:7">
      <c r="G123" s="93" t="s">
        <v>277</v>
      </c>
    </row>
    <row r="124" spans="7:7">
      <c r="G124" s="93" t="s">
        <v>277</v>
      </c>
    </row>
    <row r="125" spans="7:7">
      <c r="G125" s="93" t="s">
        <v>277</v>
      </c>
    </row>
    <row r="126" spans="7:7">
      <c r="G126" s="93" t="s">
        <v>277</v>
      </c>
    </row>
    <row r="127" spans="7:7">
      <c r="G127" s="93" t="s">
        <v>277</v>
      </c>
    </row>
  </sheetData>
  <printOptions horizontalCentered="1" gridLines="1" gridLinesSet="0"/>
  <pageMargins left="0.75" right="0.75" top="1" bottom="1" header="0.5" footer="0.5"/>
  <pageSetup scale="70" orientation="portrait" horizontalDpi="4294967292" r:id="rId1"/>
  <headerFooter>
    <oddHeader>&amp;C&amp;D&amp;R&amp;A</oddHeader>
    <oddFooter>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>
                <anchor moveWithCells="1" sizeWithCells="1">
                  <from>
                    <xdr:col>5</xdr:col>
                    <xdr:colOff>0</xdr:colOff>
                    <xdr:row>1</xdr:row>
                    <xdr:rowOff>152400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5" name="Button 5">
              <controlPr defaultSize="0" print="0" autoFill="0" autoPict="0" macro="[0]!cmd_SolveIRR_Click">
                <anchor moveWithCells="1" sizeWithCells="1">
                  <from>
                    <xdr:col>3</xdr:col>
                    <xdr:colOff>1104900</xdr:colOff>
                    <xdr:row>27</xdr:row>
                    <xdr:rowOff>76200</xdr:rowOff>
                  </from>
                  <to>
                    <xdr:col>5</xdr:col>
                    <xdr:colOff>114300</xdr:colOff>
                    <xdr:row>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6" name="Button 6">
              <controlPr defaultSize="0" print="0" autoFill="0" autoPict="0" macro="[0]!cmd_SolveProductCost_Click">
                <anchor moveWithCells="1" sizeWithCells="1">
                  <from>
                    <xdr:col>3</xdr:col>
                    <xdr:colOff>1104900</xdr:colOff>
                    <xdr:row>31</xdr:row>
                    <xdr:rowOff>76200</xdr:rowOff>
                  </from>
                  <to>
                    <xdr:col>5</xdr:col>
                    <xdr:colOff>88900</xdr:colOff>
                    <xdr:row>33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BJ86"/>
  <sheetViews>
    <sheetView topLeftCell="P27" zoomScale="90" zoomScaleNormal="90" workbookViewId="0">
      <selection activeCell="R29" sqref="R29"/>
    </sheetView>
  </sheetViews>
  <sheetFormatPr baseColWidth="10" defaultColWidth="8.83203125" defaultRowHeight="15"/>
  <cols>
    <col min="1" max="1" width="6.5" style="10" customWidth="1"/>
    <col min="2" max="2" width="32.5" style="10" customWidth="1"/>
    <col min="3" max="3" width="15" style="10" customWidth="1"/>
    <col min="4" max="4" width="16.33203125" style="10" customWidth="1"/>
    <col min="5" max="5" width="20.5" style="10" customWidth="1"/>
    <col min="6" max="6" width="12.83203125" style="10" customWidth="1"/>
    <col min="7" max="7" width="15" style="10" customWidth="1"/>
    <col min="8" max="8" width="26.5" style="10" customWidth="1"/>
    <col min="9" max="9" width="25.5" style="10" customWidth="1"/>
    <col min="10" max="10" width="27.1640625" style="10" customWidth="1"/>
    <col min="11" max="12" width="15.5" style="10" customWidth="1"/>
    <col min="13" max="13" width="11" style="10" customWidth="1"/>
    <col min="14" max="17" width="8.83203125" style="10" customWidth="1"/>
    <col min="18" max="19" width="22.5" style="10" customWidth="1"/>
    <col min="20" max="20" width="16.5" style="10" customWidth="1"/>
    <col min="21" max="21" width="8.83203125" style="10"/>
    <col min="22" max="22" width="37.5" style="10" bestFit="1" customWidth="1"/>
    <col min="23" max="25" width="8.83203125" style="10"/>
    <col min="26" max="26" width="19" style="10" customWidth="1"/>
    <col min="27" max="27" width="24.33203125" style="10" customWidth="1"/>
    <col min="28" max="28" width="15.5" style="10" customWidth="1"/>
    <col min="29" max="29" width="15.83203125" style="10" customWidth="1"/>
    <col min="30" max="30" width="18" style="10" bestFit="1" customWidth="1"/>
    <col min="31" max="33" width="15.1640625" style="10" customWidth="1"/>
    <col min="34" max="34" width="8.83203125" style="10"/>
    <col min="35" max="35" width="12.5" style="10" customWidth="1"/>
    <col min="36" max="36" width="10.83203125" style="10" bestFit="1" customWidth="1"/>
    <col min="37" max="38" width="19.83203125" style="10" customWidth="1"/>
    <col min="39" max="39" width="16.1640625" style="10" bestFit="1" customWidth="1"/>
    <col min="40" max="40" width="7.6640625" style="10" bestFit="1" customWidth="1"/>
    <col min="41" max="41" width="16.33203125" style="10" bestFit="1" customWidth="1"/>
    <col min="42" max="42" width="11.33203125" style="10" bestFit="1" customWidth="1"/>
    <col min="43" max="43" width="20.5" style="10" bestFit="1" customWidth="1"/>
    <col min="44" max="44" width="10" style="10" customWidth="1"/>
    <col min="45" max="45" width="10.6640625" style="10" bestFit="1" customWidth="1"/>
    <col min="46" max="46" width="16.33203125" style="10" bestFit="1" customWidth="1"/>
    <col min="47" max="48" width="18.5" style="10" customWidth="1"/>
    <col min="49" max="49" width="12" style="10" customWidth="1"/>
    <col min="50" max="50" width="17.1640625" style="10" bestFit="1" customWidth="1"/>
    <col min="51" max="51" width="9" style="10" bestFit="1" customWidth="1"/>
    <col min="52" max="52" width="8.83203125" style="10"/>
    <col min="53" max="53" width="15.5" style="10" customWidth="1"/>
    <col min="54" max="54" width="8.83203125" style="10"/>
    <col min="55" max="55" width="11.33203125" style="10" bestFit="1" customWidth="1"/>
    <col min="56" max="56" width="16.5" style="10" bestFit="1" customWidth="1"/>
    <col min="57" max="59" width="23.5" style="10" customWidth="1"/>
    <col min="60" max="60" width="16.1640625" style="10" bestFit="1" customWidth="1"/>
    <col min="61" max="61" width="17.1640625" style="10" bestFit="1" customWidth="1"/>
    <col min="62" max="62" width="18.33203125" style="10" bestFit="1" customWidth="1"/>
    <col min="63" max="16384" width="8.83203125" style="10"/>
  </cols>
  <sheetData>
    <row r="1" spans="1:33" ht="15.75" customHeight="1">
      <c r="A1" s="374"/>
      <c r="B1" s="312" t="s">
        <v>76</v>
      </c>
      <c r="C1" s="263">
        <f>'Operating Costs'!F17/('Mass &amp; Energy'!C3)</f>
        <v>548.29778576399997</v>
      </c>
      <c r="D1" s="374"/>
      <c r="E1" s="380" t="e">
        <f>C1/Start!B4</f>
        <v>#DIV/0!</v>
      </c>
      <c r="F1" s="374" t="s">
        <v>77</v>
      </c>
      <c r="G1" s="374"/>
      <c r="H1" s="346" t="s">
        <v>767</v>
      </c>
      <c r="I1" s="374"/>
      <c r="J1" s="374"/>
      <c r="K1" s="12"/>
      <c r="L1" s="16">
        <v>346.99799999999999</v>
      </c>
      <c r="M1" s="16">
        <v>348</v>
      </c>
      <c r="N1" s="175">
        <v>183.6</v>
      </c>
      <c r="O1" s="175">
        <v>232.5</v>
      </c>
      <c r="P1" s="253">
        <v>243</v>
      </c>
      <c r="Q1" s="374"/>
      <c r="R1" s="374" t="s">
        <v>78</v>
      </c>
      <c r="S1" s="374"/>
      <c r="T1" s="374"/>
      <c r="U1" s="374"/>
      <c r="V1" s="374"/>
    </row>
    <row r="2" spans="1:33" ht="15.75" customHeight="1">
      <c r="A2" s="374"/>
      <c r="B2" s="312" t="s">
        <v>79</v>
      </c>
      <c r="C2" s="263">
        <v>0</v>
      </c>
      <c r="D2" s="374">
        <v>3672.43</v>
      </c>
      <c r="E2" s="374" t="s">
        <v>80</v>
      </c>
      <c r="F2" s="374"/>
      <c r="G2" s="374"/>
      <c r="H2" s="346" t="s">
        <v>81</v>
      </c>
      <c r="I2" s="374"/>
      <c r="J2" s="374"/>
      <c r="K2" s="12"/>
      <c r="L2" s="381">
        <f>L1/0.6</f>
        <v>578.33000000000004</v>
      </c>
      <c r="M2" s="16">
        <v>585</v>
      </c>
      <c r="N2" s="16">
        <v>306</v>
      </c>
      <c r="O2" s="216">
        <v>387.5</v>
      </c>
      <c r="P2" s="216">
        <v>405</v>
      </c>
      <c r="Q2" s="374"/>
      <c r="R2" s="374"/>
      <c r="S2" s="374"/>
      <c r="T2" s="374"/>
      <c r="U2" s="374"/>
      <c r="V2" s="374"/>
    </row>
    <row r="3" spans="1:33" ht="15.75" customHeight="1">
      <c r="A3" s="374"/>
      <c r="B3" s="313" t="s">
        <v>82</v>
      </c>
      <c r="C3" s="382">
        <f>365*24*DCFROR!C33</f>
        <v>7446</v>
      </c>
      <c r="D3" s="374"/>
      <c r="E3" s="374"/>
      <c r="F3" s="374"/>
      <c r="G3" s="374"/>
      <c r="H3" s="346" t="s">
        <v>83</v>
      </c>
      <c r="I3" s="374"/>
      <c r="J3" s="16">
        <v>55000</v>
      </c>
      <c r="K3" s="12">
        <v>0</v>
      </c>
      <c r="L3" s="16">
        <v>20000</v>
      </c>
      <c r="M3" s="16">
        <f>18.88*1000</f>
        <v>18880</v>
      </c>
      <c r="N3" s="16">
        <v>16000</v>
      </c>
      <c r="O3" s="383">
        <f>17.02*1000</f>
        <v>17020</v>
      </c>
      <c r="P3" s="16">
        <v>17677.5</v>
      </c>
      <c r="Q3" s="16">
        <v>15000</v>
      </c>
      <c r="R3" s="374"/>
      <c r="S3" s="374"/>
      <c r="T3" s="374"/>
      <c r="U3" s="374"/>
      <c r="V3" s="374"/>
    </row>
    <row r="4" spans="1:33" ht="15.75" customHeight="1">
      <c r="A4" s="374"/>
      <c r="B4" s="313" t="s">
        <v>84</v>
      </c>
      <c r="C4" s="384">
        <f>C1*C3</f>
        <v>4082625.3127987436</v>
      </c>
      <c r="D4" s="385">
        <f>(C2+C1)*C3</f>
        <v>4082625.3127987436</v>
      </c>
      <c r="E4" s="380"/>
      <c r="F4" s="374"/>
      <c r="G4" s="374"/>
      <c r="H4" s="346" t="s">
        <v>85</v>
      </c>
      <c r="I4" s="374"/>
      <c r="J4" s="374"/>
      <c r="K4" s="12"/>
      <c r="L4" s="175">
        <f>9.38/11</f>
        <v>0.85272727272727278</v>
      </c>
      <c r="M4" s="386">
        <f>83.6/88.8</f>
        <v>0.94144144144144137</v>
      </c>
      <c r="N4" s="387">
        <f>850.3/850.5</f>
        <v>0.99976484420928857</v>
      </c>
      <c r="O4" s="386">
        <f>19.15/20.05</f>
        <v>0.95511221945137148</v>
      </c>
      <c r="P4" s="386">
        <f>91.6/93.9</f>
        <v>0.97550585729499451</v>
      </c>
      <c r="Q4" s="386">
        <v>0.8</v>
      </c>
      <c r="R4" s="374"/>
      <c r="S4" s="374"/>
      <c r="T4" s="374"/>
      <c r="U4" s="374"/>
      <c r="V4" s="374"/>
    </row>
    <row r="5" spans="1:33">
      <c r="B5" s="374"/>
      <c r="D5" s="374"/>
      <c r="H5" s="388" t="s">
        <v>86</v>
      </c>
      <c r="I5" s="10">
        <f>(0.6*12/16+0.4*12/44)*0.714/1000</f>
        <v>3.9919090909090906E-4</v>
      </c>
      <c r="J5" s="10">
        <f>12/16</f>
        <v>0.75</v>
      </c>
      <c r="K5" s="10">
        <v>0</v>
      </c>
      <c r="L5" s="215">
        <f>38.82/100</f>
        <v>0.38819999999999999</v>
      </c>
      <c r="M5" s="215">
        <f>44.2/100</f>
        <v>0.442</v>
      </c>
      <c r="N5" s="215">
        <f>88.04/100</f>
        <v>0.88040000000000007</v>
      </c>
      <c r="O5" s="386">
        <f>49.25/100</f>
        <v>0.49249999999999999</v>
      </c>
      <c r="P5" s="246">
        <f>43.1/100</f>
        <v>0.43099999999999999</v>
      </c>
      <c r="Q5" s="215">
        <v>0.6</v>
      </c>
    </row>
    <row r="6" spans="1:33" s="13" customFormat="1" ht="29.25" customHeight="1">
      <c r="A6" s="212" t="s">
        <v>87</v>
      </c>
      <c r="B6" s="212" t="s">
        <v>88</v>
      </c>
      <c r="C6" s="212" t="s">
        <v>89</v>
      </c>
      <c r="D6" s="212" t="s">
        <v>90</v>
      </c>
      <c r="E6" s="211" t="s">
        <v>91</v>
      </c>
      <c r="F6" s="389" t="s">
        <v>92</v>
      </c>
      <c r="G6" s="211" t="s">
        <v>93</v>
      </c>
      <c r="H6" s="211" t="s">
        <v>94</v>
      </c>
      <c r="I6" s="211" t="s">
        <v>95</v>
      </c>
      <c r="J6" s="211" t="s">
        <v>96</v>
      </c>
      <c r="K6" s="390" t="s">
        <v>97</v>
      </c>
      <c r="L6" s="211" t="s">
        <v>98</v>
      </c>
      <c r="M6" s="211" t="s">
        <v>10</v>
      </c>
      <c r="N6" s="211" t="s">
        <v>13</v>
      </c>
      <c r="O6" s="211" t="s">
        <v>11</v>
      </c>
      <c r="P6" s="211" t="s">
        <v>12</v>
      </c>
      <c r="Q6" s="211" t="s">
        <v>99</v>
      </c>
      <c r="R6" s="211" t="s">
        <v>100</v>
      </c>
      <c r="S6" s="211" t="s">
        <v>101</v>
      </c>
      <c r="T6" s="212" t="s">
        <v>102</v>
      </c>
    </row>
    <row r="7" spans="1:33" ht="15.75" customHeight="1">
      <c r="A7" s="17">
        <v>1</v>
      </c>
      <c r="B7" s="23" t="s">
        <v>103</v>
      </c>
      <c r="C7" s="21" t="s">
        <v>104</v>
      </c>
      <c r="D7" s="391"/>
      <c r="E7" s="175">
        <f>Start!B4*C33</f>
        <v>0</v>
      </c>
      <c r="F7" s="17">
        <v>8</v>
      </c>
      <c r="G7" s="175">
        <f>IF(SUM(J7:Q7)=0,0,SUMPRODUCT(J7:Q7,$J$3:$Q$3))</f>
        <v>0</v>
      </c>
      <c r="H7" s="18">
        <v>0.88</v>
      </c>
      <c r="I7" s="392"/>
      <c r="J7" s="392"/>
      <c r="K7" s="175">
        <f>E7*H7</f>
        <v>0</v>
      </c>
      <c r="L7" s="175">
        <f>(1-H7)*E7</f>
        <v>0</v>
      </c>
      <c r="M7" s="23"/>
      <c r="N7" s="23"/>
      <c r="O7" s="23"/>
      <c r="P7" s="23"/>
      <c r="Q7" s="23"/>
      <c r="R7" s="393">
        <f>SUMPRODUCT(J7:Q7,$J$5:$Q$5)</f>
        <v>0</v>
      </c>
      <c r="S7" s="393">
        <f>K7*907.18/(24*3600)</f>
        <v>0</v>
      </c>
      <c r="T7" s="394"/>
      <c r="U7" s="374"/>
      <c r="V7" s="374"/>
    </row>
    <row r="8" spans="1:33" ht="14.25" customHeight="1">
      <c r="A8" s="17">
        <v>2</v>
      </c>
      <c r="B8" s="23" t="s">
        <v>105</v>
      </c>
      <c r="C8" s="21" t="s">
        <v>104</v>
      </c>
      <c r="D8" s="21" t="s">
        <v>106</v>
      </c>
      <c r="E8" s="175">
        <f>SUM(K8:Q8)</f>
        <v>0</v>
      </c>
      <c r="F8" s="17">
        <v>104</v>
      </c>
      <c r="G8" s="175">
        <f t="shared" ref="G8:G20" si="0">IF(SUM(J8:Q8)=0,0,SUMPRODUCT(J8:Q8,$J$3:$Q$3))</f>
        <v>0</v>
      </c>
      <c r="H8" s="18">
        <v>1</v>
      </c>
      <c r="I8" s="392"/>
      <c r="J8" s="392"/>
      <c r="K8" s="175">
        <f>K14</f>
        <v>0</v>
      </c>
      <c r="L8" s="23"/>
      <c r="M8" s="394"/>
      <c r="N8" s="23"/>
      <c r="O8" s="23"/>
      <c r="P8" s="23"/>
      <c r="Q8" s="23"/>
      <c r="R8" s="393">
        <f t="shared" ref="R8:R19" si="1">SUMPRODUCT(J8:Q8,$J$5:$Q$5)</f>
        <v>0</v>
      </c>
      <c r="S8" s="393">
        <f t="shared" ref="S8:S20" si="2">K8*907.18/(24*3600)</f>
        <v>0</v>
      </c>
      <c r="T8" s="394"/>
      <c r="U8" s="374"/>
      <c r="V8" s="374"/>
    </row>
    <row r="9" spans="1:33">
      <c r="A9" s="17">
        <v>4</v>
      </c>
      <c r="B9" s="23" t="s">
        <v>107</v>
      </c>
      <c r="C9" s="169" t="s">
        <v>104</v>
      </c>
      <c r="D9" s="169"/>
      <c r="E9" s="175">
        <f>SUM(K9:Q9)</f>
        <v>0</v>
      </c>
      <c r="F9" s="23"/>
      <c r="G9" s="175">
        <f t="shared" si="0"/>
        <v>0</v>
      </c>
      <c r="H9" s="395"/>
      <c r="I9" s="395"/>
      <c r="J9" s="395"/>
      <c r="K9" s="396"/>
      <c r="L9" s="23"/>
      <c r="M9" s="23"/>
      <c r="N9" s="175">
        <f>Start!B8</f>
        <v>0</v>
      </c>
      <c r="O9" s="175"/>
      <c r="P9" s="175"/>
      <c r="Q9" s="15"/>
      <c r="R9" s="393">
        <f t="shared" si="1"/>
        <v>0</v>
      </c>
      <c r="S9" s="393">
        <f t="shared" si="2"/>
        <v>0</v>
      </c>
      <c r="T9" s="15"/>
      <c r="V9" s="374"/>
    </row>
    <row r="10" spans="1:33">
      <c r="A10" s="17">
        <v>5</v>
      </c>
      <c r="B10" s="23" t="s">
        <v>108</v>
      </c>
      <c r="C10" s="21" t="s">
        <v>104</v>
      </c>
      <c r="D10" s="391"/>
      <c r="E10" s="175">
        <f>SUM(K10:Q10)</f>
        <v>278.84435294117645</v>
      </c>
      <c r="F10" s="17">
        <v>8</v>
      </c>
      <c r="G10" s="175">
        <f t="shared" si="0"/>
        <v>2230754.8235294116</v>
      </c>
      <c r="H10" s="18">
        <v>0.6</v>
      </c>
      <c r="I10" s="392"/>
      <c r="J10" s="392"/>
      <c r="K10" s="175">
        <f>SUM(L10:Q10)*H10/(1-H10)</f>
        <v>167.30661176470585</v>
      </c>
      <c r="L10" s="564">
        <f>AB43</f>
        <v>111.53774117647058</v>
      </c>
      <c r="M10" s="175">
        <v>0</v>
      </c>
      <c r="N10" s="175"/>
      <c r="O10" s="175">
        <f>Start!B6</f>
        <v>0</v>
      </c>
      <c r="P10" s="175">
        <f>Start!B7</f>
        <v>0</v>
      </c>
      <c r="Q10" s="15"/>
      <c r="R10" s="393">
        <f t="shared" si="1"/>
        <v>43.298951124705873</v>
      </c>
      <c r="S10" s="393">
        <f t="shared" si="2"/>
        <v>1.7566806951470584</v>
      </c>
      <c r="T10" s="22" t="s">
        <v>109</v>
      </c>
      <c r="V10" s="374"/>
    </row>
    <row r="11" spans="1:33">
      <c r="A11" s="17">
        <v>8</v>
      </c>
      <c r="B11" s="23" t="s">
        <v>110</v>
      </c>
      <c r="C11" s="21" t="s">
        <v>104</v>
      </c>
      <c r="D11" s="391"/>
      <c r="E11" s="175">
        <f>SUM(K11:Q11)</f>
        <v>80</v>
      </c>
      <c r="F11" s="17">
        <v>8</v>
      </c>
      <c r="G11" s="175">
        <f t="shared" si="0"/>
        <v>0</v>
      </c>
      <c r="H11" s="392"/>
      <c r="I11" s="392"/>
      <c r="J11" s="392"/>
      <c r="K11" s="175">
        <v>80</v>
      </c>
      <c r="L11" s="394"/>
      <c r="M11" s="394"/>
      <c r="N11" s="394"/>
      <c r="O11" s="394"/>
      <c r="P11" s="394"/>
      <c r="Q11" s="394"/>
      <c r="R11" s="393">
        <f t="shared" si="1"/>
        <v>0</v>
      </c>
      <c r="S11" s="393">
        <f t="shared" si="2"/>
        <v>0.83998148148148144</v>
      </c>
      <c r="T11" s="15"/>
      <c r="V11" s="374"/>
    </row>
    <row r="12" spans="1:33" ht="16" thickBot="1">
      <c r="A12" s="17">
        <v>9</v>
      </c>
      <c r="B12" s="23" t="s">
        <v>111</v>
      </c>
      <c r="C12" s="21" t="s">
        <v>112</v>
      </c>
      <c r="D12" s="21" t="s">
        <v>104</v>
      </c>
      <c r="E12" s="175">
        <f>SUM(E7:E11)</f>
        <v>358.84435294117645</v>
      </c>
      <c r="F12" s="23">
        <v>35</v>
      </c>
      <c r="G12" s="175">
        <f t="shared" si="0"/>
        <v>2230754.8235294116</v>
      </c>
      <c r="H12" s="175">
        <f>K12/(SUM(K12:N12))</f>
        <v>0.68917515278621533</v>
      </c>
      <c r="I12" s="397"/>
      <c r="J12" s="397"/>
      <c r="K12" s="175">
        <f t="shared" ref="K12:Q12" si="3">SUM(K7:K11)</f>
        <v>247.30661176470585</v>
      </c>
      <c r="L12" s="175">
        <f>SUM(L7:L11)</f>
        <v>111.53774117647058</v>
      </c>
      <c r="M12" s="175">
        <f t="shared" si="3"/>
        <v>0</v>
      </c>
      <c r="N12" s="175">
        <f t="shared" si="3"/>
        <v>0</v>
      </c>
      <c r="O12" s="175">
        <f t="shared" si="3"/>
        <v>0</v>
      </c>
      <c r="P12" s="175">
        <f t="shared" si="3"/>
        <v>0</v>
      </c>
      <c r="Q12" s="175">
        <f t="shared" si="3"/>
        <v>0</v>
      </c>
      <c r="R12" s="393">
        <f t="shared" si="1"/>
        <v>43.298951124705873</v>
      </c>
      <c r="S12" s="393">
        <f t="shared" si="2"/>
        <v>2.5966621766285396</v>
      </c>
      <c r="T12" s="15" t="s">
        <v>113</v>
      </c>
      <c r="V12" s="374"/>
      <c r="AA12" s="414" t="s">
        <v>497</v>
      </c>
    </row>
    <row r="13" spans="1:33" ht="15.75" customHeight="1" thickBot="1">
      <c r="A13" s="17">
        <v>10</v>
      </c>
      <c r="B13" s="23" t="s">
        <v>723</v>
      </c>
      <c r="C13" s="21" t="s">
        <v>114</v>
      </c>
      <c r="D13" s="169" t="s">
        <v>112</v>
      </c>
      <c r="E13" s="175">
        <f>I13*C37/$G$32</f>
        <v>81.771044641144272</v>
      </c>
      <c r="F13" s="394"/>
      <c r="G13" s="175">
        <f>IF(SUM(J13:Q13)=0,0,SUMPRODUCT(J13:Q13,$J$3:$Q$3))</f>
        <v>1428643.9635548566</v>
      </c>
      <c r="H13" s="394"/>
      <c r="I13" s="175">
        <f>SUMPRODUCT(L2:P2,L12:P12)</f>
        <v>64505.621854588229</v>
      </c>
      <c r="J13" s="251">
        <f>SUMPRODUCT(L1:Q1,L12:Q12,L4:Q4)*0.714/$G$32</f>
        <v>25.975344791906483</v>
      </c>
      <c r="K13" s="175">
        <f>E13*H13</f>
        <v>0</v>
      </c>
      <c r="L13" s="394"/>
      <c r="M13" s="394"/>
      <c r="N13" s="394"/>
      <c r="O13" s="394"/>
      <c r="P13" s="394"/>
      <c r="Q13" s="394"/>
      <c r="R13" s="393">
        <f>SUMPRODUCT(J13:Q13,$J$5:$Q$5)+(I5*I13-J5*J13)</f>
        <v>25.750057829607485</v>
      </c>
      <c r="S13" s="393">
        <f t="shared" si="2"/>
        <v>0</v>
      </c>
      <c r="T13" s="15"/>
      <c r="V13" s="374"/>
      <c r="AA13" s="417"/>
      <c r="AB13" s="665" t="s">
        <v>500</v>
      </c>
      <c r="AC13" s="666"/>
      <c r="AD13" s="666"/>
      <c r="AE13" s="666"/>
      <c r="AF13" s="666"/>
      <c r="AG13" s="667"/>
    </row>
    <row r="14" spans="1:33" ht="16" thickBot="1">
      <c r="A14" s="17">
        <v>11</v>
      </c>
      <c r="B14" s="23" t="s">
        <v>115</v>
      </c>
      <c r="C14" s="21" t="s">
        <v>106</v>
      </c>
      <c r="D14" s="169" t="s">
        <v>114</v>
      </c>
      <c r="E14" s="175">
        <v>0</v>
      </c>
      <c r="F14" s="394"/>
      <c r="G14" s="175">
        <f t="shared" si="0"/>
        <v>1428643.9635548566</v>
      </c>
      <c r="H14" s="394"/>
      <c r="I14" s="394"/>
      <c r="J14" s="394">
        <f>SUMPRODUCT(L1:Q1,L12:Q12,L4:Q4)*0.714/$G$32</f>
        <v>25.975344791906483</v>
      </c>
      <c r="K14" s="175">
        <f>C2*24*3600/1000/C36/1000</f>
        <v>0</v>
      </c>
      <c r="L14" s="394"/>
      <c r="M14" s="394"/>
      <c r="N14" s="394"/>
      <c r="O14" s="394"/>
      <c r="P14" s="394"/>
      <c r="Q14" s="15"/>
      <c r="R14" s="393">
        <f t="shared" si="1"/>
        <v>19.481508593929863</v>
      </c>
      <c r="S14" s="393">
        <f t="shared" si="2"/>
        <v>0</v>
      </c>
      <c r="T14" s="15"/>
      <c r="V14" s="374"/>
      <c r="AA14" s="420"/>
      <c r="AB14" s="702" t="s">
        <v>32</v>
      </c>
      <c r="AC14" s="703"/>
      <c r="AD14" s="702" t="s">
        <v>501</v>
      </c>
      <c r="AE14" s="703"/>
      <c r="AF14" s="702" t="s">
        <v>502</v>
      </c>
      <c r="AG14" s="703"/>
    </row>
    <row r="15" spans="1:33" ht="16" thickBot="1">
      <c r="A15" s="17">
        <v>12</v>
      </c>
      <c r="B15" s="23" t="s">
        <v>116</v>
      </c>
      <c r="C15" s="21" t="s">
        <v>117</v>
      </c>
      <c r="D15" s="21" t="s">
        <v>112</v>
      </c>
      <c r="E15" s="175">
        <f>E12-E13</f>
        <v>277.07330830003218</v>
      </c>
      <c r="F15" s="394"/>
      <c r="G15" s="175">
        <f t="shared" si="0"/>
        <v>159220.17661461351</v>
      </c>
      <c r="H15" s="394"/>
      <c r="I15" s="394"/>
      <c r="J15" s="394"/>
      <c r="K15" s="14">
        <f>E15-Q16-Q18</f>
        <v>266.45862985905796</v>
      </c>
      <c r="L15" s="394"/>
      <c r="M15" s="394"/>
      <c r="N15" s="394"/>
      <c r="O15" s="394"/>
      <c r="P15" s="394"/>
      <c r="Q15" s="398">
        <f>Q16+Q18</f>
        <v>10.614678440974235</v>
      </c>
      <c r="R15" s="393">
        <f t="shared" si="1"/>
        <v>6.3688070645845407</v>
      </c>
      <c r="S15" s="393">
        <f t="shared" si="2"/>
        <v>2.7977539332817152</v>
      </c>
      <c r="T15" s="1" t="s">
        <v>118</v>
      </c>
      <c r="V15" s="374"/>
      <c r="AA15" s="421" t="s">
        <v>503</v>
      </c>
      <c r="AB15" s="422" t="s">
        <v>504</v>
      </c>
      <c r="AC15" s="422" t="s">
        <v>505</v>
      </c>
      <c r="AD15" s="422" t="s">
        <v>504</v>
      </c>
      <c r="AE15" s="422" t="s">
        <v>505</v>
      </c>
      <c r="AF15" s="422" t="s">
        <v>504</v>
      </c>
      <c r="AG15" s="422" t="s">
        <v>505</v>
      </c>
    </row>
    <row r="16" spans="1:33" s="616" customFormat="1" ht="16" thickBot="1">
      <c r="A16" s="610">
        <v>13</v>
      </c>
      <c r="B16" s="611" t="s">
        <v>119</v>
      </c>
      <c r="C16" s="612" t="s">
        <v>120</v>
      </c>
      <c r="D16" s="612" t="s">
        <v>117</v>
      </c>
      <c r="E16" s="608">
        <f>(1-C38)*(E15)</f>
        <v>260.44890980203024</v>
      </c>
      <c r="F16" s="612"/>
      <c r="G16" s="608">
        <f t="shared" si="0"/>
        <v>90245.547246403483</v>
      </c>
      <c r="H16" s="612"/>
      <c r="I16" s="612"/>
      <c r="J16" s="612"/>
      <c r="K16" s="608">
        <f>E16-Q16</f>
        <v>254.43253998560334</v>
      </c>
      <c r="L16" s="612"/>
      <c r="M16" s="612"/>
      <c r="N16" s="612"/>
      <c r="O16" s="613"/>
      <c r="P16" s="613"/>
      <c r="Q16" s="608">
        <f>C39*E16</f>
        <v>6.0163698164268986</v>
      </c>
      <c r="R16" s="614">
        <f t="shared" si="1"/>
        <v>3.6098218898561392</v>
      </c>
      <c r="S16" s="614">
        <f t="shared" si="2"/>
        <v>2.6714827734275421</v>
      </c>
      <c r="T16" s="615"/>
      <c r="V16" s="613"/>
      <c r="AA16" s="617" t="s">
        <v>506</v>
      </c>
      <c r="AB16" s="618">
        <v>1711</v>
      </c>
      <c r="AC16" s="618">
        <v>5081</v>
      </c>
      <c r="AD16" s="618">
        <v>9871</v>
      </c>
      <c r="AE16" s="618">
        <v>35525</v>
      </c>
      <c r="AF16" s="618">
        <v>2904</v>
      </c>
      <c r="AG16" s="618">
        <v>9883</v>
      </c>
    </row>
    <row r="17" spans="1:46" ht="16" thickBot="1">
      <c r="A17" s="17">
        <v>14</v>
      </c>
      <c r="B17" s="23" t="s">
        <v>121</v>
      </c>
      <c r="C17" s="391" t="s">
        <v>104</v>
      </c>
      <c r="D17" s="391" t="s">
        <v>120</v>
      </c>
      <c r="E17" s="175">
        <f>E15*C42</f>
        <v>27.707330830003219</v>
      </c>
      <c r="F17" s="394"/>
      <c r="G17" s="175">
        <f t="shared" si="0"/>
        <v>78575.219500806154</v>
      </c>
      <c r="H17" s="394"/>
      <c r="I17" s="394"/>
      <c r="J17" s="394"/>
      <c r="K17" s="175">
        <f>E17*(1-C39)</f>
        <v>27.067291487830143</v>
      </c>
      <c r="L17" s="394"/>
      <c r="M17" s="394"/>
      <c r="N17" s="394"/>
      <c r="O17" s="394"/>
      <c r="P17" s="394"/>
      <c r="Q17" s="14">
        <f>Q15-Q20</f>
        <v>5.2383479667204105</v>
      </c>
      <c r="R17" s="393">
        <f t="shared" si="1"/>
        <v>3.1430087800322464</v>
      </c>
      <c r="S17" s="393">
        <f t="shared" si="2"/>
        <v>0.28420029504548322</v>
      </c>
      <c r="T17" s="15"/>
      <c r="V17" s="374"/>
      <c r="AA17" s="420" t="s">
        <v>507</v>
      </c>
      <c r="AB17" s="423">
        <v>2179</v>
      </c>
      <c r="AC17" s="423">
        <v>5700</v>
      </c>
      <c r="AD17" s="423">
        <v>12298</v>
      </c>
      <c r="AE17" s="423">
        <v>66848</v>
      </c>
      <c r="AF17" s="423">
        <v>2819</v>
      </c>
      <c r="AG17" s="423">
        <v>8246</v>
      </c>
    </row>
    <row r="18" spans="1:46" s="616" customFormat="1" ht="16" thickBot="1">
      <c r="A18" s="610">
        <v>15</v>
      </c>
      <c r="B18" s="611" t="s">
        <v>122</v>
      </c>
      <c r="C18" s="612"/>
      <c r="D18" s="612" t="s">
        <v>117</v>
      </c>
      <c r="E18" s="608">
        <f>E15-E16</f>
        <v>16.624398498001938</v>
      </c>
      <c r="F18" s="612"/>
      <c r="G18" s="608">
        <f t="shared" si="0"/>
        <v>68974.629368210037</v>
      </c>
      <c r="H18" s="612"/>
      <c r="I18" s="612"/>
      <c r="J18" s="612"/>
      <c r="K18" s="608">
        <f>E18-Q18</f>
        <v>12.026089873454602</v>
      </c>
      <c r="L18" s="612"/>
      <c r="M18" s="612"/>
      <c r="N18" s="612"/>
      <c r="O18" s="613"/>
      <c r="P18" s="613"/>
      <c r="Q18" s="608">
        <f>E18*C40</f>
        <v>4.5983086245473359</v>
      </c>
      <c r="R18" s="614">
        <f t="shared" si="1"/>
        <v>2.7589851747284015</v>
      </c>
      <c r="S18" s="614">
        <f t="shared" si="2"/>
        <v>0.12627115985417298</v>
      </c>
      <c r="T18" s="615"/>
      <c r="V18" s="613"/>
      <c r="AA18" s="617" t="s">
        <v>508</v>
      </c>
      <c r="AB18" s="618">
        <v>1054</v>
      </c>
      <c r="AC18" s="618">
        <v>3657</v>
      </c>
      <c r="AD18" s="618">
        <v>8108</v>
      </c>
      <c r="AE18" s="618">
        <v>49508</v>
      </c>
      <c r="AF18" s="618">
        <v>1340</v>
      </c>
      <c r="AG18" s="618">
        <v>5103</v>
      </c>
    </row>
    <row r="19" spans="1:46" ht="16" thickBot="1">
      <c r="A19" s="17">
        <v>16</v>
      </c>
      <c r="B19" s="23" t="s">
        <v>123</v>
      </c>
      <c r="C19" s="391"/>
      <c r="D19" s="169" t="s">
        <v>112</v>
      </c>
      <c r="E19" s="175">
        <f>SUM(J19:N19)</f>
        <v>3.0317642271656466</v>
      </c>
      <c r="F19" s="394"/>
      <c r="G19" s="175">
        <f t="shared" si="0"/>
        <v>0</v>
      </c>
      <c r="H19" s="394"/>
      <c r="I19" s="394"/>
      <c r="J19" s="394"/>
      <c r="K19" s="175">
        <f>I13*47/1000000</f>
        <v>3.0317642271656466</v>
      </c>
      <c r="L19" s="394"/>
      <c r="M19" s="394"/>
      <c r="N19" s="394"/>
      <c r="O19" s="394"/>
      <c r="P19" s="394"/>
      <c r="Q19" s="394"/>
      <c r="R19" s="393">
        <f t="shared" si="1"/>
        <v>0</v>
      </c>
      <c r="S19" s="393">
        <f t="shared" si="2"/>
        <v>3.1832822587964479E-2</v>
      </c>
      <c r="T19" s="22" t="s">
        <v>124</v>
      </c>
      <c r="V19" s="374"/>
      <c r="AA19" s="420" t="s">
        <v>509</v>
      </c>
      <c r="AB19" s="423">
        <v>1341</v>
      </c>
      <c r="AC19" s="423">
        <v>4534</v>
      </c>
      <c r="AD19" s="423">
        <v>15900</v>
      </c>
      <c r="AE19" s="423">
        <v>64540</v>
      </c>
      <c r="AF19" s="423">
        <v>1820</v>
      </c>
      <c r="AG19" s="423">
        <v>6420</v>
      </c>
    </row>
    <row r="20" spans="1:46" ht="16" thickBot="1">
      <c r="A20" s="17">
        <v>17</v>
      </c>
      <c r="B20" s="23" t="s">
        <v>125</v>
      </c>
      <c r="C20" s="391"/>
      <c r="D20" s="169" t="s">
        <v>120</v>
      </c>
      <c r="E20" s="175">
        <f>SUM(K20:Q20)</f>
        <v>232.74157897202701</v>
      </c>
      <c r="F20" s="394"/>
      <c r="G20" s="175">
        <f t="shared" si="0"/>
        <v>80644.957113807366</v>
      </c>
      <c r="H20" s="394"/>
      <c r="I20" s="394"/>
      <c r="J20" s="394"/>
      <c r="K20" s="175">
        <f>K16-K17</f>
        <v>227.36524849777319</v>
      </c>
      <c r="L20" s="394"/>
      <c r="M20" s="394"/>
      <c r="N20" s="394"/>
      <c r="O20" s="394"/>
      <c r="P20" s="394"/>
      <c r="Q20" s="398">
        <f>Q16*K20/K16</f>
        <v>5.376330474253824</v>
      </c>
      <c r="R20" s="393">
        <f>SUMPRODUCT(J20:Q20,$J$5:$Q$5)</f>
        <v>3.2257982845522943</v>
      </c>
      <c r="S20" s="393">
        <f t="shared" si="2"/>
        <v>2.3872824783820588</v>
      </c>
      <c r="T20" s="22"/>
      <c r="V20" s="374"/>
      <c r="AA20" s="420" t="s">
        <v>510</v>
      </c>
      <c r="AB20" s="423">
        <v>2012</v>
      </c>
      <c r="AC20" s="423">
        <v>5329</v>
      </c>
      <c r="AD20" s="423">
        <v>13459</v>
      </c>
      <c r="AE20" s="423">
        <v>43480</v>
      </c>
      <c r="AF20" s="423">
        <v>2709</v>
      </c>
      <c r="AG20" s="423">
        <v>9197</v>
      </c>
    </row>
    <row r="21" spans="1:46" ht="16" thickBot="1">
      <c r="A21" s="332">
        <v>18</v>
      </c>
      <c r="B21" s="252" t="s">
        <v>126</v>
      </c>
      <c r="C21" s="399"/>
      <c r="D21" s="333" t="s">
        <v>114</v>
      </c>
      <c r="E21" s="175">
        <f>J21</f>
        <v>25.196084448149289</v>
      </c>
      <c r="F21" s="374"/>
      <c r="G21" s="175">
        <f>J21 * J3</f>
        <v>1385784.6446482108</v>
      </c>
      <c r="H21" s="374"/>
      <c r="I21" s="380">
        <f>I13*C43</f>
        <v>62570.453198950578</v>
      </c>
      <c r="J21" s="380">
        <f>J13*C43</f>
        <v>25.196084448149289</v>
      </c>
      <c r="K21" s="175"/>
      <c r="L21" s="374"/>
      <c r="M21" s="374"/>
      <c r="N21" s="374"/>
      <c r="O21" s="374"/>
      <c r="P21" s="374"/>
      <c r="Q21" s="380"/>
      <c r="R21" s="393">
        <f>SUMPRODUCT(J21:Q21,$J$5:$Q$5)</f>
        <v>18.897063336111966</v>
      </c>
      <c r="S21" s="400"/>
      <c r="T21"/>
      <c r="V21" s="374"/>
      <c r="AA21" s="420" t="s">
        <v>511</v>
      </c>
      <c r="AB21" s="423">
        <v>1544</v>
      </c>
      <c r="AC21" s="423">
        <v>4823</v>
      </c>
      <c r="AD21" s="423">
        <v>11462</v>
      </c>
      <c r="AE21" s="423">
        <v>55206</v>
      </c>
      <c r="AF21" s="423">
        <v>2335</v>
      </c>
      <c r="AG21" s="423">
        <v>8266</v>
      </c>
    </row>
    <row r="22" spans="1:46" ht="16" thickBot="1">
      <c r="M22" s="374">
        <f>SUMPRODUCT(L1:Q1,L12:Q12)</f>
        <v>38703.373112752939</v>
      </c>
      <c r="N22" s="189">
        <f>M22/I13</f>
        <v>0.6</v>
      </c>
      <c r="O22" s="10">
        <v>111.53774117647058</v>
      </c>
      <c r="V22" s="374" t="s">
        <v>127</v>
      </c>
      <c r="AA22" s="414" t="s">
        <v>497</v>
      </c>
      <c r="AJ22" s="415" t="s">
        <v>498</v>
      </c>
      <c r="AK22" s="416" t="s">
        <v>499</v>
      </c>
    </row>
    <row r="23" spans="1:46" ht="15.75" customHeight="1" thickBot="1">
      <c r="I23" s="189">
        <f>E11/J21</f>
        <v>3.1750965180574391</v>
      </c>
      <c r="J23" s="310" t="s">
        <v>128</v>
      </c>
      <c r="K23" s="311">
        <f>16719.415</f>
        <v>16719.415000000001</v>
      </c>
      <c r="M23" s="13"/>
      <c r="V23" s="401" t="s">
        <v>36</v>
      </c>
      <c r="W23" s="402" t="s">
        <v>129</v>
      </c>
      <c r="X23" s="403" t="s">
        <v>130</v>
      </c>
      <c r="Y23" s="404" t="s">
        <v>131</v>
      </c>
      <c r="AA23" s="417"/>
      <c r="AB23" s="665" t="s">
        <v>500</v>
      </c>
      <c r="AC23" s="666"/>
      <c r="AD23" s="667"/>
      <c r="AE23" s="536"/>
      <c r="AF23" s="536"/>
      <c r="AG23" s="536"/>
      <c r="AJ23" s="418">
        <v>1</v>
      </c>
      <c r="AK23" s="419">
        <v>2.47105</v>
      </c>
    </row>
    <row r="24" spans="1:46" ht="16" thickBot="1">
      <c r="A24" s="405" t="s">
        <v>132</v>
      </c>
      <c r="B24" s="374"/>
      <c r="C24" s="374"/>
      <c r="D24" s="374"/>
      <c r="E24" s="16">
        <v>3.15E-2</v>
      </c>
      <c r="F24" s="374"/>
      <c r="G24" s="374"/>
      <c r="J24" s="394" t="s">
        <v>133</v>
      </c>
      <c r="K24" s="15">
        <v>8.2000000000000007E-3</v>
      </c>
      <c r="L24" s="317" t="s">
        <v>134</v>
      </c>
      <c r="M24" s="13"/>
      <c r="N24" s="189"/>
      <c r="O24" s="217"/>
      <c r="R24" s="189"/>
      <c r="V24" s="406" t="s">
        <v>32</v>
      </c>
      <c r="W24" s="350">
        <v>64017</v>
      </c>
      <c r="X24" s="351">
        <v>128034</v>
      </c>
      <c r="Y24" s="352">
        <v>192057</v>
      </c>
      <c r="AA24" s="420"/>
      <c r="AB24" s="587" t="s">
        <v>32</v>
      </c>
      <c r="AC24" s="587" t="s">
        <v>502</v>
      </c>
      <c r="AD24" s="588" t="s">
        <v>501</v>
      </c>
      <c r="AE24" s="586"/>
      <c r="AF24" s="586"/>
      <c r="AG24" s="586"/>
      <c r="AJ24" s="353">
        <v>3</v>
      </c>
      <c r="AK24" s="347">
        <f>$AK$23*AJ24</f>
        <v>7.4131499999999999</v>
      </c>
      <c r="AP24" s="690" t="s">
        <v>730</v>
      </c>
      <c r="AQ24" s="706" t="s">
        <v>731</v>
      </c>
      <c r="AR24" s="704" t="s">
        <v>729</v>
      </c>
      <c r="AS24" s="705"/>
      <c r="AT24" s="705"/>
    </row>
    <row r="25" spans="1:46" ht="16" thickBot="1">
      <c r="A25" s="374"/>
      <c r="B25" s="374"/>
      <c r="C25" s="374"/>
      <c r="D25" s="374"/>
      <c r="E25" s="374"/>
      <c r="F25" s="374"/>
      <c r="G25" s="374"/>
      <c r="J25" s="394" t="s">
        <v>135</v>
      </c>
      <c r="K25" s="307">
        <f>K24*K23</f>
        <v>137.09920300000002</v>
      </c>
      <c r="M25" s="374"/>
      <c r="R25" s="189"/>
      <c r="S25" s="189"/>
      <c r="V25" s="406" t="s">
        <v>136</v>
      </c>
      <c r="W25" s="353">
        <v>740643</v>
      </c>
      <c r="X25" s="15">
        <v>1481286</v>
      </c>
      <c r="Y25" s="347">
        <v>2221929</v>
      </c>
      <c r="AA25" s="421" t="s">
        <v>503</v>
      </c>
      <c r="AB25" s="422" t="s">
        <v>504</v>
      </c>
      <c r="AC25" s="422" t="s">
        <v>504</v>
      </c>
      <c r="AD25" s="422" t="s">
        <v>504</v>
      </c>
      <c r="AE25" s="586"/>
      <c r="AF25" s="586"/>
      <c r="AG25" s="586"/>
      <c r="AJ25" s="354">
        <v>6</v>
      </c>
      <c r="AK25" s="349">
        <f>$AK$23*AJ25</f>
        <v>14.8263</v>
      </c>
      <c r="AP25" s="692"/>
      <c r="AQ25" s="707"/>
      <c r="AR25" s="602" t="s">
        <v>32</v>
      </c>
      <c r="AS25" s="480" t="s">
        <v>502</v>
      </c>
      <c r="AT25" s="480" t="s">
        <v>501</v>
      </c>
    </row>
    <row r="26" spans="1:46" ht="15.75" customHeight="1" thickBot="1">
      <c r="A26" s="252" t="s">
        <v>87</v>
      </c>
      <c r="B26" s="252" t="s">
        <v>19</v>
      </c>
      <c r="C26" s="252" t="s">
        <v>137</v>
      </c>
      <c r="D26" s="252" t="s">
        <v>138</v>
      </c>
      <c r="E26" s="252" t="s">
        <v>139</v>
      </c>
      <c r="F26" s="252" t="s">
        <v>140</v>
      </c>
      <c r="G26" s="252" t="s">
        <v>141</v>
      </c>
      <c r="J26" s="309" t="s">
        <v>142</v>
      </c>
      <c r="K26" s="308">
        <f>C1-K25</f>
        <v>411.19858276399998</v>
      </c>
      <c r="L26" s="189">
        <f>K26*C3</f>
        <v>3061784.6472607437</v>
      </c>
      <c r="N26" s="10">
        <f>K25/C1</f>
        <v>0.2500451516669277</v>
      </c>
      <c r="V26" s="407" t="s">
        <v>38</v>
      </c>
      <c r="W26" s="354">
        <v>121418</v>
      </c>
      <c r="X26" s="348">
        <v>242836</v>
      </c>
      <c r="Y26" s="349">
        <v>364254</v>
      </c>
      <c r="AA26" s="417" t="s">
        <v>506</v>
      </c>
      <c r="AB26" s="589">
        <v>1711</v>
      </c>
      <c r="AC26" s="589">
        <v>2904</v>
      </c>
      <c r="AD26" s="589">
        <v>9871</v>
      </c>
      <c r="AE26" s="566"/>
      <c r="AF26" s="566"/>
      <c r="AG26" s="566"/>
      <c r="AP26" s="10" t="s">
        <v>518</v>
      </c>
      <c r="AQ26" s="606" t="s">
        <v>586</v>
      </c>
      <c r="AR26" s="603">
        <v>-46.123700724437384</v>
      </c>
      <c r="AS26" s="600">
        <v>-48.955888486948041</v>
      </c>
      <c r="AT26" s="600">
        <v>-70.903646475665454</v>
      </c>
    </row>
    <row r="27" spans="1:46" ht="16" thickBot="1">
      <c r="A27" s="16">
        <v>1</v>
      </c>
      <c r="B27" s="175">
        <f>E7*0.12</f>
        <v>0</v>
      </c>
      <c r="C27" s="252" t="s">
        <v>143</v>
      </c>
      <c r="D27" s="175">
        <f>E7*(H7/100)</f>
        <v>0</v>
      </c>
      <c r="E27" s="175">
        <f>B27+D27</f>
        <v>0</v>
      </c>
      <c r="F27" s="252" t="s">
        <v>144</v>
      </c>
      <c r="G27" s="374"/>
      <c r="J27" s="374"/>
      <c r="K27" s="189"/>
      <c r="AA27" s="420" t="s">
        <v>507</v>
      </c>
      <c r="AB27" s="423">
        <v>2179</v>
      </c>
      <c r="AC27" s="423">
        <v>2819</v>
      </c>
      <c r="AD27" s="423">
        <v>12298</v>
      </c>
      <c r="AE27" s="566"/>
      <c r="AF27" s="566"/>
      <c r="AG27" s="566"/>
      <c r="AQ27" s="606" t="s">
        <v>594</v>
      </c>
      <c r="AR27" s="603">
        <v>-44.296735303722571</v>
      </c>
      <c r="AS27" s="600">
        <v>-46.687920217926802</v>
      </c>
      <c r="AT27" s="600">
        <v>-64.67892270023539</v>
      </c>
    </row>
    <row r="28" spans="1:46" ht="16" thickBot="1">
      <c r="A28" s="16">
        <v>4</v>
      </c>
      <c r="B28" s="374"/>
      <c r="C28" s="175">
        <f>0.4*E28</f>
        <v>0</v>
      </c>
      <c r="D28" s="175">
        <f>0.6*E28</f>
        <v>0</v>
      </c>
      <c r="E28" s="175">
        <f>0.2*E27</f>
        <v>0</v>
      </c>
      <c r="F28" s="374"/>
      <c r="G28" s="252" t="s">
        <v>145</v>
      </c>
      <c r="J28" s="313" t="s">
        <v>146</v>
      </c>
      <c r="K28" s="313"/>
      <c r="L28" s="189"/>
      <c r="V28" s="374" t="s">
        <v>147</v>
      </c>
      <c r="AA28" s="565"/>
      <c r="AB28" s="566"/>
      <c r="AC28" s="566"/>
      <c r="AD28" s="566"/>
      <c r="AE28" s="566"/>
      <c r="AF28" s="566"/>
      <c r="AG28" s="566"/>
      <c r="AQ28" s="606" t="s">
        <v>595</v>
      </c>
      <c r="AR28" s="603">
        <v>-15.929686557339718</v>
      </c>
      <c r="AS28" s="600">
        <v>-6.4696227469587217</v>
      </c>
      <c r="AT28" s="601">
        <v>77.435084572240314</v>
      </c>
    </row>
    <row r="29" spans="1:46" ht="16" thickBot="1">
      <c r="A29" s="16">
        <v>5</v>
      </c>
      <c r="B29" s="374"/>
      <c r="C29" s="252"/>
      <c r="D29" s="175">
        <f>(D27-(0.9*E27))/(-0.1)</f>
        <v>0</v>
      </c>
      <c r="E29" s="374"/>
      <c r="F29" s="374"/>
      <c r="G29" s="374"/>
      <c r="J29" s="394" t="s">
        <v>148</v>
      </c>
      <c r="K29" s="398">
        <f>(K12*G32*4.2*(F12-F11))/86400</f>
        <v>294.46311377931613</v>
      </c>
      <c r="L29" s="380"/>
      <c r="V29" s="361"/>
      <c r="W29" s="359" t="s">
        <v>129</v>
      </c>
      <c r="X29" s="357" t="s">
        <v>130</v>
      </c>
      <c r="Y29" s="358" t="s">
        <v>131</v>
      </c>
      <c r="AA29" s="565"/>
      <c r="AB29" s="566"/>
      <c r="AC29" s="566"/>
      <c r="AD29" s="566"/>
      <c r="AE29" s="566"/>
      <c r="AF29" s="566"/>
      <c r="AG29" s="566"/>
      <c r="AQ29" s="606" t="s">
        <v>596</v>
      </c>
      <c r="AR29" s="603">
        <v>-19.550259061539343</v>
      </c>
      <c r="AS29" s="600">
        <v>-11.564630506603521</v>
      </c>
      <c r="AT29" s="601">
        <v>58.506806573948744</v>
      </c>
    </row>
    <row r="30" spans="1:46">
      <c r="A30" s="374"/>
      <c r="B30" s="374"/>
      <c r="C30" s="374"/>
      <c r="D30" s="374"/>
      <c r="E30" s="374"/>
      <c r="F30" s="374"/>
      <c r="G30" s="374"/>
      <c r="J30" s="394" t="s">
        <v>149</v>
      </c>
      <c r="K30" s="15">
        <f>(K8*G32*G34*(F8-F12))/86400</f>
        <v>0</v>
      </c>
      <c r="L30" s="189"/>
      <c r="M30" s="189"/>
      <c r="V30" s="360" t="s">
        <v>32</v>
      </c>
      <c r="W30" s="350">
        <f>W24/($C$3/24)</f>
        <v>206.34004834810636</v>
      </c>
      <c r="X30" s="351">
        <f t="shared" ref="X30:Y30" si="4">X24/($C$3/24)</f>
        <v>412.68009669621273</v>
      </c>
      <c r="Y30" s="352">
        <f t="shared" si="4"/>
        <v>619.03948428686545</v>
      </c>
      <c r="AA30" s="565"/>
      <c r="AB30" s="566"/>
      <c r="AC30" s="566"/>
      <c r="AD30" s="566"/>
      <c r="AE30" s="566"/>
      <c r="AF30" s="566"/>
      <c r="AG30" s="566"/>
      <c r="AP30" s="549"/>
      <c r="AQ30" s="607" t="s">
        <v>597</v>
      </c>
      <c r="AR30" s="604">
        <v>4.7771929689742327</v>
      </c>
      <c r="AS30" s="599">
        <v>23.260094212626051</v>
      </c>
      <c r="AT30" s="599">
        <v>191.59834080465902</v>
      </c>
    </row>
    <row r="31" spans="1:46">
      <c r="A31" s="13" t="s">
        <v>150</v>
      </c>
      <c r="B31" s="374"/>
      <c r="C31" s="374"/>
      <c r="D31" s="374"/>
      <c r="E31" s="374"/>
      <c r="F31" s="374"/>
      <c r="G31" s="374" t="s">
        <v>151</v>
      </c>
      <c r="J31" s="394" t="s">
        <v>152</v>
      </c>
      <c r="K31" s="307">
        <f>SUM(K29:K30)</f>
        <v>294.46311377931613</v>
      </c>
      <c r="M31" s="10" t="e">
        <f>K31/C2</f>
        <v>#DIV/0!</v>
      </c>
      <c r="V31" s="355" t="s">
        <v>136</v>
      </c>
      <c r="W31" s="353">
        <f t="shared" ref="W31:Y31" si="5">W25/($C$3/24)</f>
        <v>2387.2457695406929</v>
      </c>
      <c r="X31" s="15">
        <f t="shared" si="5"/>
        <v>4774.4915390813858</v>
      </c>
      <c r="Y31" s="347">
        <f t="shared" si="5"/>
        <v>7161.7373086220787</v>
      </c>
      <c r="AA31" s="565"/>
      <c r="AB31" s="566"/>
      <c r="AC31" s="566"/>
      <c r="AD31" s="566"/>
      <c r="AE31" s="566"/>
      <c r="AF31" s="566"/>
      <c r="AG31" s="566"/>
      <c r="AP31" s="10" t="s">
        <v>516</v>
      </c>
      <c r="AQ31" s="606" t="s">
        <v>586</v>
      </c>
      <c r="AR31" s="603">
        <v>-51.981145526209986</v>
      </c>
      <c r="AS31" s="600">
        <v>-57.098933665204733</v>
      </c>
      <c r="AT31" s="600">
        <v>-96.830768561186375</v>
      </c>
    </row>
    <row r="32" spans="1:46" ht="16" thickBot="1">
      <c r="A32" s="374"/>
      <c r="B32" s="374" t="s">
        <v>153</v>
      </c>
      <c r="C32" s="19">
        <v>0.91</v>
      </c>
      <c r="D32" s="374"/>
      <c r="E32" s="374"/>
      <c r="F32" s="374"/>
      <c r="G32" s="374">
        <v>907.18499999999995</v>
      </c>
      <c r="H32" s="374"/>
      <c r="J32" s="310" t="s">
        <v>154</v>
      </c>
      <c r="K32" s="320">
        <f>C2-K31</f>
        <v>-294.46311377931613</v>
      </c>
      <c r="M32" s="374"/>
      <c r="V32" s="356" t="s">
        <v>38</v>
      </c>
      <c r="W32" s="354">
        <f t="shared" ref="W32:Y32" si="6">W26/($C$3/24)</f>
        <v>391.35535858178889</v>
      </c>
      <c r="X32" s="348">
        <f t="shared" si="6"/>
        <v>782.71071716357778</v>
      </c>
      <c r="Y32" s="349">
        <f t="shared" si="6"/>
        <v>1174.0660757453666</v>
      </c>
      <c r="AA32" s="414" t="s">
        <v>512</v>
      </c>
      <c r="AQ32" s="606" t="s">
        <v>594</v>
      </c>
      <c r="AR32" s="603">
        <v>-49.218282080447722</v>
      </c>
      <c r="AS32" s="600">
        <v>-53.454064522829633</v>
      </c>
      <c r="AT32" s="600">
        <v>-85.272388405993595</v>
      </c>
    </row>
    <row r="33" spans="1:53" ht="16" thickBot="1">
      <c r="A33" s="374"/>
      <c r="B33" s="11" t="s">
        <v>155</v>
      </c>
      <c r="C33" s="16">
        <v>3.5000000000000003E-2</v>
      </c>
      <c r="D33" s="11" t="s">
        <v>156</v>
      </c>
      <c r="E33" s="374"/>
      <c r="F33" s="374"/>
      <c r="G33" s="252" t="s">
        <v>157</v>
      </c>
      <c r="J33" s="310" t="s">
        <v>158</v>
      </c>
      <c r="K33" s="321">
        <f>K32*C3</f>
        <v>-2192572.3452007878</v>
      </c>
      <c r="L33" s="189"/>
      <c r="M33" s="374"/>
      <c r="V33" s="590" t="s">
        <v>762</v>
      </c>
      <c r="W33" s="10">
        <v>298</v>
      </c>
      <c r="X33" s="10">
        <f>(W33+Y33)/2</f>
        <v>382.5</v>
      </c>
      <c r="Y33" s="10">
        <v>467</v>
      </c>
      <c r="AB33" s="665" t="s">
        <v>513</v>
      </c>
      <c r="AC33" s="666"/>
      <c r="AD33" s="667"/>
      <c r="AQ33" s="606" t="s">
        <v>595</v>
      </c>
      <c r="AR33" s="605">
        <v>3.9212473037855586</v>
      </c>
      <c r="AS33" s="601">
        <v>22.438395092419466</v>
      </c>
      <c r="AT33" s="601">
        <v>193.38797748921388</v>
      </c>
    </row>
    <row r="34" spans="1:53" ht="16" thickBot="1">
      <c r="A34" s="374"/>
      <c r="B34" s="11" t="s">
        <v>159</v>
      </c>
      <c r="C34" s="16">
        <v>0.45</v>
      </c>
      <c r="E34" s="374"/>
      <c r="F34" s="374"/>
      <c r="G34" s="374">
        <v>4.2</v>
      </c>
      <c r="J34" s="13"/>
      <c r="L34" s="408"/>
      <c r="M34" s="374"/>
      <c r="W34" s="374" t="s">
        <v>160</v>
      </c>
      <c r="X34" s="374" t="s">
        <v>161</v>
      </c>
      <c r="Y34" s="374" t="s">
        <v>162</v>
      </c>
      <c r="AB34" s="587" t="s">
        <v>32</v>
      </c>
      <c r="AC34" s="587" t="s">
        <v>502</v>
      </c>
      <c r="AD34" s="588" t="s">
        <v>501</v>
      </c>
      <c r="AQ34" s="606" t="s">
        <v>596</v>
      </c>
      <c r="AR34" s="603">
        <v>-2.8174981127486713</v>
      </c>
      <c r="AS34" s="601">
        <v>12.64202728054596</v>
      </c>
      <c r="AT34" s="601">
        <v>155.53142149263076</v>
      </c>
    </row>
    <row r="35" spans="1:53" ht="16" thickBot="1">
      <c r="A35" s="374"/>
      <c r="B35" s="11" t="s">
        <v>163</v>
      </c>
      <c r="C35" s="16">
        <v>0.42</v>
      </c>
      <c r="D35" s="374"/>
      <c r="E35" s="374"/>
      <c r="F35" s="374"/>
      <c r="G35" s="380"/>
      <c r="H35" s="374"/>
      <c r="L35" s="189"/>
      <c r="M35" s="374"/>
      <c r="V35" s="590" t="s">
        <v>763</v>
      </c>
      <c r="W35" s="10">
        <f>W33*$S$39</f>
        <v>270.34113000000002</v>
      </c>
      <c r="X35" s="10">
        <f>(W35+Y35)/2</f>
        <v>346.99826250000001</v>
      </c>
      <c r="Y35" s="10">
        <f>$Y$33*$S$39</f>
        <v>423.655395</v>
      </c>
      <c r="Z35" s="668" t="s">
        <v>36</v>
      </c>
      <c r="AA35" s="669"/>
      <c r="AB35" s="421" t="s">
        <v>504</v>
      </c>
      <c r="AC35" s="422" t="s">
        <v>504</v>
      </c>
      <c r="AD35" s="422" t="s">
        <v>504</v>
      </c>
      <c r="AP35" s="549"/>
      <c r="AQ35" s="607" t="s">
        <v>597</v>
      </c>
      <c r="AR35" s="604">
        <v>44.07969325126804</v>
      </c>
      <c r="AS35" s="599">
        <v>81.403408056724686</v>
      </c>
      <c r="AT35" s="599">
        <v>421.71448995405137</v>
      </c>
    </row>
    <row r="36" spans="1:53" ht="33" thickBot="1">
      <c r="A36" s="374"/>
      <c r="B36" s="11" t="s">
        <v>164</v>
      </c>
      <c r="C36" s="16">
        <v>2.6019999999999999</v>
      </c>
      <c r="D36" s="374"/>
      <c r="E36" s="374"/>
      <c r="F36" s="374"/>
      <c r="G36" s="374"/>
      <c r="J36" s="316" t="s">
        <v>165</v>
      </c>
      <c r="R36" s="189">
        <f>SUM(L12:Q12)</f>
        <v>111.53774117647058</v>
      </c>
      <c r="S36" s="10">
        <f>R36/(1-C32)*C32</f>
        <v>1127.7704941176473</v>
      </c>
      <c r="U36" s="456" t="s">
        <v>591</v>
      </c>
      <c r="Z36" s="424" t="s">
        <v>515</v>
      </c>
      <c r="AA36" s="425" t="s">
        <v>129</v>
      </c>
      <c r="AB36" s="530">
        <f>$AK$24 * SUM(AB$26:AB$27) * 0.6</f>
        <v>17302.292099999999</v>
      </c>
      <c r="AC36" s="426">
        <f t="shared" ref="AC36:AD36" si="7">$AK$24 * SUM(AC$26:AC$27) * 0.6</f>
        <v>25455.27447</v>
      </c>
      <c r="AD36" s="430">
        <f t="shared" si="7"/>
        <v>98605.273409999994</v>
      </c>
    </row>
    <row r="37" spans="1:53" ht="15.75" customHeight="1" thickBot="1">
      <c r="A37" s="374"/>
      <c r="B37" s="11" t="s">
        <v>166</v>
      </c>
      <c r="C37" s="16">
        <v>1.1499999999999999</v>
      </c>
      <c r="D37" s="11" t="s">
        <v>167</v>
      </c>
      <c r="E37" s="374"/>
      <c r="F37" s="374"/>
      <c r="G37" s="374"/>
      <c r="J37" s="310">
        <f>(K26+K32)*C3</f>
        <v>869212.30205995589</v>
      </c>
      <c r="K37" s="310" t="s">
        <v>168</v>
      </c>
      <c r="V37" s="441" t="s">
        <v>169</v>
      </c>
      <c r="W37" s="442">
        <f>W40+W41+W38</f>
        <v>38.877435748792266</v>
      </c>
      <c r="X37" s="352"/>
      <c r="Z37" s="427" t="s">
        <v>516</v>
      </c>
      <c r="AA37" s="428" t="s">
        <v>130</v>
      </c>
      <c r="AB37" s="591">
        <f>$AK$25 * SUM(AB$26:AB$27) * 0.6</f>
        <v>34604.584199999998</v>
      </c>
      <c r="AC37" s="431">
        <f t="shared" ref="AC37:AD37" si="8">$AK$25 * SUM(AC$26:AC$27) * 0.6</f>
        <v>50910.548940000001</v>
      </c>
      <c r="AD37" s="432">
        <f t="shared" si="8"/>
        <v>197210.54681999999</v>
      </c>
      <c r="AE37" s="536"/>
      <c r="AF37" s="536"/>
      <c r="AG37" s="536"/>
      <c r="AK37" s="690" t="s">
        <v>730</v>
      </c>
      <c r="AL37" s="700" t="s">
        <v>731</v>
      </c>
      <c r="AM37" s="700" t="s">
        <v>729</v>
      </c>
      <c r="AN37" s="700"/>
      <c r="AO37" s="700"/>
      <c r="AP37"/>
      <c r="AQ37"/>
      <c r="AR37"/>
      <c r="AT37" s="690" t="s">
        <v>730</v>
      </c>
      <c r="AU37" s="555" t="s">
        <v>731</v>
      </c>
      <c r="AV37" s="700" t="s">
        <v>729</v>
      </c>
      <c r="AW37" s="700"/>
      <c r="AX37" s="700"/>
      <c r="AY37"/>
      <c r="AZ37"/>
      <c r="BA37"/>
    </row>
    <row r="38" spans="1:53" ht="16" thickBot="1">
      <c r="A38" s="374"/>
      <c r="B38" s="11" t="s">
        <v>170</v>
      </c>
      <c r="C38" s="19">
        <v>0.06</v>
      </c>
      <c r="D38" s="11"/>
      <c r="E38" s="374"/>
      <c r="F38" s="374"/>
      <c r="G38" s="374"/>
      <c r="J38" s="10">
        <v>12.52</v>
      </c>
      <c r="K38" s="374" t="s">
        <v>171</v>
      </c>
      <c r="R38" s="470" t="s">
        <v>644</v>
      </c>
      <c r="S38" s="470" t="s">
        <v>645</v>
      </c>
      <c r="V38" s="443" t="s">
        <v>172</v>
      </c>
      <c r="W38" s="15">
        <v>0</v>
      </c>
      <c r="X38" s="347"/>
      <c r="AE38" s="586"/>
      <c r="AF38" s="586"/>
      <c r="AG38" s="586"/>
      <c r="AK38" s="663"/>
      <c r="AL38" s="663"/>
      <c r="AM38" t="s">
        <v>32</v>
      </c>
      <c r="AN38" s="1" t="s">
        <v>502</v>
      </c>
      <c r="AO38" s="1" t="s">
        <v>501</v>
      </c>
      <c r="AP38"/>
      <c r="AQ38" s="1"/>
      <c r="AR38"/>
      <c r="AT38" s="663"/>
      <c r="AU38"/>
      <c r="AV38" t="s">
        <v>32</v>
      </c>
      <c r="AW38" t="s">
        <v>502</v>
      </c>
      <c r="AX38" t="s">
        <v>593</v>
      </c>
      <c r="AY38"/>
      <c r="BA38"/>
    </row>
    <row r="39" spans="1:53" ht="16" thickBot="1">
      <c r="A39" s="374"/>
      <c r="B39" s="11" t="s">
        <v>173</v>
      </c>
      <c r="C39" s="20">
        <v>2.3099999999999999E-2</v>
      </c>
      <c r="D39" s="374"/>
      <c r="E39" s="374"/>
      <c r="F39" s="374"/>
      <c r="G39" s="374"/>
      <c r="R39" s="10">
        <v>1</v>
      </c>
      <c r="S39" s="10">
        <v>0.90718500000000002</v>
      </c>
      <c r="V39" s="443" t="s">
        <v>174</v>
      </c>
      <c r="W39" s="15">
        <v>6</v>
      </c>
      <c r="X39" s="444" t="s">
        <v>175</v>
      </c>
      <c r="Y39" s="317" t="s">
        <v>176</v>
      </c>
      <c r="AB39" s="665" t="s">
        <v>517</v>
      </c>
      <c r="AC39" s="666"/>
      <c r="AD39" s="667"/>
      <c r="AE39" s="665" t="s">
        <v>775</v>
      </c>
      <c r="AF39" s="666"/>
      <c r="AG39" s="667"/>
      <c r="AK39" s="701"/>
      <c r="AL39" s="701"/>
      <c r="AM39" s="481" t="s">
        <v>504</v>
      </c>
      <c r="AN39" s="481" t="s">
        <v>505</v>
      </c>
      <c r="AO39" s="481" t="s">
        <v>504</v>
      </c>
      <c r="AP39" s="334"/>
      <c r="AQ39"/>
      <c r="AR39"/>
      <c r="AT39" s="701"/>
      <c r="AU39" s="481"/>
      <c r="AV39" s="481" t="s">
        <v>504</v>
      </c>
      <c r="AW39" s="481" t="s">
        <v>505</v>
      </c>
      <c r="AX39" s="481" t="s">
        <v>504</v>
      </c>
      <c r="AY39" s="334"/>
      <c r="AZ39"/>
      <c r="BA39"/>
    </row>
    <row r="40" spans="1:53" ht="16" thickBot="1">
      <c r="A40" s="374"/>
      <c r="B40" s="11" t="s">
        <v>177</v>
      </c>
      <c r="C40" s="19">
        <v>0.27660000000000001</v>
      </c>
      <c r="D40" s="374"/>
      <c r="E40" s="11" t="s">
        <v>178</v>
      </c>
      <c r="F40" s="374"/>
      <c r="G40" s="374"/>
      <c r="R40" s="10">
        <v>835</v>
      </c>
      <c r="S40" s="10">
        <f>R40*$S$39</f>
        <v>757.49947499999996</v>
      </c>
      <c r="U40" s="10">
        <v>22</v>
      </c>
      <c r="V40" s="443" t="s">
        <v>179</v>
      </c>
      <c r="W40" s="437">
        <v>22</v>
      </c>
      <c r="X40" s="347"/>
      <c r="Y40" s="317" t="s">
        <v>180</v>
      </c>
      <c r="AB40" s="587" t="s">
        <v>32</v>
      </c>
      <c r="AC40" s="587" t="s">
        <v>502</v>
      </c>
      <c r="AD40" s="588" t="s">
        <v>501</v>
      </c>
      <c r="AE40" s="587" t="s">
        <v>32</v>
      </c>
      <c r="AF40" s="587" t="s">
        <v>502</v>
      </c>
      <c r="AG40" s="588" t="s">
        <v>501</v>
      </c>
      <c r="AK40" t="s">
        <v>518</v>
      </c>
      <c r="AL40" t="s">
        <v>586</v>
      </c>
      <c r="AM40" s="596">
        <f>AB55</f>
        <v>-44.8097311219069</v>
      </c>
      <c r="AN40" s="596">
        <f t="shared" ref="AN40:AO40" si="9">AC55</f>
        <v>-48.324412216513636</v>
      </c>
      <c r="AO40" s="596">
        <f t="shared" si="9"/>
        <v>-76.072909909525166</v>
      </c>
      <c r="AP40" s="520"/>
      <c r="AQ40" s="520"/>
      <c r="AR40" s="520"/>
      <c r="AT40" t="s">
        <v>518</v>
      </c>
      <c r="AU40" t="s">
        <v>586</v>
      </c>
      <c r="AV40" s="520">
        <f>AM40</f>
        <v>-44.8097311219069</v>
      </c>
      <c r="AW40" s="520">
        <f>AN40</f>
        <v>-48.324412216513636</v>
      </c>
      <c r="AX40" s="520">
        <f>AO40</f>
        <v>-76.072909909525166</v>
      </c>
      <c r="AY40" s="520"/>
      <c r="AZ40" s="519"/>
      <c r="BA40" s="519"/>
    </row>
    <row r="41" spans="1:53" ht="16" thickBot="1">
      <c r="A41" s="374"/>
      <c r="B41" s="374" t="s">
        <v>181</v>
      </c>
      <c r="C41" s="19">
        <v>0.6</v>
      </c>
      <c r="D41" s="374"/>
      <c r="E41" s="11" t="s">
        <v>178</v>
      </c>
      <c r="F41" s="374"/>
      <c r="G41" s="374"/>
      <c r="V41" s="443" t="s">
        <v>182</v>
      </c>
      <c r="W41" s="438">
        <f>W42+W43*W46*W45</f>
        <v>16.877435748792269</v>
      </c>
      <c r="X41" s="444" t="s">
        <v>183</v>
      </c>
      <c r="Z41" s="668" t="s">
        <v>36</v>
      </c>
      <c r="AA41" s="669"/>
      <c r="AB41" s="421" t="s">
        <v>504</v>
      </c>
      <c r="AC41" s="422" t="s">
        <v>504</v>
      </c>
      <c r="AD41" s="422" t="s">
        <v>504</v>
      </c>
      <c r="AE41" s="421" t="s">
        <v>504</v>
      </c>
      <c r="AF41" s="422" t="s">
        <v>504</v>
      </c>
      <c r="AG41" s="422" t="s">
        <v>504</v>
      </c>
      <c r="AK41"/>
      <c r="AL41" t="s">
        <v>594</v>
      </c>
      <c r="AM41" s="596">
        <f>AB61</f>
        <v>-42.821128728849132</v>
      </c>
      <c r="AN41" s="596">
        <f t="shared" ref="AN41:AO41" si="10">AC61</f>
        <v>-45.818642304119983</v>
      </c>
      <c r="AO41" s="596">
        <f t="shared" si="10"/>
        <v>-68.927021599423966</v>
      </c>
      <c r="AP41" s="519"/>
      <c r="AQ41" s="519"/>
      <c r="AR41" s="519"/>
      <c r="AT41"/>
      <c r="AU41" t="s">
        <v>594</v>
      </c>
      <c r="AV41" s="520">
        <f t="shared" ref="AV41:AV49" si="11">AM41</f>
        <v>-42.821128728849132</v>
      </c>
      <c r="AW41" s="520">
        <f t="shared" ref="AW41:AW49" si="12">AN41</f>
        <v>-45.818642304119983</v>
      </c>
      <c r="AX41" s="520">
        <f t="shared" ref="AX41:AX49" si="13">AO41</f>
        <v>-68.927021599423966</v>
      </c>
      <c r="AY41" s="520"/>
      <c r="AZ41" s="519"/>
      <c r="BA41" s="519"/>
    </row>
    <row r="42" spans="1:53" ht="16" thickBot="1">
      <c r="B42" s="374" t="s">
        <v>184</v>
      </c>
      <c r="C42" s="409">
        <v>0.1</v>
      </c>
      <c r="V42" s="443" t="s">
        <v>185</v>
      </c>
      <c r="W42" s="15">
        <v>4.3899999999999997</v>
      </c>
      <c r="X42" s="444" t="s">
        <v>183</v>
      </c>
      <c r="Z42" s="424" t="s">
        <v>515</v>
      </c>
      <c r="AA42" s="425" t="s">
        <v>129</v>
      </c>
      <c r="AB42" s="609">
        <f>AB36 /($C$3/24)</f>
        <v>55.768870588235288</v>
      </c>
      <c r="AC42" s="530">
        <f t="shared" ref="AC42:AD42" si="14">AC36 /($C$3/24)</f>
        <v>82.047621176470585</v>
      </c>
      <c r="AD42" s="530">
        <f t="shared" si="14"/>
        <v>317.8252164705882</v>
      </c>
      <c r="AE42" s="530">
        <f>AB42*$X$74</f>
        <v>50.592682864588234</v>
      </c>
      <c r="AF42" s="530">
        <f t="shared" ref="AF42:AG43" si="15">AC42*$X$74</f>
        <v>74.432371216976463</v>
      </c>
      <c r="AG42" s="530">
        <f t="shared" si="15"/>
        <v>288.32626900387055</v>
      </c>
      <c r="AK42"/>
      <c r="AL42" t="s">
        <v>595</v>
      </c>
      <c r="AM42" s="596">
        <f>AB67</f>
        <v>-14.461609141840762</v>
      </c>
      <c r="AN42" s="596">
        <f t="shared" ref="AN42:AO42" si="16">AC67</f>
        <v>-5.5412998799568154</v>
      </c>
      <c r="AO42" s="597">
        <f t="shared" si="16"/>
        <v>74.227943075395885</v>
      </c>
      <c r="AP42" s="570"/>
      <c r="AQ42" s="570"/>
      <c r="AR42" s="570"/>
      <c r="AT42"/>
      <c r="AU42" t="s">
        <v>595</v>
      </c>
      <c r="AV42" s="571">
        <f t="shared" si="11"/>
        <v>-14.461609141840762</v>
      </c>
      <c r="AW42" s="571">
        <f t="shared" si="12"/>
        <v>-5.5412998799568154</v>
      </c>
      <c r="AX42" s="571">
        <f t="shared" si="13"/>
        <v>74.227943075395885</v>
      </c>
      <c r="AY42" s="571"/>
      <c r="AZ42" s="570"/>
      <c r="BA42" s="570"/>
    </row>
    <row r="43" spans="1:53" ht="16" thickBot="1">
      <c r="B43" s="374" t="s">
        <v>186</v>
      </c>
      <c r="C43" s="409">
        <v>0.97</v>
      </c>
      <c r="V43" s="443" t="s">
        <v>187</v>
      </c>
      <c r="W43" s="438">
        <f>0.12/0.621</f>
        <v>0.19323671497584541</v>
      </c>
      <c r="X43" s="444" t="s">
        <v>188</v>
      </c>
      <c r="Z43" s="427" t="s">
        <v>516</v>
      </c>
      <c r="AA43" s="428" t="s">
        <v>130</v>
      </c>
      <c r="AB43" s="530">
        <f>AB37 /($C$3/24)</f>
        <v>111.53774117647058</v>
      </c>
      <c r="AC43" s="530">
        <f t="shared" ref="AC43:AD43" si="17">AC37 /($C$3/24)</f>
        <v>164.09524235294117</v>
      </c>
      <c r="AD43" s="530">
        <f t="shared" si="17"/>
        <v>635.6504329411764</v>
      </c>
      <c r="AE43" s="530">
        <f>AB43*$X$74</f>
        <v>101.18536572917647</v>
      </c>
      <c r="AF43" s="530">
        <f t="shared" si="15"/>
        <v>148.86474243395293</v>
      </c>
      <c r="AG43" s="530">
        <f t="shared" si="15"/>
        <v>576.6525380077411</v>
      </c>
      <c r="AK43"/>
      <c r="AL43" t="s">
        <v>596</v>
      </c>
      <c r="AM43" s="596">
        <f>AB73</f>
        <v>-18.074359595892187</v>
      </c>
      <c r="AN43" s="596">
        <f t="shared" ref="AN43:AO43" si="18">AC73</f>
        <v>-10.627463311724227</v>
      </c>
      <c r="AO43" s="597">
        <f t="shared" si="18"/>
        <v>55.299665077104272</v>
      </c>
      <c r="AP43" s="570"/>
      <c r="AQ43" s="570"/>
      <c r="AR43" s="570"/>
      <c r="AT43"/>
      <c r="AU43" t="s">
        <v>596</v>
      </c>
      <c r="AV43" s="571">
        <f t="shared" si="11"/>
        <v>-18.074359595892187</v>
      </c>
      <c r="AW43" s="571">
        <f t="shared" si="12"/>
        <v>-10.627463311724227</v>
      </c>
      <c r="AX43" s="571">
        <f t="shared" si="13"/>
        <v>55.299665077104272</v>
      </c>
      <c r="AY43" s="571"/>
      <c r="AZ43" s="570"/>
      <c r="BA43" s="570"/>
    </row>
    <row r="44" spans="1:53" ht="16" thickBot="1">
      <c r="V44" s="443"/>
      <c r="W44" s="15"/>
      <c r="X44" s="347"/>
      <c r="Z44" s="414" t="s">
        <v>147</v>
      </c>
      <c r="AB44" s="414"/>
      <c r="AC44" s="429"/>
      <c r="AD44" s="429"/>
      <c r="AE44" s="429"/>
      <c r="AF44" s="429"/>
      <c r="AK44"/>
      <c r="AL44" t="s">
        <v>597</v>
      </c>
      <c r="AM44" s="257">
        <f>AB79</f>
        <v>6.1803665968784243</v>
      </c>
      <c r="AN44" s="257">
        <f t="shared" ref="AN44:AO44" si="19">AC79</f>
        <v>24.164217793336071</v>
      </c>
      <c r="AO44" s="257">
        <f t="shared" si="19"/>
        <v>188.39119930781453</v>
      </c>
      <c r="AP44" s="494"/>
      <c r="AQ44" s="494"/>
      <c r="AR44" s="494"/>
      <c r="AT44"/>
      <c r="AU44" t="s">
        <v>597</v>
      </c>
      <c r="AV44" s="571">
        <f t="shared" si="11"/>
        <v>6.1803665968784243</v>
      </c>
      <c r="AW44" s="571">
        <f t="shared" si="12"/>
        <v>24.164217793336071</v>
      </c>
      <c r="AX44" s="571">
        <f t="shared" si="13"/>
        <v>188.39119930781453</v>
      </c>
      <c r="AY44" s="571"/>
      <c r="AZ44" s="570"/>
      <c r="BA44" s="570"/>
    </row>
    <row r="45" spans="1:53" ht="15.75" customHeight="1" thickBot="1">
      <c r="A45" s="314" t="s">
        <v>189</v>
      </c>
      <c r="B45" s="314" t="s">
        <v>190</v>
      </c>
      <c r="C45" s="1"/>
      <c r="D45"/>
      <c r="E45"/>
      <c r="F45"/>
      <c r="V45" s="443" t="s">
        <v>191</v>
      </c>
      <c r="W45" s="15">
        <v>1.3</v>
      </c>
      <c r="X45" s="347"/>
      <c r="AB45" s="665" t="s">
        <v>765</v>
      </c>
      <c r="AC45" s="666"/>
      <c r="AD45" s="667"/>
      <c r="AE45" s="536"/>
      <c r="AF45" s="536"/>
      <c r="AG45" s="536" t="s">
        <v>766</v>
      </c>
      <c r="AH45" s="590" t="s">
        <v>140</v>
      </c>
      <c r="AK45" t="s">
        <v>516</v>
      </c>
      <c r="AL45" t="s">
        <v>586</v>
      </c>
      <c r="AM45" s="596">
        <f>AB56</f>
        <v>-52.100011427057268</v>
      </c>
      <c r="AN45" s="596">
        <f t="shared" ref="AN45:AO45" si="20">AC56</f>
        <v>-58.529582046203799</v>
      </c>
      <c r="AO45" s="596">
        <f t="shared" si="20"/>
        <v>-109.52877733856067</v>
      </c>
      <c r="AP45" s="519"/>
      <c r="AQ45" s="519"/>
      <c r="AR45" s="519"/>
      <c r="AT45" t="s">
        <v>516</v>
      </c>
      <c r="AU45" t="s">
        <v>586</v>
      </c>
      <c r="AV45" s="520">
        <f t="shared" si="11"/>
        <v>-52.100011427057268</v>
      </c>
      <c r="AW45" s="520">
        <f t="shared" si="12"/>
        <v>-58.529582046203799</v>
      </c>
      <c r="AX45" s="520">
        <f t="shared" si="13"/>
        <v>-109.52877733856067</v>
      </c>
      <c r="AY45" s="520"/>
      <c r="AZ45" s="519"/>
      <c r="BA45" s="519"/>
    </row>
    <row r="46" spans="1:53" ht="16" thickBot="1">
      <c r="A46" s="259" t="s">
        <v>192</v>
      </c>
      <c r="B46" s="22" t="s">
        <v>103</v>
      </c>
      <c r="C46"/>
      <c r="D46"/>
      <c r="E46"/>
      <c r="F46"/>
      <c r="U46" s="10">
        <v>49.709599999999995</v>
      </c>
      <c r="V46" s="443" t="s">
        <v>193</v>
      </c>
      <c r="W46" s="439">
        <f>U46</f>
        <v>49.709599999999995</v>
      </c>
      <c r="X46" s="444" t="s">
        <v>194</v>
      </c>
      <c r="AB46" s="587" t="s">
        <v>32</v>
      </c>
      <c r="AC46" s="587" t="s">
        <v>502</v>
      </c>
      <c r="AD46" s="588" t="s">
        <v>501</v>
      </c>
      <c r="AE46" s="586"/>
      <c r="AF46" s="586"/>
      <c r="AG46" s="586">
        <v>0.85</v>
      </c>
      <c r="AK46"/>
      <c r="AL46" t="s">
        <v>594</v>
      </c>
      <c r="AM46" s="596">
        <f>AB62</f>
        <v>-49.013874036609096</v>
      </c>
      <c r="AN46" s="596">
        <f t="shared" ref="AN46:AO46" si="21">AC62</f>
        <v>-54.409109617083864</v>
      </c>
      <c r="AO46" s="596">
        <f t="shared" si="21"/>
        <v>-96.128068114025609</v>
      </c>
      <c r="AP46" s="519"/>
      <c r="AQ46" s="519"/>
      <c r="AR46" s="519"/>
      <c r="AT46"/>
      <c r="AU46" t="s">
        <v>594</v>
      </c>
      <c r="AV46" s="520">
        <f t="shared" si="11"/>
        <v>-49.013874036609096</v>
      </c>
      <c r="AW46" s="520">
        <f t="shared" si="12"/>
        <v>-54.409109617083864</v>
      </c>
      <c r="AX46" s="520">
        <f t="shared" si="13"/>
        <v>-96.128068114025609</v>
      </c>
      <c r="AY46" s="520"/>
      <c r="AZ46" s="519"/>
      <c r="BA46" s="519"/>
    </row>
    <row r="47" spans="1:53" ht="16" thickBot="1">
      <c r="A47" s="259" t="s">
        <v>195</v>
      </c>
      <c r="B47" s="259" t="s">
        <v>196</v>
      </c>
      <c r="C47"/>
      <c r="D47"/>
      <c r="E47"/>
      <c r="F47"/>
      <c r="V47" s="443" t="s">
        <v>174</v>
      </c>
      <c r="W47" s="15">
        <v>0</v>
      </c>
      <c r="X47" s="444" t="s">
        <v>197</v>
      </c>
      <c r="Z47" s="668" t="s">
        <v>36</v>
      </c>
      <c r="AA47" s="669"/>
      <c r="AB47" s="422" t="s">
        <v>504</v>
      </c>
      <c r="AC47" s="422" t="s">
        <v>504</v>
      </c>
      <c r="AD47" s="422" t="s">
        <v>504</v>
      </c>
      <c r="AE47" s="414"/>
      <c r="AF47" s="414"/>
      <c r="AG47" s="414"/>
      <c r="AK47"/>
      <c r="AL47" t="s">
        <v>595</v>
      </c>
      <c r="AM47" s="257">
        <f>AB68</f>
        <v>4.2953231148359032</v>
      </c>
      <c r="AN47" s="257">
        <f t="shared" ref="AN47:AO47" si="22">AC68</f>
        <v>21.871408658607013</v>
      </c>
      <c r="AO47" s="257">
        <f t="shared" si="22"/>
        <v>184.90019046438169</v>
      </c>
      <c r="AP47" s="494"/>
      <c r="AQ47" s="494"/>
      <c r="AR47" s="494"/>
      <c r="AT47"/>
      <c r="AU47" t="s">
        <v>595</v>
      </c>
      <c r="AV47" s="571">
        <f t="shared" si="11"/>
        <v>4.2953231148359032</v>
      </c>
      <c r="AW47" s="571">
        <f t="shared" si="12"/>
        <v>21.871408658607013</v>
      </c>
      <c r="AX47" s="571">
        <f t="shared" si="13"/>
        <v>184.90019046438169</v>
      </c>
      <c r="AY47" s="571"/>
      <c r="AZ47" s="570"/>
      <c r="BA47" s="570"/>
    </row>
    <row r="48" spans="1:53" ht="16" thickBot="1">
      <c r="A48" s="259" t="s">
        <v>198</v>
      </c>
      <c r="B48" s="259" t="s">
        <v>199</v>
      </c>
      <c r="C48"/>
      <c r="D48"/>
      <c r="E48"/>
      <c r="F48"/>
      <c r="V48" s="443" t="s">
        <v>200</v>
      </c>
      <c r="W48" s="15">
        <v>0.6</v>
      </c>
      <c r="X48" s="347"/>
      <c r="Z48" s="424" t="s">
        <v>518</v>
      </c>
      <c r="AA48" s="425" t="s">
        <v>129</v>
      </c>
      <c r="AB48" s="530">
        <f>AB42* $L$4</f>
        <v>47.555636919786096</v>
      </c>
      <c r="AC48" s="530">
        <f t="shared" ref="AC48:AD48" si="23">AC42* $L$4</f>
        <v>69.964244239572196</v>
      </c>
      <c r="AD48" s="530">
        <f t="shared" si="23"/>
        <v>271.01823004491979</v>
      </c>
      <c r="AE48" s="429"/>
      <c r="AF48" s="429"/>
      <c r="AG48" s="429"/>
      <c r="AK48"/>
      <c r="AL48" t="s">
        <v>596</v>
      </c>
      <c r="AM48" s="596">
        <f>AB74</f>
        <v>-2.4413695024355015</v>
      </c>
      <c r="AN48" s="257">
        <f t="shared" ref="AN48:AO48" si="24">AC74</f>
        <v>12.074336962307342</v>
      </c>
      <c r="AO48" s="257">
        <f t="shared" si="24"/>
        <v>147.04363446779848</v>
      </c>
      <c r="AP48" s="494"/>
      <c r="AQ48" s="494"/>
      <c r="AR48" s="494"/>
      <c r="AT48"/>
      <c r="AU48" t="s">
        <v>596</v>
      </c>
      <c r="AV48" s="571">
        <f t="shared" si="11"/>
        <v>-2.4413695024355015</v>
      </c>
      <c r="AW48" s="571">
        <f t="shared" si="12"/>
        <v>12.074336962307342</v>
      </c>
      <c r="AX48" s="571">
        <f t="shared" si="13"/>
        <v>147.04363446779848</v>
      </c>
      <c r="AY48" s="571"/>
      <c r="AZ48" s="570"/>
      <c r="BA48" s="570"/>
    </row>
    <row r="49" spans="1:62" ht="16" thickBot="1">
      <c r="A49" s="259" t="s">
        <v>201</v>
      </c>
      <c r="B49" s="259" t="s">
        <v>202</v>
      </c>
      <c r="C49"/>
      <c r="D49"/>
      <c r="E49"/>
      <c r="F49"/>
      <c r="V49" s="353"/>
      <c r="W49" s="15"/>
      <c r="X49" s="347"/>
      <c r="Z49" s="427" t="s">
        <v>516</v>
      </c>
      <c r="AA49" s="428" t="s">
        <v>130</v>
      </c>
      <c r="AB49" s="530">
        <f>AB43* $L$4</f>
        <v>95.111273839572192</v>
      </c>
      <c r="AC49" s="530">
        <f t="shared" ref="AC49:AD49" si="25">AC43* $L$4</f>
        <v>139.92848847914439</v>
      </c>
      <c r="AD49" s="530">
        <f t="shared" si="25"/>
        <v>542.03646008983958</v>
      </c>
      <c r="AE49" s="429"/>
      <c r="AF49" s="619" t="s">
        <v>777</v>
      </c>
      <c r="AG49" s="429">
        <f>MIN(AB55:AD80)</f>
        <v>-109.52877733856067</v>
      </c>
      <c r="AK49" s="481">
        <v>203791.41116499892</v>
      </c>
      <c r="AL49" s="481">
        <v>299819.60053914884</v>
      </c>
      <c r="AM49" s="598">
        <v>1161401.4894901956</v>
      </c>
      <c r="AN49" s="598">
        <f t="shared" ref="AN49:AO49" si="26">AC80</f>
        <v>80.835732464608668</v>
      </c>
      <c r="AO49" s="598">
        <f t="shared" si="26"/>
        <v>413.22670292921913</v>
      </c>
      <c r="AP49" s="494"/>
      <c r="AQ49" s="494"/>
      <c r="AR49" s="494"/>
      <c r="AT49" s="481"/>
      <c r="AU49" s="481" t="s">
        <v>597</v>
      </c>
      <c r="AV49" s="572">
        <f t="shared" si="11"/>
        <v>1161401.4894901956</v>
      </c>
      <c r="AW49" s="572">
        <f t="shared" si="12"/>
        <v>80.835732464608668</v>
      </c>
      <c r="AX49" s="572">
        <f t="shared" si="13"/>
        <v>413.22670292921913</v>
      </c>
      <c r="AY49" s="571"/>
      <c r="AZ49" s="570"/>
      <c r="BA49" s="570"/>
    </row>
    <row r="50" spans="1:62">
      <c r="A50" s="259" t="s">
        <v>104</v>
      </c>
      <c r="B50" s="315" t="s">
        <v>203</v>
      </c>
      <c r="C50"/>
      <c r="D50"/>
      <c r="E50"/>
      <c r="F50"/>
      <c r="V50" s="443" t="s">
        <v>204</v>
      </c>
      <c r="W50" s="440">
        <f>W51+W52*W53</f>
        <v>7.0806119162640906</v>
      </c>
      <c r="X50" s="444" t="s">
        <v>183</v>
      </c>
      <c r="AF50" s="620" t="s">
        <v>778</v>
      </c>
      <c r="AG50" s="429">
        <f>MAX(AB55:AD80)</f>
        <v>413.22670292921913</v>
      </c>
      <c r="AK50" s="10">
        <v>407582.82232999784</v>
      </c>
      <c r="AL50" s="10">
        <v>599639.20107829769</v>
      </c>
      <c r="AM50" s="10">
        <v>2322802.9789803913</v>
      </c>
    </row>
    <row r="51" spans="1:62" ht="16" thickBot="1">
      <c r="A51" s="259" t="s">
        <v>112</v>
      </c>
      <c r="B51" s="259" t="s">
        <v>205</v>
      </c>
      <c r="C51"/>
      <c r="D51"/>
      <c r="E51"/>
      <c r="F51"/>
      <c r="V51" s="443" t="s">
        <v>185</v>
      </c>
      <c r="W51" s="15">
        <v>3.86</v>
      </c>
      <c r="X51" s="444" t="s">
        <v>183</v>
      </c>
    </row>
    <row r="52" spans="1:62" ht="15.75" customHeight="1" thickBot="1">
      <c r="A52" s="259" t="s">
        <v>114</v>
      </c>
      <c r="B52" s="259" t="s">
        <v>324</v>
      </c>
      <c r="C52"/>
      <c r="D52"/>
      <c r="E52"/>
      <c r="F52"/>
      <c r="V52" s="443" t="s">
        <v>187</v>
      </c>
      <c r="W52" s="438">
        <f>0.05/0.621</f>
        <v>8.0515297906602265E-2</v>
      </c>
      <c r="X52" s="444" t="s">
        <v>188</v>
      </c>
      <c r="AB52" s="665" t="s">
        <v>519</v>
      </c>
      <c r="AC52" s="666"/>
      <c r="AD52" s="667"/>
      <c r="AE52" s="536"/>
      <c r="AF52" s="536"/>
      <c r="AG52" s="536"/>
      <c r="AK52" s="665" t="s">
        <v>728</v>
      </c>
      <c r="AL52" s="666"/>
      <c r="AM52" s="667"/>
      <c r="AN52" s="536"/>
      <c r="AO52" s="536"/>
      <c r="AP52" s="536"/>
      <c r="AT52" s="665" t="s">
        <v>753</v>
      </c>
      <c r="AU52" s="666"/>
      <c r="AV52" s="667"/>
      <c r="AW52" s="536"/>
      <c r="AX52" s="536"/>
      <c r="AY52" s="536"/>
      <c r="BA52" s="417"/>
      <c r="BB52" s="665" t="s">
        <v>500</v>
      </c>
      <c r="BC52" s="666"/>
      <c r="BD52" s="666"/>
      <c r="BE52" s="666" t="s">
        <v>782</v>
      </c>
      <c r="BF52" s="666"/>
      <c r="BG52" s="667"/>
      <c r="BH52" s="536"/>
      <c r="BI52" s="536"/>
      <c r="BJ52" s="536"/>
    </row>
    <row r="53" spans="1:62" ht="16" thickBot="1">
      <c r="A53" s="259" t="s">
        <v>106</v>
      </c>
      <c r="B53" s="259" t="s">
        <v>206</v>
      </c>
      <c r="C53"/>
      <c r="D53"/>
      <c r="E53"/>
      <c r="F53"/>
      <c r="V53" s="427" t="s">
        <v>207</v>
      </c>
      <c r="W53" s="348">
        <v>40</v>
      </c>
      <c r="X53" s="434" t="s">
        <v>194</v>
      </c>
      <c r="AB53" s="587" t="s">
        <v>32</v>
      </c>
      <c r="AC53" s="587" t="s">
        <v>502</v>
      </c>
      <c r="AD53" s="588" t="s">
        <v>501</v>
      </c>
      <c r="AE53" s="586"/>
      <c r="AF53" s="586"/>
      <c r="AG53" s="586"/>
      <c r="AK53" s="587" t="s">
        <v>32</v>
      </c>
      <c r="AL53" s="587" t="s">
        <v>502</v>
      </c>
      <c r="AM53" s="588" t="s">
        <v>501</v>
      </c>
      <c r="AN53" s="586"/>
      <c r="AO53" s="586"/>
      <c r="AP53" s="586"/>
      <c r="AT53" s="587" t="s">
        <v>32</v>
      </c>
      <c r="AU53" s="587" t="s">
        <v>502</v>
      </c>
      <c r="AV53" s="588" t="s">
        <v>501</v>
      </c>
      <c r="AW53" s="586"/>
      <c r="AX53" s="586"/>
      <c r="AY53" s="586"/>
      <c r="BA53" s="420"/>
      <c r="BB53" s="587" t="s">
        <v>32</v>
      </c>
      <c r="BC53" s="587" t="s">
        <v>502</v>
      </c>
      <c r="BD53" s="588" t="s">
        <v>501</v>
      </c>
      <c r="BE53" s="621" t="s">
        <v>32</v>
      </c>
      <c r="BF53" s="587" t="s">
        <v>502</v>
      </c>
      <c r="BG53" s="588" t="s">
        <v>501</v>
      </c>
      <c r="BH53" s="586"/>
      <c r="BI53" s="586"/>
      <c r="BJ53" s="586"/>
    </row>
    <row r="54" spans="1:62" ht="16" thickBot="1">
      <c r="A54" s="259" t="s">
        <v>208</v>
      </c>
      <c r="B54" s="259" t="s">
        <v>209</v>
      </c>
      <c r="C54"/>
      <c r="D54"/>
      <c r="E54"/>
      <c r="F54"/>
      <c r="Z54" s="696" t="s">
        <v>36</v>
      </c>
      <c r="AA54" s="697"/>
      <c r="AB54" s="421" t="s">
        <v>504</v>
      </c>
      <c r="AC54" s="422" t="s">
        <v>504</v>
      </c>
      <c r="AD54" s="422" t="s">
        <v>504</v>
      </c>
      <c r="AE54" s="586"/>
      <c r="AF54" s="586"/>
      <c r="AG54" s="586"/>
      <c r="AI54" s="696" t="s">
        <v>36</v>
      </c>
      <c r="AJ54" s="697"/>
      <c r="AK54" s="421" t="s">
        <v>504</v>
      </c>
      <c r="AL54" s="422" t="s">
        <v>504</v>
      </c>
      <c r="AM54" s="422" t="s">
        <v>504</v>
      </c>
      <c r="AN54" s="414"/>
      <c r="AO54" s="414"/>
      <c r="AP54" s="414"/>
      <c r="AR54" s="696" t="s">
        <v>36</v>
      </c>
      <c r="AS54" s="697"/>
      <c r="AT54" s="421" t="s">
        <v>504</v>
      </c>
      <c r="AU54" s="422" t="s">
        <v>504</v>
      </c>
      <c r="AV54" s="422" t="s">
        <v>504</v>
      </c>
      <c r="AW54" s="414"/>
      <c r="AX54" s="414"/>
      <c r="AY54" s="414"/>
      <c r="BA54" s="421" t="s">
        <v>503</v>
      </c>
      <c r="BB54" s="538" t="s">
        <v>504</v>
      </c>
      <c r="BC54" s="538" t="s">
        <v>504</v>
      </c>
      <c r="BD54" s="586" t="s">
        <v>504</v>
      </c>
      <c r="BE54" s="538" t="s">
        <v>504</v>
      </c>
      <c r="BF54" s="538" t="s">
        <v>504</v>
      </c>
      <c r="BG54" s="538" t="s">
        <v>504</v>
      </c>
      <c r="BH54" s="586"/>
      <c r="BI54" s="586"/>
      <c r="BJ54" s="586"/>
    </row>
    <row r="55" spans="1:62" ht="16" thickBot="1">
      <c r="A55" s="259" t="s">
        <v>117</v>
      </c>
      <c r="B55" s="315" t="s">
        <v>210</v>
      </c>
      <c r="C55"/>
      <c r="D55"/>
      <c r="E55"/>
      <c r="F55"/>
      <c r="P55" s="552" t="s">
        <v>758</v>
      </c>
      <c r="Q55" s="527" t="s">
        <v>739</v>
      </c>
      <c r="R55" s="527" t="s">
        <v>80</v>
      </c>
      <c r="S55" s="527" t="s">
        <v>740</v>
      </c>
      <c r="W55" s="668" t="s">
        <v>193</v>
      </c>
      <c r="X55" s="669"/>
      <c r="Z55" s="424" t="s">
        <v>520</v>
      </c>
      <c r="AA55" s="433" t="s">
        <v>129</v>
      </c>
      <c r="AB55" s="530">
        <v>-44.8097311219069</v>
      </c>
      <c r="AC55" s="426">
        <v>-48.324412216513636</v>
      </c>
      <c r="AD55" s="430">
        <v>-76.072909909525166</v>
      </c>
      <c r="AE55" s="429"/>
      <c r="AF55" s="429"/>
      <c r="AG55" s="429"/>
      <c r="AI55" s="424" t="s">
        <v>520</v>
      </c>
      <c r="AJ55" s="433" t="s">
        <v>129</v>
      </c>
      <c r="AK55" s="530">
        <v>203791.41116499892</v>
      </c>
      <c r="AL55" s="426">
        <v>299819.60053914884</v>
      </c>
      <c r="AM55" s="430">
        <v>1161401.4894901956</v>
      </c>
      <c r="AN55" s="429"/>
      <c r="AO55" s="429"/>
      <c r="AP55" s="429"/>
      <c r="AR55" s="424" t="s">
        <v>520</v>
      </c>
      <c r="AS55" s="528" t="s">
        <v>129</v>
      </c>
      <c r="AT55" s="556">
        <f>AK55*$R$56/1000000</f>
        <v>215.01132106332093</v>
      </c>
      <c r="AU55" s="556">
        <f t="shared" ref="AU55:AV55" si="27">AL55*$R$56/1000000</f>
        <v>316.32642427901948</v>
      </c>
      <c r="AV55" s="556">
        <f t="shared" si="27"/>
        <v>1225.3434387282164</v>
      </c>
      <c r="AW55" s="557"/>
      <c r="AX55" s="557"/>
      <c r="AY55" s="557"/>
      <c r="BA55" s="537" t="s">
        <v>506</v>
      </c>
      <c r="BB55" s="539">
        <v>1711</v>
      </c>
      <c r="BC55" s="543">
        <v>2904</v>
      </c>
      <c r="BD55" s="540">
        <v>5081</v>
      </c>
      <c r="BE55" s="622">
        <f>ROUND((AT$55*BB55/SUM(BB$55:BB$56)),2)</f>
        <v>94.57</v>
      </c>
      <c r="BF55" s="622">
        <f t="shared" ref="BF55:BG55" si="28">ROUND((AU$55*BC55/SUM(BC$55:BC$56)),2)</f>
        <v>160.51</v>
      </c>
      <c r="BG55" s="622">
        <f t="shared" si="28"/>
        <v>577.49</v>
      </c>
      <c r="BH55" s="624"/>
      <c r="BI55" s="624"/>
      <c r="BJ55" s="624"/>
    </row>
    <row r="56" spans="1:62" ht="16" thickBot="1">
      <c r="A56" s="259" t="s">
        <v>120</v>
      </c>
      <c r="B56" s="259" t="s">
        <v>119</v>
      </c>
      <c r="C56" s="1"/>
      <c r="D56"/>
      <c r="E56"/>
      <c r="F56"/>
      <c r="Q56" s="10">
        <v>1</v>
      </c>
      <c r="R56" s="527">
        <v>1055.05585262</v>
      </c>
      <c r="S56" s="10">
        <f>Q56/3412.14</f>
        <v>2.9307121044271339E-4</v>
      </c>
      <c r="T56" s="414" t="s">
        <v>194</v>
      </c>
      <c r="U56" s="414" t="s">
        <v>526</v>
      </c>
      <c r="W56" s="435" t="s">
        <v>526</v>
      </c>
      <c r="X56" s="436" t="s">
        <v>527</v>
      </c>
      <c r="Z56" s="427" t="s">
        <v>521</v>
      </c>
      <c r="AA56" s="434" t="s">
        <v>130</v>
      </c>
      <c r="AB56" s="591">
        <v>-52.100011427057268</v>
      </c>
      <c r="AC56" s="431">
        <v>-58.529582046203799</v>
      </c>
      <c r="AD56" s="432">
        <v>-109.52877733856067</v>
      </c>
      <c r="AE56" s="429"/>
      <c r="AF56" s="429"/>
      <c r="AG56" s="429"/>
      <c r="AI56" s="427" t="s">
        <v>521</v>
      </c>
      <c r="AJ56" s="434" t="s">
        <v>130</v>
      </c>
      <c r="AK56" s="591">
        <v>407582.82232999784</v>
      </c>
      <c r="AL56" s="431">
        <v>599639.20107829769</v>
      </c>
      <c r="AM56" s="432">
        <v>2322802.9789803913</v>
      </c>
      <c r="AN56" s="429"/>
      <c r="AO56" s="429"/>
      <c r="AP56" s="429"/>
      <c r="AR56" s="427" t="s">
        <v>521</v>
      </c>
      <c r="AS56" s="529" t="s">
        <v>130</v>
      </c>
      <c r="AT56" s="556">
        <f>AK56*$R$56/1000000</f>
        <v>430.02264212664187</v>
      </c>
      <c r="AU56" s="556">
        <f t="shared" ref="AU56" si="29">AL56*$R$56/1000000</f>
        <v>632.65284855803895</v>
      </c>
      <c r="AV56" s="556">
        <f t="shared" ref="AV56" si="30">AM56*$R$56/1000000</f>
        <v>2450.6868774564327</v>
      </c>
      <c r="AW56" s="557"/>
      <c r="AX56" s="557"/>
      <c r="AY56" s="557"/>
      <c r="BA56" s="537" t="s">
        <v>507</v>
      </c>
      <c r="BB56" s="541">
        <v>2179</v>
      </c>
      <c r="BC56" s="544">
        <v>2819</v>
      </c>
      <c r="BD56" s="542">
        <v>5700</v>
      </c>
      <c r="BE56" s="625">
        <f>ROUND((AT$55*BB56/SUM(BB$55:BB$56)),2)</f>
        <v>120.44</v>
      </c>
      <c r="BF56" s="622">
        <f t="shared" ref="BF56" si="31">ROUND((AU$55*BC56/SUM(BC$55:BC$56)),2)</f>
        <v>155.81</v>
      </c>
      <c r="BG56" s="622">
        <f t="shared" ref="BG56" si="32">ROUND((AV$55*BD56/SUM(BD$55:BD$56)),2)</f>
        <v>647.85</v>
      </c>
      <c r="BH56" s="624"/>
      <c r="BI56" s="624"/>
      <c r="BJ56" s="624"/>
    </row>
    <row r="57" spans="1:62" ht="16" thickBot="1">
      <c r="A57" s="1"/>
      <c r="B57" s="259" t="s">
        <v>211</v>
      </c>
      <c r="C57"/>
      <c r="D57"/>
      <c r="E57"/>
      <c r="F57"/>
      <c r="T57" s="10">
        <v>40</v>
      </c>
      <c r="U57" s="10">
        <f>T57*$W$57/$X$57</f>
        <v>64.373883515457777</v>
      </c>
      <c r="W57" s="418">
        <v>1</v>
      </c>
      <c r="X57" s="419">
        <v>0.62136999999999998</v>
      </c>
      <c r="AS57" s="552" t="s">
        <v>743</v>
      </c>
      <c r="AT57" s="558">
        <f>MIN(AT55:AV56)</f>
        <v>215.01132106332093</v>
      </c>
      <c r="AU57" s="559" t="s">
        <v>744</v>
      </c>
      <c r="AV57" s="558">
        <f>MAX(AT55:AV56)</f>
        <v>2450.6868774564327</v>
      </c>
      <c r="BA57" s="565"/>
      <c r="BB57" s="566"/>
      <c r="BC57" s="566"/>
      <c r="BD57" s="566"/>
      <c r="BE57" s="626">
        <f>SUM(BE55:BE56)</f>
        <v>215.01</v>
      </c>
      <c r="BF57" s="627">
        <f t="shared" ref="BF57:BG57" si="33">SUM(BF55:BF56)</f>
        <v>316.32</v>
      </c>
      <c r="BG57" s="628">
        <f t="shared" si="33"/>
        <v>1225.3400000000001</v>
      </c>
      <c r="BH57" s="624"/>
      <c r="BI57" s="624"/>
      <c r="BJ57" s="624"/>
    </row>
    <row r="58" spans="1:62" ht="15.75" customHeight="1" thickBot="1">
      <c r="T58" s="10">
        <v>80</v>
      </c>
      <c r="U58" s="10">
        <f>T58*$W$57/$X$57</f>
        <v>128.74776703091555</v>
      </c>
      <c r="W58" s="353">
        <v>40</v>
      </c>
      <c r="X58" s="347">
        <f>$X$57*W58</f>
        <v>24.854799999999997</v>
      </c>
      <c r="AB58" s="665" t="s">
        <v>522</v>
      </c>
      <c r="AC58" s="666"/>
      <c r="AD58" s="667"/>
      <c r="AE58" s="536"/>
      <c r="AF58" s="536"/>
      <c r="AG58" s="536"/>
      <c r="AK58" s="665" t="s">
        <v>735</v>
      </c>
      <c r="AL58" s="666"/>
      <c r="AM58" s="667"/>
      <c r="AN58" s="536"/>
      <c r="AO58" s="536"/>
      <c r="AP58" s="536"/>
      <c r="AT58" s="665" t="s">
        <v>741</v>
      </c>
      <c r="AU58" s="666"/>
      <c r="AV58" s="667"/>
      <c r="AW58" s="536"/>
      <c r="AX58" s="536"/>
      <c r="AY58" s="536"/>
      <c r="BA58" s="565"/>
      <c r="BB58" s="566"/>
      <c r="BC58" s="566"/>
      <c r="BD58" s="566"/>
      <c r="BE58" s="624"/>
      <c r="BF58" s="624"/>
      <c r="BG58" s="624"/>
      <c r="BH58" s="624"/>
      <c r="BI58" s="624"/>
      <c r="BJ58" s="624"/>
    </row>
    <row r="59" spans="1:62" ht="16" thickBot="1">
      <c r="B59" s="374" t="s">
        <v>212</v>
      </c>
      <c r="C59" s="377" t="s">
        <v>213</v>
      </c>
      <c r="W59" s="354">
        <v>80</v>
      </c>
      <c r="X59" s="349">
        <f>$X$57*W59</f>
        <v>49.709599999999995</v>
      </c>
      <c r="AB59" s="587" t="s">
        <v>32</v>
      </c>
      <c r="AC59" s="587" t="s">
        <v>502</v>
      </c>
      <c r="AD59" s="588" t="s">
        <v>501</v>
      </c>
      <c r="AE59" s="586"/>
      <c r="AF59" s="586"/>
      <c r="AG59" s="586"/>
      <c r="AK59" s="587" t="s">
        <v>32</v>
      </c>
      <c r="AL59" s="587" t="s">
        <v>502</v>
      </c>
      <c r="AM59" s="588" t="s">
        <v>501</v>
      </c>
      <c r="AN59" s="586"/>
      <c r="AO59" s="586"/>
      <c r="AP59" s="586"/>
      <c r="AT59" s="587" t="s">
        <v>32</v>
      </c>
      <c r="AU59" s="587" t="s">
        <v>502</v>
      </c>
      <c r="AV59" s="588" t="s">
        <v>501</v>
      </c>
      <c r="AW59" s="586"/>
      <c r="AX59" s="586"/>
      <c r="AY59" s="586"/>
      <c r="BA59" s="565"/>
      <c r="BC59" s="566"/>
      <c r="BD59" s="566"/>
      <c r="BE59" s="624"/>
      <c r="BF59" s="624"/>
      <c r="BG59" s="624"/>
      <c r="BH59" s="624"/>
      <c r="BI59" s="624"/>
      <c r="BJ59" s="624"/>
    </row>
    <row r="60" spans="1:62" ht="19" thickBot="1">
      <c r="B60" s="379" t="s">
        <v>214</v>
      </c>
      <c r="C60" s="378">
        <v>37</v>
      </c>
      <c r="Z60" s="696" t="s">
        <v>36</v>
      </c>
      <c r="AA60" s="697"/>
      <c r="AB60" s="421" t="s">
        <v>504</v>
      </c>
      <c r="AC60" s="422" t="s">
        <v>504</v>
      </c>
      <c r="AD60" s="422" t="s">
        <v>504</v>
      </c>
      <c r="AE60" s="586"/>
      <c r="AF60" s="586"/>
      <c r="AG60" s="586"/>
      <c r="AI60" s="696" t="s">
        <v>36</v>
      </c>
      <c r="AJ60" s="697"/>
      <c r="AK60" s="421" t="s">
        <v>504</v>
      </c>
      <c r="AL60" s="422" t="s">
        <v>504</v>
      </c>
      <c r="AM60" s="422" t="s">
        <v>504</v>
      </c>
      <c r="AN60" s="414"/>
      <c r="AO60" s="414"/>
      <c r="AP60" s="414"/>
      <c r="AR60" s="696" t="s">
        <v>36</v>
      </c>
      <c r="AS60" s="697"/>
      <c r="AT60" s="421" t="s">
        <v>504</v>
      </c>
      <c r="AU60" s="422" t="s">
        <v>504</v>
      </c>
      <c r="AV60" s="422" t="s">
        <v>504</v>
      </c>
      <c r="AW60" s="414"/>
      <c r="AX60" s="414"/>
      <c r="AY60" s="414"/>
      <c r="BA60" s="565"/>
      <c r="BC60" s="566"/>
      <c r="BD60" s="566"/>
      <c r="BE60" s="624"/>
      <c r="BF60" s="624"/>
      <c r="BG60" s="624"/>
      <c r="BH60" s="624"/>
      <c r="BI60" s="624"/>
      <c r="BJ60" s="624"/>
    </row>
    <row r="61" spans="1:62" ht="19" thickBot="1">
      <c r="B61" s="379" t="s">
        <v>215</v>
      </c>
      <c r="C61" s="378">
        <v>34</v>
      </c>
      <c r="D61" s="379"/>
      <c r="E61" s="379"/>
      <c r="F61" s="379"/>
      <c r="G61" s="379"/>
      <c r="H61" s="379"/>
      <c r="Z61" s="424" t="s">
        <v>520</v>
      </c>
      <c r="AA61" s="433" t="s">
        <v>129</v>
      </c>
      <c r="AB61" s="530">
        <v>-42.821128728849132</v>
      </c>
      <c r="AC61" s="426">
        <v>-45.818642304119983</v>
      </c>
      <c r="AD61" s="430">
        <v>-68.927021599423966</v>
      </c>
      <c r="AE61" s="429"/>
      <c r="AF61" s="429"/>
      <c r="AG61" s="429"/>
      <c r="AI61" s="424" t="s">
        <v>520</v>
      </c>
      <c r="AJ61" s="433" t="s">
        <v>129</v>
      </c>
      <c r="AK61" s="530">
        <v>203791.41116499892</v>
      </c>
      <c r="AL61" s="426">
        <v>299819.60053914884</v>
      </c>
      <c r="AM61" s="430">
        <v>1161401.4894901956</v>
      </c>
      <c r="AN61" s="429"/>
      <c r="AO61" s="429"/>
      <c r="AP61" s="429"/>
      <c r="AR61" s="424" t="s">
        <v>520</v>
      </c>
      <c r="AS61" s="528" t="s">
        <v>129</v>
      </c>
      <c r="AT61" s="530">
        <f>AK55*$S$56</f>
        <v>59.725395547954932</v>
      </c>
      <c r="AU61" s="531">
        <f t="shared" ref="AU61:AV61" si="34">AL55*$S$56</f>
        <v>87.86849324445916</v>
      </c>
      <c r="AV61" s="532">
        <f t="shared" si="34"/>
        <v>340.37334033486189</v>
      </c>
      <c r="AW61" s="429"/>
      <c r="AX61" s="429"/>
      <c r="AY61" s="429"/>
      <c r="BA61" s="414"/>
      <c r="BB61" s="414"/>
      <c r="BC61" s="429"/>
      <c r="BD61" s="429"/>
      <c r="BH61" s="624"/>
      <c r="BI61" s="624"/>
      <c r="BJ61" s="624"/>
    </row>
    <row r="62" spans="1:62" ht="19" thickBot="1">
      <c r="B62" s="379" t="s">
        <v>216</v>
      </c>
      <c r="C62" s="378">
        <v>11.8</v>
      </c>
      <c r="E62" s="378"/>
      <c r="F62" s="378"/>
      <c r="G62" s="378"/>
      <c r="H62" s="378"/>
      <c r="W62" s="415" t="s">
        <v>528</v>
      </c>
      <c r="X62" s="415" t="s">
        <v>529</v>
      </c>
      <c r="Z62" s="427" t="s">
        <v>521</v>
      </c>
      <c r="AA62" s="434" t="s">
        <v>130</v>
      </c>
      <c r="AB62" s="530">
        <v>-49.013874036609096</v>
      </c>
      <c r="AC62" s="426">
        <v>-54.409109617083864</v>
      </c>
      <c r="AD62" s="430">
        <v>-96.128068114025609</v>
      </c>
      <c r="AE62" s="429"/>
      <c r="AF62" s="429"/>
      <c r="AG62" s="429"/>
      <c r="AI62" s="427" t="s">
        <v>521</v>
      </c>
      <c r="AJ62" s="434" t="s">
        <v>130</v>
      </c>
      <c r="AK62" s="591">
        <v>407582.82232999784</v>
      </c>
      <c r="AL62" s="431">
        <v>599639.20107829769</v>
      </c>
      <c r="AM62" s="432">
        <v>2322802.9789803913</v>
      </c>
      <c r="AN62" s="429"/>
      <c r="AO62" s="429"/>
      <c r="AP62" s="429"/>
      <c r="AR62" s="427" t="s">
        <v>521</v>
      </c>
      <c r="AS62" s="529" t="s">
        <v>130</v>
      </c>
      <c r="AT62" s="533">
        <f>AK56*$S$56</f>
        <v>119.45079109590986</v>
      </c>
      <c r="AU62" s="534">
        <f t="shared" ref="AU62:AV62" si="35">AL56*$S$56</f>
        <v>175.73698648891832</v>
      </c>
      <c r="AV62" s="535">
        <f t="shared" si="35"/>
        <v>680.74668066972379</v>
      </c>
      <c r="AW62" s="429"/>
      <c r="AX62" s="429"/>
      <c r="AY62" s="429"/>
      <c r="BA62" s="414"/>
      <c r="BB62" s="414"/>
      <c r="BC62" s="429"/>
      <c r="BD62" s="429"/>
      <c r="BE62" s="429"/>
    </row>
    <row r="63" spans="1:62" ht="18.75" customHeight="1" thickBot="1">
      <c r="B63" s="379" t="s">
        <v>217</v>
      </c>
      <c r="C63" s="378">
        <v>1</v>
      </c>
      <c r="E63" s="378"/>
      <c r="W63" s="418">
        <v>1</v>
      </c>
      <c r="X63" s="419">
        <v>0.44608999999999999</v>
      </c>
      <c r="BA63" s="417"/>
      <c r="BB63" s="665" t="s">
        <v>500</v>
      </c>
      <c r="BC63" s="666"/>
      <c r="BD63" s="666"/>
      <c r="BE63" s="666" t="s">
        <v>781</v>
      </c>
      <c r="BF63" s="666"/>
      <c r="BG63" s="667"/>
      <c r="BH63" s="536"/>
      <c r="BI63" s="536"/>
      <c r="BJ63" s="536"/>
    </row>
    <row r="64" spans="1:62" ht="18.75" customHeight="1" thickBot="1">
      <c r="B64" s="379" t="s">
        <v>218</v>
      </c>
      <c r="C64" s="378">
        <v>0.9</v>
      </c>
      <c r="E64" s="378"/>
      <c r="W64" s="353">
        <v>2.2416999999999998</v>
      </c>
      <c r="X64" s="347">
        <v>1</v>
      </c>
      <c r="AB64" s="665" t="s">
        <v>523</v>
      </c>
      <c r="AC64" s="666"/>
      <c r="AD64" s="667"/>
      <c r="AE64" s="536"/>
      <c r="AF64" s="536"/>
      <c r="AG64" s="536"/>
      <c r="AK64" s="665" t="s">
        <v>736</v>
      </c>
      <c r="AL64" s="666"/>
      <c r="AM64" s="667"/>
      <c r="AN64" s="536"/>
      <c r="AO64" s="536"/>
      <c r="AP64" s="536"/>
      <c r="AT64" s="536"/>
      <c r="AU64" s="536"/>
      <c r="AV64" s="536"/>
      <c r="AW64" s="536"/>
      <c r="AX64" s="536"/>
      <c r="AY64" s="536"/>
      <c r="BA64" s="420"/>
      <c r="BB64" s="587" t="s">
        <v>32</v>
      </c>
      <c r="BC64" s="587" t="s">
        <v>502</v>
      </c>
      <c r="BD64" s="587" t="s">
        <v>501</v>
      </c>
      <c r="BE64" s="621" t="s">
        <v>32</v>
      </c>
      <c r="BF64" s="587" t="s">
        <v>502</v>
      </c>
      <c r="BG64" s="588" t="s">
        <v>501</v>
      </c>
      <c r="BH64" s="586"/>
      <c r="BI64" s="586"/>
      <c r="BJ64" s="586"/>
    </row>
    <row r="65" spans="2:62" ht="15" customHeight="1" thickBot="1">
      <c r="B65" s="379" t="s">
        <v>219</v>
      </c>
      <c r="C65" s="378">
        <v>6</v>
      </c>
      <c r="E65" s="378"/>
      <c r="W65" s="353">
        <v>6.7</v>
      </c>
      <c r="X65" s="347">
        <f>W65*$X$63</f>
        <v>2.9888029999999999</v>
      </c>
      <c r="AB65" s="587" t="s">
        <v>32</v>
      </c>
      <c r="AC65" s="587" t="s">
        <v>502</v>
      </c>
      <c r="AD65" s="588" t="s">
        <v>501</v>
      </c>
      <c r="AE65" s="586"/>
      <c r="AF65" s="586"/>
      <c r="AG65" s="586"/>
      <c r="AK65" s="587" t="s">
        <v>32</v>
      </c>
      <c r="AL65" s="587" t="s">
        <v>502</v>
      </c>
      <c r="AM65" s="588" t="s">
        <v>501</v>
      </c>
      <c r="AN65" s="586"/>
      <c r="AO65" s="586"/>
      <c r="AP65" s="586"/>
      <c r="AR65" s="545" t="s">
        <v>503</v>
      </c>
      <c r="AS65" s="546" t="s">
        <v>730</v>
      </c>
      <c r="AT65" s="711" t="s">
        <v>742</v>
      </c>
      <c r="AU65" s="711"/>
      <c r="AV65" s="711"/>
      <c r="BA65" s="623" t="s">
        <v>503</v>
      </c>
      <c r="BB65" s="538" t="s">
        <v>504</v>
      </c>
      <c r="BC65" s="538" t="s">
        <v>504</v>
      </c>
      <c r="BD65" s="586" t="s">
        <v>504</v>
      </c>
      <c r="BE65" s="538" t="s">
        <v>504</v>
      </c>
      <c r="BF65" s="538" t="s">
        <v>504</v>
      </c>
      <c r="BG65" s="538" t="s">
        <v>504</v>
      </c>
      <c r="BH65" s="586"/>
      <c r="BI65" s="586"/>
      <c r="BJ65" s="586"/>
    </row>
    <row r="66" spans="2:62" ht="19" thickBot="1">
      <c r="B66" s="379" t="s">
        <v>220</v>
      </c>
      <c r="C66" s="378">
        <v>270</v>
      </c>
      <c r="W66" s="353">
        <v>13.5</v>
      </c>
      <c r="X66" s="347">
        <f t="shared" ref="X66:X67" si="36">W66*$X$63</f>
        <v>6.0222150000000001</v>
      </c>
      <c r="Z66" s="696" t="s">
        <v>36</v>
      </c>
      <c r="AA66" s="697"/>
      <c r="AB66" s="421" t="s">
        <v>504</v>
      </c>
      <c r="AC66" s="422" t="s">
        <v>504</v>
      </c>
      <c r="AD66" s="422" t="s">
        <v>504</v>
      </c>
      <c r="AE66" s="586"/>
      <c r="AF66" s="586"/>
      <c r="AG66" s="586"/>
      <c r="AI66" s="696" t="s">
        <v>36</v>
      </c>
      <c r="AJ66" s="697"/>
      <c r="AK66" s="421" t="s">
        <v>504</v>
      </c>
      <c r="AL66" s="422" t="s">
        <v>504</v>
      </c>
      <c r="AM66" s="422" t="s">
        <v>504</v>
      </c>
      <c r="AN66" s="414"/>
      <c r="AO66" s="414"/>
      <c r="AP66" s="414"/>
      <c r="AR66" s="547"/>
      <c r="AS66" s="547"/>
      <c r="AT66" s="547" t="s">
        <v>32</v>
      </c>
      <c r="AU66" s="547" t="s">
        <v>502</v>
      </c>
      <c r="AV66" s="10" t="s">
        <v>501</v>
      </c>
      <c r="BA66" s="630" t="s">
        <v>506</v>
      </c>
      <c r="BB66" s="540">
        <f>BB55</f>
        <v>1711</v>
      </c>
      <c r="BC66" s="540">
        <f t="shared" ref="BC66:BD67" si="37">BC55</f>
        <v>2904</v>
      </c>
      <c r="BD66" s="540">
        <f t="shared" si="37"/>
        <v>5081</v>
      </c>
      <c r="BE66" s="631">
        <f>ROUND((AT$56*BC66/SUM(BC$66:BC$67)),2)</f>
        <v>218.2</v>
      </c>
      <c r="BF66" s="631">
        <f t="shared" ref="BF66:BG67" si="38">ROUND((AU$56*BD66/SUM(BD$66:BD$67)),2)</f>
        <v>298.16000000000003</v>
      </c>
      <c r="BG66" s="632">
        <f t="shared" si="38"/>
        <v>1243.52</v>
      </c>
      <c r="BH66" s="624"/>
      <c r="BI66" s="624"/>
      <c r="BJ66" s="624"/>
    </row>
    <row r="67" spans="2:62" ht="16" thickBot="1">
      <c r="W67" s="353">
        <v>20.2</v>
      </c>
      <c r="X67" s="347">
        <f t="shared" si="36"/>
        <v>9.011018</v>
      </c>
      <c r="Z67" s="424" t="s">
        <v>520</v>
      </c>
      <c r="AA67" s="433" t="s">
        <v>129</v>
      </c>
      <c r="AB67" s="530">
        <v>-14.461609141840762</v>
      </c>
      <c r="AC67" s="426">
        <v>-5.5412998799568154</v>
      </c>
      <c r="AD67" s="430">
        <v>74.227943075395885</v>
      </c>
      <c r="AE67" s="429"/>
      <c r="AF67" s="429"/>
      <c r="AG67" s="429"/>
      <c r="AI67" s="424" t="s">
        <v>520</v>
      </c>
      <c r="AJ67" s="433" t="s">
        <v>129</v>
      </c>
      <c r="AK67" s="530">
        <v>203791.41116499892</v>
      </c>
      <c r="AL67" s="426">
        <v>299819.60053914884</v>
      </c>
      <c r="AM67" s="430">
        <v>1161401.4894901956</v>
      </c>
      <c r="AN67" s="429"/>
      <c r="AO67" s="429"/>
      <c r="AP67" s="429"/>
      <c r="AT67" s="10" t="s">
        <v>504</v>
      </c>
      <c r="AU67" s="10" t="s">
        <v>504</v>
      </c>
      <c r="AV67" s="10" t="s">
        <v>504</v>
      </c>
      <c r="BA67" s="633" t="s">
        <v>507</v>
      </c>
      <c r="BB67" s="540">
        <f>BB56</f>
        <v>2179</v>
      </c>
      <c r="BC67" s="540">
        <f t="shared" si="37"/>
        <v>2819</v>
      </c>
      <c r="BD67" s="540">
        <f t="shared" si="37"/>
        <v>5700</v>
      </c>
      <c r="BE67" s="634">
        <f>ROUND((AT$56*BC67/SUM(BC$66:BC$67)),2)</f>
        <v>211.82</v>
      </c>
      <c r="BF67" s="634">
        <f t="shared" si="38"/>
        <v>334.49</v>
      </c>
      <c r="BG67" s="629">
        <f t="shared" si="38"/>
        <v>1207.1600000000001</v>
      </c>
      <c r="BH67" s="624"/>
      <c r="BI67" s="624"/>
      <c r="BJ67" s="624"/>
    </row>
    <row r="68" spans="2:62" ht="16" thickBot="1">
      <c r="B68" s="374" t="s">
        <v>221</v>
      </c>
      <c r="C68" s="10">
        <v>11.7</v>
      </c>
      <c r="D68" s="374" t="s">
        <v>222</v>
      </c>
      <c r="E68" s="377" t="s">
        <v>213</v>
      </c>
      <c r="W68" s="353">
        <f>$W$64*X68</f>
        <v>6.7250999999999994</v>
      </c>
      <c r="X68" s="347">
        <v>3</v>
      </c>
      <c r="Z68" s="427" t="s">
        <v>521</v>
      </c>
      <c r="AA68" s="434" t="s">
        <v>130</v>
      </c>
      <c r="AB68" s="530">
        <v>4.2953231148359032</v>
      </c>
      <c r="AC68" s="426">
        <v>21.871408658607013</v>
      </c>
      <c r="AD68" s="430">
        <v>184.90019046438169</v>
      </c>
      <c r="AE68" s="429"/>
      <c r="AF68" s="429"/>
      <c r="AG68" s="429"/>
      <c r="AI68" s="427" t="s">
        <v>521</v>
      </c>
      <c r="AJ68" s="434" t="s">
        <v>130</v>
      </c>
      <c r="AK68" s="591">
        <v>407582.82232999784</v>
      </c>
      <c r="AL68" s="431">
        <v>599639.20107829769</v>
      </c>
      <c r="AM68" s="432">
        <v>2322802.9789803913</v>
      </c>
      <c r="AN68" s="429"/>
      <c r="AO68" s="429"/>
      <c r="AP68" s="429"/>
      <c r="AR68" s="527" t="s">
        <v>506</v>
      </c>
      <c r="AS68" s="708" t="s">
        <v>745</v>
      </c>
      <c r="AT68" s="557">
        <f>BE55</f>
        <v>94.57</v>
      </c>
      <c r="AU68" s="557">
        <f>BF55</f>
        <v>160.51</v>
      </c>
      <c r="AV68" s="557">
        <f t="shared" ref="AV68" si="39">BG55</f>
        <v>577.49</v>
      </c>
      <c r="AW68" s="557"/>
      <c r="AX68" s="557"/>
      <c r="AY68" s="557"/>
      <c r="BA68" s="565"/>
      <c r="BB68" s="566"/>
      <c r="BC68" s="566"/>
      <c r="BD68" s="566"/>
      <c r="BE68" s="635">
        <f>SUM(BE66:BE67)</f>
        <v>430.02</v>
      </c>
      <c r="BF68" s="636">
        <f t="shared" ref="BF68:BG68" si="40">SUM(BF66:BF67)</f>
        <v>632.65000000000009</v>
      </c>
      <c r="BG68" s="637">
        <f t="shared" si="40"/>
        <v>2450.6800000000003</v>
      </c>
      <c r="BH68" s="624"/>
      <c r="BI68" s="624"/>
      <c r="BJ68" s="624"/>
    </row>
    <row r="69" spans="2:62" ht="16" thickBot="1">
      <c r="W69" s="353">
        <f>$W$64*X69</f>
        <v>13.450199999999999</v>
      </c>
      <c r="X69" s="347">
        <v>6</v>
      </c>
      <c r="AR69" s="527" t="s">
        <v>507</v>
      </c>
      <c r="AS69" s="708"/>
      <c r="AT69" s="557">
        <f t="shared" ref="AT69:AU69" si="41">BE56</f>
        <v>120.44</v>
      </c>
      <c r="AU69" s="557">
        <f t="shared" si="41"/>
        <v>155.81</v>
      </c>
      <c r="AV69" s="557">
        <f t="shared" ref="AV69" si="42">BG56</f>
        <v>647.85</v>
      </c>
      <c r="AW69" s="557"/>
      <c r="AX69" s="557"/>
      <c r="AY69" s="557"/>
      <c r="BA69" s="565"/>
      <c r="BB69" s="566"/>
      <c r="BC69" s="566"/>
      <c r="BD69" s="566"/>
      <c r="BE69" s="624"/>
      <c r="BF69" s="624"/>
      <c r="BG69" s="624"/>
      <c r="BH69" s="624"/>
      <c r="BI69" s="624"/>
      <c r="BJ69" s="624"/>
    </row>
    <row r="70" spans="2:62" ht="15.75" customHeight="1" thickBot="1">
      <c r="B70" s="374" t="s">
        <v>223</v>
      </c>
      <c r="C70" s="10">
        <f>-C62*C68/1000</f>
        <v>-0.13806000000000002</v>
      </c>
      <c r="D70" s="374" t="s">
        <v>224</v>
      </c>
      <c r="W70" s="354">
        <f>$W$64*X70</f>
        <v>20.1753</v>
      </c>
      <c r="X70" s="349">
        <v>9</v>
      </c>
      <c r="AB70" s="665" t="s">
        <v>524</v>
      </c>
      <c r="AC70" s="666"/>
      <c r="AD70" s="667"/>
      <c r="AE70" s="536"/>
      <c r="AF70" s="536"/>
      <c r="AG70" s="536"/>
      <c r="AK70" s="665" t="s">
        <v>737</v>
      </c>
      <c r="AL70" s="666"/>
      <c r="AM70" s="667"/>
      <c r="AN70" s="536"/>
      <c r="AO70" s="536"/>
      <c r="AP70" s="536"/>
      <c r="AR70" s="527"/>
      <c r="AS70" s="593"/>
      <c r="AT70" s="557"/>
      <c r="AU70" s="557"/>
      <c r="AV70" s="557"/>
      <c r="AW70" s="557"/>
      <c r="AX70" s="557"/>
      <c r="AY70" s="557"/>
      <c r="BA70" s="565"/>
      <c r="BB70" s="566"/>
      <c r="BC70" s="566"/>
      <c r="BD70" s="566"/>
      <c r="BE70" s="624"/>
      <c r="BF70" s="624"/>
      <c r="BG70" s="624"/>
      <c r="BH70" s="624"/>
      <c r="BI70" s="624"/>
      <c r="BJ70" s="624"/>
    </row>
    <row r="71" spans="2:62" ht="16" thickBot="1">
      <c r="B71" s="374" t="s">
        <v>225</v>
      </c>
      <c r="C71" s="10">
        <f>1000*1000</f>
        <v>1000000</v>
      </c>
      <c r="AB71" s="587" t="s">
        <v>32</v>
      </c>
      <c r="AC71" s="587" t="s">
        <v>502</v>
      </c>
      <c r="AD71" s="588" t="s">
        <v>501</v>
      </c>
      <c r="AE71" s="586"/>
      <c r="AF71" s="586"/>
      <c r="AG71" s="586"/>
      <c r="AK71" s="587" t="s">
        <v>32</v>
      </c>
      <c r="AL71" s="587" t="s">
        <v>502</v>
      </c>
      <c r="AM71" s="588" t="s">
        <v>501</v>
      </c>
      <c r="AN71" s="586"/>
      <c r="AO71" s="586"/>
      <c r="AP71" s="586"/>
      <c r="AR71" s="527"/>
      <c r="AS71" s="593"/>
      <c r="AT71" s="557"/>
      <c r="AU71" s="557"/>
      <c r="AV71" s="557"/>
      <c r="AW71" s="557"/>
      <c r="AX71" s="557"/>
      <c r="AY71" s="557"/>
      <c r="BA71" s="565"/>
      <c r="BB71" s="566"/>
      <c r="BC71" s="566"/>
      <c r="BD71" s="566"/>
      <c r="BE71" s="624"/>
      <c r="BF71" s="624"/>
      <c r="BG71" s="624"/>
      <c r="BH71" s="624"/>
      <c r="BI71" s="624"/>
      <c r="BJ71" s="624"/>
    </row>
    <row r="72" spans="2:62" ht="16" thickBot="1">
      <c r="B72" s="374" t="s">
        <v>226</v>
      </c>
      <c r="C72" s="10">
        <f>C70*C71</f>
        <v>-138060.00000000003</v>
      </c>
      <c r="D72" s="374" t="s">
        <v>227</v>
      </c>
      <c r="Z72" s="696" t="s">
        <v>36</v>
      </c>
      <c r="AA72" s="697"/>
      <c r="AB72" s="421" t="s">
        <v>504</v>
      </c>
      <c r="AC72" s="422" t="s">
        <v>504</v>
      </c>
      <c r="AD72" s="422" t="s">
        <v>504</v>
      </c>
      <c r="AE72" s="586"/>
      <c r="AF72" s="586"/>
      <c r="AG72" s="586"/>
      <c r="AI72" s="696" t="s">
        <v>36</v>
      </c>
      <c r="AJ72" s="697"/>
      <c r="AK72" s="421" t="s">
        <v>504</v>
      </c>
      <c r="AL72" s="422" t="s">
        <v>504</v>
      </c>
      <c r="AM72" s="422" t="s">
        <v>504</v>
      </c>
      <c r="AN72" s="414"/>
      <c r="AO72" s="414"/>
      <c r="AP72" s="414"/>
      <c r="AR72" s="527"/>
      <c r="AS72" s="593"/>
      <c r="AT72" s="557"/>
      <c r="AU72" s="557"/>
      <c r="AV72" s="557"/>
      <c r="AW72" s="557"/>
      <c r="AX72" s="557"/>
      <c r="AY72" s="557"/>
      <c r="BA72" s="414"/>
      <c r="BB72" s="414"/>
      <c r="BC72" s="414"/>
      <c r="BD72" s="414"/>
      <c r="BH72" s="624"/>
      <c r="BI72" s="624"/>
      <c r="BJ72" s="624"/>
    </row>
    <row r="73" spans="2:62" ht="16" thickBot="1">
      <c r="W73" s="414" t="s">
        <v>331</v>
      </c>
      <c r="X73" s="414" t="s">
        <v>530</v>
      </c>
      <c r="Z73" s="424" t="s">
        <v>520</v>
      </c>
      <c r="AA73" s="433" t="s">
        <v>129</v>
      </c>
      <c r="AB73" s="530">
        <v>-18.074359595892187</v>
      </c>
      <c r="AC73" s="426">
        <v>-10.627463311724227</v>
      </c>
      <c r="AD73" s="430">
        <v>55.299665077104272</v>
      </c>
      <c r="AE73" s="429"/>
      <c r="AF73" s="429"/>
      <c r="AG73" s="429"/>
      <c r="AI73" s="424" t="s">
        <v>520</v>
      </c>
      <c r="AJ73" s="433" t="s">
        <v>129</v>
      </c>
      <c r="AK73" s="530">
        <v>203791.41116499892</v>
      </c>
      <c r="AL73" s="426">
        <v>299819.60053914884</v>
      </c>
      <c r="AM73" s="430">
        <v>1161401.4894901956</v>
      </c>
      <c r="AN73" s="429"/>
      <c r="AO73" s="429"/>
      <c r="AP73" s="429"/>
      <c r="AR73" s="548"/>
      <c r="AS73" s="594"/>
      <c r="AT73" s="557"/>
      <c r="AU73" s="557"/>
      <c r="AV73" s="557"/>
      <c r="AW73" s="557"/>
      <c r="AX73" s="557"/>
      <c r="AY73" s="557"/>
      <c r="BA73" s="414"/>
      <c r="BB73" s="414"/>
      <c r="BC73" s="429"/>
      <c r="BD73" s="429"/>
      <c r="BE73" s="429"/>
    </row>
    <row r="74" spans="2:62" ht="16" thickBot="1">
      <c r="C74" s="10">
        <f>(E18-K18)*0.0118/J21</f>
        <v>2.1535108711561762E-3</v>
      </c>
      <c r="T74" s="414" t="s">
        <v>330</v>
      </c>
      <c r="U74" s="414" t="s">
        <v>531</v>
      </c>
      <c r="W74" s="10">
        <v>1</v>
      </c>
      <c r="X74" s="10">
        <v>0.90718500000000002</v>
      </c>
      <c r="Z74" s="427" t="s">
        <v>521</v>
      </c>
      <c r="AA74" s="434" t="s">
        <v>130</v>
      </c>
      <c r="AB74" s="530">
        <v>-2.4413695024355015</v>
      </c>
      <c r="AC74" s="426">
        <v>12.074336962307342</v>
      </c>
      <c r="AD74" s="430">
        <v>147.04363446779848</v>
      </c>
      <c r="AE74" s="429"/>
      <c r="AF74" s="429"/>
      <c r="AG74" s="429"/>
      <c r="AI74" s="427" t="s">
        <v>521</v>
      </c>
      <c r="AJ74" s="434" t="s">
        <v>130</v>
      </c>
      <c r="AK74" s="591">
        <v>407582.82232999784</v>
      </c>
      <c r="AL74" s="431">
        <v>599639.20107829769</v>
      </c>
      <c r="AM74" s="432">
        <v>2322802.9789803913</v>
      </c>
      <c r="AN74" s="429"/>
      <c r="AO74" s="429"/>
      <c r="AP74" s="429"/>
      <c r="AR74" s="698" t="s">
        <v>70</v>
      </c>
      <c r="AS74" s="698"/>
      <c r="AT74" s="560">
        <f>SUM(AT68:AT73)</f>
        <v>215.01</v>
      </c>
      <c r="AU74" s="560">
        <f t="shared" ref="AU74:AV74" si="43">SUM(AU68:AU73)</f>
        <v>316.32</v>
      </c>
      <c r="AV74" s="560">
        <f t="shared" si="43"/>
        <v>1225.3400000000001</v>
      </c>
      <c r="AW74" s="557"/>
      <c r="AX74" s="557"/>
      <c r="AY74" s="557"/>
      <c r="BA74" s="414"/>
      <c r="BB74" s="414"/>
      <c r="BC74" s="429"/>
      <c r="BD74" s="429"/>
      <c r="BE74" s="429"/>
    </row>
    <row r="75" spans="2:62" ht="16" thickBot="1">
      <c r="T75" s="10">
        <v>22.2</v>
      </c>
      <c r="U75" s="10">
        <f>T75/X74</f>
        <v>24.471304089022635</v>
      </c>
      <c r="W75" s="10">
        <v>1.1023099999999999</v>
      </c>
      <c r="X75" s="10">
        <v>1</v>
      </c>
      <c r="AR75" s="550" t="s">
        <v>506</v>
      </c>
      <c r="AS75" s="709" t="s">
        <v>516</v>
      </c>
      <c r="AT75" s="547">
        <f>BE66</f>
        <v>218.2</v>
      </c>
      <c r="AU75" s="547">
        <f t="shared" ref="AU75:AV75" si="44">BF66</f>
        <v>298.16000000000003</v>
      </c>
      <c r="AV75" s="547">
        <f t="shared" si="44"/>
        <v>1243.52</v>
      </c>
    </row>
    <row r="76" spans="2:62" ht="32.25" customHeight="1" thickBot="1">
      <c r="W76" s="10">
        <v>835</v>
      </c>
      <c r="X76" s="10">
        <f>W76*X74</f>
        <v>757.49947499999996</v>
      </c>
      <c r="AB76" s="665" t="s">
        <v>525</v>
      </c>
      <c r="AC76" s="666"/>
      <c r="AD76" s="667"/>
      <c r="AE76" s="536"/>
      <c r="AF76" s="536"/>
      <c r="AG76" s="536"/>
      <c r="AK76" s="665" t="s">
        <v>738</v>
      </c>
      <c r="AL76" s="666"/>
      <c r="AM76" s="667"/>
      <c r="AN76" s="536"/>
      <c r="AO76" s="536"/>
      <c r="AP76" s="536"/>
      <c r="AR76" s="527" t="s">
        <v>507</v>
      </c>
      <c r="AS76" s="710"/>
      <c r="AT76" s="10">
        <f t="shared" ref="AT76" si="45">BE67</f>
        <v>211.82</v>
      </c>
      <c r="AU76" s="10">
        <f t="shared" ref="AU76" si="46">BF67</f>
        <v>334.49</v>
      </c>
      <c r="AV76" s="10">
        <f t="shared" ref="AV76" si="47">BG67</f>
        <v>1207.1600000000001</v>
      </c>
      <c r="BA76" s="642" t="s">
        <v>503</v>
      </c>
      <c r="BB76" s="693" t="s">
        <v>500</v>
      </c>
      <c r="BC76" s="693"/>
      <c r="BD76" s="693"/>
      <c r="BE76" s="699" t="s">
        <v>780</v>
      </c>
      <c r="BF76" s="693"/>
      <c r="BG76" s="694"/>
      <c r="BH76" s="536"/>
      <c r="BI76" s="536"/>
      <c r="BJ76" s="536"/>
    </row>
    <row r="77" spans="2:62" ht="16" thickBot="1">
      <c r="AB77" s="587" t="s">
        <v>32</v>
      </c>
      <c r="AC77" s="587" t="s">
        <v>502</v>
      </c>
      <c r="AD77" s="588" t="s">
        <v>501</v>
      </c>
      <c r="AE77" s="586"/>
      <c r="AF77" s="586"/>
      <c r="AG77" s="586"/>
      <c r="AK77" s="587" t="s">
        <v>32</v>
      </c>
      <c r="AL77" s="587" t="s">
        <v>502</v>
      </c>
      <c r="AM77" s="588" t="s">
        <v>501</v>
      </c>
      <c r="AN77" s="586"/>
      <c r="AO77" s="586"/>
      <c r="AP77" s="586"/>
      <c r="AR77" s="527"/>
      <c r="AS77" s="593"/>
      <c r="BA77" s="643"/>
      <c r="BB77" s="644" t="s">
        <v>32</v>
      </c>
      <c r="BC77" s="645" t="s">
        <v>502</v>
      </c>
      <c r="BD77" s="646" t="s">
        <v>501</v>
      </c>
      <c r="BE77" s="647" t="s">
        <v>32</v>
      </c>
      <c r="BF77" s="644" t="s">
        <v>502</v>
      </c>
      <c r="BG77" s="646" t="s">
        <v>501</v>
      </c>
      <c r="BH77" s="586"/>
      <c r="BJ77" s="586"/>
    </row>
    <row r="78" spans="2:62" ht="16" thickBot="1">
      <c r="T78" s="414" t="s">
        <v>532</v>
      </c>
      <c r="U78" s="414" t="s">
        <v>533</v>
      </c>
      <c r="Z78" s="696" t="s">
        <v>36</v>
      </c>
      <c r="AA78" s="697"/>
      <c r="AB78" s="421" t="s">
        <v>504</v>
      </c>
      <c r="AC78" s="422" t="s">
        <v>504</v>
      </c>
      <c r="AD78" s="422" t="s">
        <v>504</v>
      </c>
      <c r="AE78" s="586"/>
      <c r="AF78" s="586"/>
      <c r="AG78" s="586"/>
      <c r="AI78" s="696" t="s">
        <v>36</v>
      </c>
      <c r="AJ78" s="697"/>
      <c r="AK78" s="421">
        <v>203791.41116499892</v>
      </c>
      <c r="AL78" s="422">
        <v>299819.60053914884</v>
      </c>
      <c r="AM78" s="422">
        <v>1161401.4894901956</v>
      </c>
      <c r="AN78" s="414"/>
      <c r="AO78" s="414"/>
      <c r="AP78" s="414"/>
      <c r="AR78" s="527"/>
      <c r="AS78" s="593"/>
      <c r="BA78" s="638" t="s">
        <v>506</v>
      </c>
      <c r="BB78" s="566">
        <f>BB66</f>
        <v>1711</v>
      </c>
      <c r="BC78" s="566">
        <f t="shared" ref="BC78:BD79" si="48">BC66</f>
        <v>2904</v>
      </c>
      <c r="BD78" s="566">
        <f t="shared" si="48"/>
        <v>5081</v>
      </c>
      <c r="BE78" s="568" t="str">
        <f t="shared" ref="BE78:BG80" si="49">_xlfn.CONCAT(BE55,"; ",BE66)</f>
        <v>94.57; 218.2</v>
      </c>
      <c r="BF78" s="429" t="str">
        <f t="shared" si="49"/>
        <v>160.51; 298.16</v>
      </c>
      <c r="BG78" s="639" t="str">
        <f t="shared" si="49"/>
        <v>577.49; 1243.52</v>
      </c>
      <c r="BH78" s="586"/>
      <c r="BI78" s="586"/>
      <c r="BJ78" s="586"/>
    </row>
    <row r="79" spans="2:62" ht="16" thickBot="1">
      <c r="T79" s="10">
        <v>1</v>
      </c>
      <c r="U79" s="10">
        <v>27.8</v>
      </c>
      <c r="Z79" s="424" t="s">
        <v>520</v>
      </c>
      <c r="AA79" s="433" t="s">
        <v>129</v>
      </c>
      <c r="AB79" s="530">
        <v>6.1803665968784243</v>
      </c>
      <c r="AC79" s="426">
        <v>24.164217793336071</v>
      </c>
      <c r="AD79" s="430">
        <v>188.39119930781453</v>
      </c>
      <c r="AE79" s="429"/>
      <c r="AF79" s="429"/>
      <c r="AG79" s="429"/>
      <c r="AI79" s="424" t="s">
        <v>520</v>
      </c>
      <c r="AJ79" s="433" t="s">
        <v>129</v>
      </c>
      <c r="AK79" s="530">
        <v>203791.41116499892</v>
      </c>
      <c r="AL79" s="426">
        <v>299819.60053914884</v>
      </c>
      <c r="AM79" s="430">
        <v>1161401.4894901956</v>
      </c>
      <c r="AN79" s="429"/>
      <c r="AO79" s="429"/>
      <c r="AP79" s="429"/>
      <c r="AR79" s="527"/>
      <c r="AS79" s="593"/>
      <c r="BA79" s="638" t="s">
        <v>507</v>
      </c>
      <c r="BB79" s="566">
        <f>BB67</f>
        <v>2179</v>
      </c>
      <c r="BC79" s="566">
        <f t="shared" si="48"/>
        <v>2819</v>
      </c>
      <c r="BD79" s="566">
        <f t="shared" si="48"/>
        <v>5700</v>
      </c>
      <c r="BE79" s="568" t="str">
        <f t="shared" si="49"/>
        <v>120.44; 211.82</v>
      </c>
      <c r="BF79" s="429" t="str">
        <f t="shared" si="49"/>
        <v>155.81; 334.49</v>
      </c>
      <c r="BG79" s="639" t="str">
        <f t="shared" si="49"/>
        <v>647.85; 1207.16</v>
      </c>
      <c r="BH79" s="429"/>
      <c r="BI79" s="429"/>
      <c r="BJ79" s="429"/>
    </row>
    <row r="80" spans="2:62" ht="18" thickBot="1">
      <c r="T80" s="445">
        <v>3578249.9840827151</v>
      </c>
      <c r="U80" s="446">
        <f>T80*$U$79</f>
        <v>99475349.557499483</v>
      </c>
      <c r="Z80" s="427" t="s">
        <v>521</v>
      </c>
      <c r="AA80" s="434" t="s">
        <v>130</v>
      </c>
      <c r="AB80" s="530">
        <v>44.443946332643314</v>
      </c>
      <c r="AC80" s="426">
        <v>80.835732464608668</v>
      </c>
      <c r="AD80" s="430">
        <v>413.22670292921913</v>
      </c>
      <c r="AE80" s="429">
        <f>DCFROR!B38</f>
        <v>44443946.334192917</v>
      </c>
      <c r="AF80" s="429"/>
      <c r="AG80" s="429"/>
      <c r="AI80" s="427" t="s">
        <v>521</v>
      </c>
      <c r="AJ80" s="434" t="s">
        <v>130</v>
      </c>
      <c r="AK80" s="591">
        <v>407582.82232999784</v>
      </c>
      <c r="AL80" s="431">
        <v>599639.20107829769</v>
      </c>
      <c r="AM80" s="432">
        <v>2322802.9789803913</v>
      </c>
      <c r="AN80" s="429"/>
      <c r="AO80" s="429"/>
      <c r="AP80" s="429"/>
      <c r="AR80" s="548"/>
      <c r="AS80" s="594"/>
      <c r="AT80" s="549"/>
      <c r="AU80" s="549"/>
      <c r="AV80" s="549"/>
      <c r="BA80" s="640" t="s">
        <v>70</v>
      </c>
      <c r="BB80" s="567">
        <f>SUM(BB78:BB79)</f>
        <v>3890</v>
      </c>
      <c r="BC80" s="567">
        <f t="shared" ref="BC80:BD80" si="50">SUM(BC78:BC79)</f>
        <v>5723</v>
      </c>
      <c r="BD80" s="567">
        <f t="shared" si="50"/>
        <v>10781</v>
      </c>
      <c r="BE80" s="569" t="str">
        <f t="shared" si="49"/>
        <v>215.01; 430.02</v>
      </c>
      <c r="BF80" s="551" t="str">
        <f t="shared" si="49"/>
        <v>316.32; 632.65</v>
      </c>
      <c r="BG80" s="641" t="str">
        <f t="shared" si="49"/>
        <v>1225.34; 2450.68</v>
      </c>
      <c r="BH80" s="429"/>
      <c r="BI80" s="429"/>
      <c r="BJ80" s="429"/>
    </row>
    <row r="81" spans="20:62">
      <c r="T81" s="446">
        <v>3856796.3900292749</v>
      </c>
      <c r="U81" s="446">
        <f>T81*$U$79</f>
        <v>107218939.64281385</v>
      </c>
      <c r="AR81" s="695" t="s">
        <v>70</v>
      </c>
      <c r="AS81" s="695"/>
      <c r="AT81" s="551">
        <f>SUM(AT75:AT80)</f>
        <v>430.02</v>
      </c>
      <c r="AU81" s="551">
        <f t="shared" ref="AU81:AV81" si="51">SUM(AU75:AU80)</f>
        <v>632.65000000000009</v>
      </c>
      <c r="AV81" s="551">
        <f t="shared" si="51"/>
        <v>2450.6800000000003</v>
      </c>
      <c r="AW81" s="429"/>
      <c r="AX81" s="429"/>
      <c r="AY81" s="429"/>
      <c r="BH81" s="429"/>
      <c r="BI81" s="429"/>
      <c r="BJ81" s="429"/>
    </row>
    <row r="82" spans="20:62" ht="15.75" customHeight="1">
      <c r="BA82" s="642" t="s">
        <v>503</v>
      </c>
      <c r="BB82" s="693" t="s">
        <v>500</v>
      </c>
      <c r="BC82" s="693"/>
      <c r="BD82" s="693"/>
      <c r="BE82" s="648" t="s">
        <v>783</v>
      </c>
      <c r="BF82" s="693" t="s">
        <v>785</v>
      </c>
      <c r="BG82" s="693"/>
      <c r="BH82" s="694"/>
      <c r="BI82" s="429"/>
      <c r="BJ82" s="429"/>
    </row>
    <row r="83" spans="20:62">
      <c r="BA83" s="643"/>
      <c r="BB83" s="644" t="s">
        <v>32</v>
      </c>
      <c r="BC83" s="645" t="s">
        <v>502</v>
      </c>
      <c r="BD83" s="644" t="s">
        <v>501</v>
      </c>
      <c r="BE83" s="649"/>
      <c r="BF83" s="644" t="s">
        <v>32</v>
      </c>
      <c r="BG83" s="644" t="s">
        <v>502</v>
      </c>
      <c r="BH83" s="646" t="s">
        <v>501</v>
      </c>
      <c r="BI83" s="429"/>
      <c r="BJ83" s="429"/>
    </row>
    <row r="84" spans="20:62" ht="15" customHeight="1">
      <c r="W84" s="470" t="s">
        <v>697</v>
      </c>
      <c r="X84" s="470" t="s">
        <v>331</v>
      </c>
      <c r="Y84" s="470" t="s">
        <v>677</v>
      </c>
      <c r="BA84" s="650" t="str">
        <f>BA78</f>
        <v>A</v>
      </c>
      <c r="BB84" s="566">
        <f t="shared" ref="BB84:BD84" si="52">BB78</f>
        <v>1711</v>
      </c>
      <c r="BC84" s="566">
        <f t="shared" si="52"/>
        <v>2904</v>
      </c>
      <c r="BD84" s="566">
        <f t="shared" si="52"/>
        <v>5081</v>
      </c>
      <c r="BE84" s="619" t="s">
        <v>784</v>
      </c>
      <c r="BF84" s="429" t="str">
        <f>BE78</f>
        <v>94.57; 218.2</v>
      </c>
      <c r="BG84" s="429" t="str">
        <f t="shared" ref="BG84:BH84" si="53">BF78</f>
        <v>160.51; 298.16</v>
      </c>
      <c r="BH84" s="639" t="str">
        <f t="shared" si="53"/>
        <v>577.49; 1243.52</v>
      </c>
      <c r="BI84" s="429"/>
      <c r="BJ84" s="429"/>
    </row>
    <row r="85" spans="20:62">
      <c r="W85" s="10">
        <v>1</v>
      </c>
      <c r="X85" s="10">
        <v>1.1023099999999999</v>
      </c>
      <c r="Y85" s="10">
        <f>X85*Y86</f>
        <v>4.8391408999999994</v>
      </c>
      <c r="Z85" s="10">
        <f>Z86*$X$85</f>
        <v>0.20943889999999998</v>
      </c>
      <c r="AA85" s="10">
        <f t="shared" ref="AA85:AD85" si="54">AA86*$X$85</f>
        <v>4.2549165999999996</v>
      </c>
      <c r="AB85" s="10">
        <f t="shared" si="54"/>
        <v>8.8184799999999994E-2</v>
      </c>
      <c r="AC85" s="10">
        <f t="shared" si="54"/>
        <v>24.471281999999999</v>
      </c>
      <c r="AD85" s="10">
        <f t="shared" si="54"/>
        <v>0</v>
      </c>
      <c r="BA85" s="650" t="str">
        <f t="shared" ref="BA85:BD86" si="55">BA79</f>
        <v>B</v>
      </c>
      <c r="BB85" s="566">
        <f t="shared" si="55"/>
        <v>2179</v>
      </c>
      <c r="BC85" s="566">
        <f t="shared" si="55"/>
        <v>2819</v>
      </c>
      <c r="BD85" s="566">
        <f t="shared" si="55"/>
        <v>5700</v>
      </c>
      <c r="BE85" s="620" t="s">
        <v>784</v>
      </c>
      <c r="BF85" s="429" t="str">
        <f>BE79</f>
        <v>120.44; 211.82</v>
      </c>
      <c r="BG85" s="429" t="str">
        <f t="shared" ref="BG85:BH86" si="56">BF79</f>
        <v>155.81; 334.49</v>
      </c>
      <c r="BH85" s="639" t="str">
        <f t="shared" si="56"/>
        <v>647.85; 1207.16</v>
      </c>
      <c r="BI85" s="429"/>
      <c r="BJ85" s="429"/>
    </row>
    <row r="86" spans="20:62">
      <c r="W86" s="10">
        <v>0.90718500000000002</v>
      </c>
      <c r="X86" s="10">
        <v>1</v>
      </c>
      <c r="Y86" s="10">
        <v>4.3899999999999997</v>
      </c>
      <c r="Z86" s="10">
        <v>0.19</v>
      </c>
      <c r="AA86" s="10">
        <v>3.86</v>
      </c>
      <c r="AB86" s="10">
        <v>0.08</v>
      </c>
      <c r="AC86" s="10">
        <v>22.2</v>
      </c>
      <c r="BA86" s="651" t="str">
        <f t="shared" si="55"/>
        <v>Total</v>
      </c>
      <c r="BB86" s="652">
        <f t="shared" si="55"/>
        <v>3890</v>
      </c>
      <c r="BC86" s="652">
        <f t="shared" si="55"/>
        <v>5723</v>
      </c>
      <c r="BD86" s="652">
        <f t="shared" si="55"/>
        <v>10781</v>
      </c>
      <c r="BE86" s="653" t="s">
        <v>784</v>
      </c>
      <c r="BF86" s="551" t="str">
        <f>BE80</f>
        <v>215.01; 430.02</v>
      </c>
      <c r="BG86" s="551" t="str">
        <f t="shared" si="56"/>
        <v>316.32; 632.65</v>
      </c>
      <c r="BH86" s="641" t="str">
        <f t="shared" si="56"/>
        <v>1225.34; 2450.68</v>
      </c>
    </row>
  </sheetData>
  <mergeCells count="58">
    <mergeCell ref="AR24:AT24"/>
    <mergeCell ref="AP24:AP25"/>
    <mergeCell ref="AQ24:AQ25"/>
    <mergeCell ref="AK52:AM52"/>
    <mergeCell ref="AK76:AM76"/>
    <mergeCell ref="AK58:AM58"/>
    <mergeCell ref="AK64:AM64"/>
    <mergeCell ref="AK70:AM70"/>
    <mergeCell ref="AT52:AV52"/>
    <mergeCell ref="AT58:AV58"/>
    <mergeCell ref="AS68:AS69"/>
    <mergeCell ref="AS75:AS76"/>
    <mergeCell ref="AT65:AV65"/>
    <mergeCell ref="AT37:AT39"/>
    <mergeCell ref="AB33:AD33"/>
    <mergeCell ref="AB39:AD39"/>
    <mergeCell ref="AB13:AG13"/>
    <mergeCell ref="AB14:AC14"/>
    <mergeCell ref="AD14:AE14"/>
    <mergeCell ref="AF14:AG14"/>
    <mergeCell ref="AB23:AD23"/>
    <mergeCell ref="AI78:AJ78"/>
    <mergeCell ref="Z78:AA78"/>
    <mergeCell ref="AI54:AJ54"/>
    <mergeCell ref="AI60:AJ60"/>
    <mergeCell ref="AI66:AJ66"/>
    <mergeCell ref="AI72:AJ72"/>
    <mergeCell ref="AB76:AD76"/>
    <mergeCell ref="Z54:AA54"/>
    <mergeCell ref="AB58:AD58"/>
    <mergeCell ref="BE52:BG52"/>
    <mergeCell ref="W55:X55"/>
    <mergeCell ref="Z66:AA66"/>
    <mergeCell ref="Z72:AA72"/>
    <mergeCell ref="Z60:AA60"/>
    <mergeCell ref="AB64:AD64"/>
    <mergeCell ref="AB70:AD70"/>
    <mergeCell ref="AB52:AD52"/>
    <mergeCell ref="Z35:AA35"/>
    <mergeCell ref="Z47:AA47"/>
    <mergeCell ref="Z41:AA41"/>
    <mergeCell ref="BB76:BD76"/>
    <mergeCell ref="BB52:BD52"/>
    <mergeCell ref="AR54:AS54"/>
    <mergeCell ref="AE39:AG39"/>
    <mergeCell ref="AV37:AX37"/>
    <mergeCell ref="AK37:AK39"/>
    <mergeCell ref="AM37:AO37"/>
    <mergeCell ref="AL37:AL39"/>
    <mergeCell ref="AB45:AD45"/>
    <mergeCell ref="BB82:BD82"/>
    <mergeCell ref="BF82:BH82"/>
    <mergeCell ref="AR81:AS81"/>
    <mergeCell ref="AR60:AS60"/>
    <mergeCell ref="AR74:AS74"/>
    <mergeCell ref="BE63:BG63"/>
    <mergeCell ref="BB63:BD63"/>
    <mergeCell ref="BE76:BG76"/>
  </mergeCells>
  <dataValidations disablePrompts="1" count="1">
    <dataValidation type="list" allowBlank="1" showInputMessage="1" showErrorMessage="1" sqref="C5" xr:uid="{00000000-0002-0000-0300-000000000000}">
      <formula1>$M$6:$P$6</formula1>
    </dataValidation>
  </dataValidations>
  <hyperlinks>
    <hyperlink ref="L24" r:id="rId1" xr:uid="{00000000-0004-0000-0300-000000000000}"/>
    <hyperlink ref="C59" r:id="rId2" display="https://www.sciencedirect.com/science/article/pii/S0959652619320402" xr:uid="{F77F3E61-3BAA-C141-8D1A-FC3696663C18}"/>
    <hyperlink ref="E68" r:id="rId3" display="https://www.sciencedirect.com/science/article/pii/S0959652619320402" xr:uid="{56994115-A265-8F45-8789-4BDC38ADA391}"/>
    <hyperlink ref="Y40" r:id="rId4" xr:uid="{0E0AB0F5-BD0A-4DAE-98DF-F81F198D152E}"/>
    <hyperlink ref="Y39" r:id="rId5" xr:uid="{B78FBC86-14DD-4B2B-ACBA-AEC0A760CD47}"/>
  </hyperlinks>
  <pageMargins left="0.7" right="0.7" top="0.75" bottom="0.75" header="0.3" footer="0.3"/>
  <pageSetup orientation="portrait" r:id="rId6"/>
  <drawing r:id="rId7"/>
  <legacy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" operator="beginsWith" id="{FC9A359D-F602-452B-A8D4-0598CE47D1B7}">
            <xm:f>LEFT(A7,LEN("="))="="</xm:f>
            <xm:f>"="</xm:f>
            <x14:dxf>
              <font>
                <color theme="5"/>
              </font>
              <fill>
                <patternFill>
                  <bgColor theme="0"/>
                </patternFill>
              </fill>
            </x14:dxf>
          </x14:cfRule>
          <x14:cfRule type="containsText" priority="5" operator="containsText" id="{88CA4071-C528-469A-80E3-2A4D34B44864}">
            <xm:f>NOT(ISERROR(SEARCH("=",A7)))</xm:f>
            <xm:f>"="</xm:f>
            <x14:dxf>
              <font>
                <b/>
                <i val="0"/>
                <color theme="5"/>
              </font>
            </x14:dxf>
          </x14:cfRule>
          <xm:sqref>A7:G21 H15:Q21</xm:sqref>
        </x14:conditionalFormatting>
        <x14:conditionalFormatting xmlns:xm="http://schemas.microsoft.com/office/excel/2006/main">
          <x14:cfRule type="beginsWith" priority="43" operator="beginsWith" id="{52592063-9DF9-448D-80EA-D023BE414269}">
            <xm:f>LEFT(A6,LEN("="))="="</xm:f>
            <xm:f>"="</xm:f>
            <x14:dxf>
              <font>
                <color theme="5"/>
              </font>
              <fill>
                <patternFill>
                  <bgColor theme="0"/>
                </patternFill>
              </fill>
            </x14:dxf>
          </x14:cfRule>
          <xm:sqref>A6:T6 H7:T7 H8:Q8 T8 R8:S21</xm:sqref>
        </x14:conditionalFormatting>
        <x14:conditionalFormatting xmlns:xm="http://schemas.microsoft.com/office/excel/2006/main">
          <x14:cfRule type="containsText" priority="1" operator="containsText" id="{2FD955C8-2706-0142-A0F8-55BA83A291F7}">
            <xm:f>NOT(ISERROR(SEARCH("=",A1)))</xm:f>
            <xm:f>"="</xm:f>
            <x14:dxf>
              <font>
                <b/>
                <i val="0"/>
                <color theme="5"/>
              </font>
            </x14:dxf>
          </x14:cfRule>
          <xm:sqref>A1:XFD4</xm:sqref>
        </x14:conditionalFormatting>
        <x14:conditionalFormatting xmlns:xm="http://schemas.microsoft.com/office/excel/2006/main">
          <x14:cfRule type="containsText" priority="42" operator="containsText" id="{E9975BB2-FE40-4924-BE21-E934F0898A4D}">
            <xm:f>NOT(ISERROR(SEARCH("=",A6)))</xm:f>
            <xm:f>"="</xm:f>
            <x14:dxf>
              <font>
                <b/>
                <i val="0"/>
                <color theme="5"/>
              </font>
            </x14:dxf>
          </x14:cfRule>
          <xm:sqref>A6:XFD6 H7:XFD7 H8:Q8 T8:U8 W8:XFD8 R8:S21 V8:V21 A24:G32 D33:G33 B33:C40 A33:A41 E34:G34 D35:G39 A45:F57</xm:sqref>
        </x14:conditionalFormatting>
        <x14:conditionalFormatting xmlns:xm="http://schemas.microsoft.com/office/excel/2006/main">
          <x14:cfRule type="containsText" priority="41" operator="containsText" id="{687BABF2-2A76-4530-9913-A3521D681836}">
            <xm:f>NOT(ISERROR(SEARCH("=",C40)))</xm:f>
            <xm:f>"="</xm:f>
            <x14:dxf>
              <font>
                <b/>
                <i val="0"/>
                <color theme="5"/>
              </font>
            </x14:dxf>
          </x14:cfRule>
          <xm:sqref>E40:G41 C41:C43</xm:sqref>
        </x14:conditionalFormatting>
        <x14:conditionalFormatting xmlns:xm="http://schemas.microsoft.com/office/excel/2006/main">
          <x14:cfRule type="beginsWith" priority="35" operator="beginsWith" id="{7A96AABE-8E2D-49A6-B918-C1F6B67D10BB}">
            <xm:f>LEFT(H9,LEN("="))="="</xm:f>
            <xm:f>"="</xm:f>
            <x14:dxf>
              <font>
                <color theme="5"/>
              </font>
              <fill>
                <patternFill>
                  <bgColor theme="0"/>
                </patternFill>
              </fill>
            </x14:dxf>
          </x14:cfRule>
          <x14:cfRule type="containsText" priority="34" operator="containsText" id="{D022E320-7132-4AE5-8E49-3B2F9C1325B8}">
            <xm:f>NOT(ISERROR(SEARCH("=",H9)))</xm:f>
            <xm:f>"="</xm:f>
            <x14:dxf>
              <font>
                <b/>
                <i val="0"/>
                <color theme="5"/>
              </font>
            </x14:dxf>
          </x14:cfRule>
          <xm:sqref>H9:P10</xm:sqref>
        </x14:conditionalFormatting>
        <x14:conditionalFormatting xmlns:xm="http://schemas.microsoft.com/office/excel/2006/main">
          <x14:cfRule type="beginsWith" priority="27" operator="beginsWith" id="{B2510CB4-7D49-4036-9B75-CC5A8274CD1C}">
            <xm:f>LEFT(H14,LEN("="))="="</xm:f>
            <xm:f>"="</xm:f>
            <x14:dxf>
              <font>
                <color theme="5"/>
              </font>
              <fill>
                <patternFill>
                  <bgColor theme="0"/>
                </patternFill>
              </fill>
            </x14:dxf>
          </x14:cfRule>
          <x14:cfRule type="containsText" priority="26" operator="containsText" id="{EAA3D28B-DFB1-4AA2-A6C4-A8F6CE0E1526}">
            <xm:f>NOT(ISERROR(SEARCH("=",H14)))</xm:f>
            <xm:f>"="</xm:f>
            <x14:dxf>
              <font>
                <b/>
                <i val="0"/>
                <color theme="5"/>
              </font>
            </x14:dxf>
          </x14:cfRule>
          <xm:sqref>H14:P14</xm:sqref>
        </x14:conditionalFormatting>
        <x14:conditionalFormatting xmlns:xm="http://schemas.microsoft.com/office/excel/2006/main">
          <x14:cfRule type="beginsWith" priority="29" operator="beginsWith" id="{CC03B2EA-972F-4635-87B6-ABF913DC0EC8}">
            <xm:f>LEFT(H11,LEN("="))="="</xm:f>
            <xm:f>"="</xm:f>
            <x14:dxf>
              <font>
                <color theme="5"/>
              </font>
              <fill>
                <patternFill>
                  <bgColor theme="0"/>
                </patternFill>
              </fill>
            </x14:dxf>
          </x14:cfRule>
          <x14:cfRule type="containsText" priority="28" operator="containsText" id="{21CE51A1-F587-4427-86B9-7279EFD30425}">
            <xm:f>NOT(ISERROR(SEARCH("=",H11)))</xm:f>
            <xm:f>"="</xm:f>
            <x14:dxf>
              <font>
                <b/>
                <i val="0"/>
                <color theme="5"/>
              </font>
            </x14:dxf>
          </x14:cfRule>
          <xm:sqref>H11:Q13</xm:sqref>
        </x14:conditionalFormatting>
        <x14:conditionalFormatting xmlns:xm="http://schemas.microsoft.com/office/excel/2006/main">
          <x14:cfRule type="containsText" priority="2" operator="containsText" id="{8188705E-9F2A-4560-92C9-4CD2CD08B96C}">
            <xm:f>NOT(ISERROR(SEARCH("=",O5)))</xm:f>
            <xm:f>"="</xm:f>
            <x14:dxf>
              <font>
                <b/>
                <i val="0"/>
                <color theme="5"/>
              </font>
            </x14:dxf>
          </x14:cfRule>
          <xm:sqref>O5</xm:sqref>
        </x14:conditionalFormatting>
        <x14:conditionalFormatting xmlns:xm="http://schemas.microsoft.com/office/excel/2006/main">
          <x14:cfRule type="beginsWith" priority="14" operator="beginsWith" id="{5254E120-C501-4737-BA97-A008AA4BF0F6}">
            <xm:f>LEFT(T10,LEN("="))="="</xm:f>
            <xm:f>"="</xm:f>
            <x14:dxf>
              <font>
                <color theme="5"/>
              </font>
              <fill>
                <patternFill>
                  <bgColor theme="0"/>
                </patternFill>
              </fill>
            </x14:dxf>
          </x14:cfRule>
          <x14:cfRule type="containsText" priority="13" operator="containsText" id="{9B193673-DF8D-4A78-8A80-27DAE25EB7A7}">
            <xm:f>NOT(ISERROR(SEARCH("=",T10)))</xm:f>
            <xm:f>"="</xm:f>
            <x14:dxf>
              <font>
                <b/>
                <i val="0"/>
                <color theme="5"/>
              </font>
            </x14:dxf>
          </x14:cfRule>
          <xm:sqref>T10</xm:sqref>
        </x14:conditionalFormatting>
        <x14:conditionalFormatting xmlns:xm="http://schemas.microsoft.com/office/excel/2006/main">
          <x14:cfRule type="beginsWith" priority="10" operator="beginsWith" id="{44B61CC9-8A67-4448-AFF0-9C56C385277D}">
            <xm:f>LEFT(T15,LEN("="))="="</xm:f>
            <xm:f>"="</xm:f>
            <x14:dxf>
              <font>
                <color theme="5"/>
              </font>
              <fill>
                <patternFill>
                  <bgColor theme="0"/>
                </patternFill>
              </fill>
            </x14:dxf>
          </x14:cfRule>
          <x14:cfRule type="containsText" priority="9" operator="containsText" id="{84EC484B-6849-44BC-A64A-679ADC9D4F88}">
            <xm:f>NOT(ISERROR(SEARCH("=",T15)))</xm:f>
            <xm:f>"="</xm:f>
            <x14:dxf>
              <font>
                <b/>
                <i val="0"/>
                <color theme="5"/>
              </font>
            </x14:dxf>
          </x14:cfRule>
          <xm:sqref>T15</xm:sqref>
        </x14:conditionalFormatting>
        <x14:conditionalFormatting xmlns:xm="http://schemas.microsoft.com/office/excel/2006/main">
          <x14:cfRule type="beginsWith" priority="4" operator="beginsWith" id="{559FF774-F31A-45D5-91D5-AFE453E3CE78}">
            <xm:f>LEFT(T19,LEN("="))="="</xm:f>
            <xm:f>"="</xm:f>
            <x14:dxf>
              <font>
                <color theme="5"/>
              </font>
              <fill>
                <patternFill>
                  <bgColor theme="0"/>
                </patternFill>
              </fill>
            </x14:dxf>
          </x14:cfRule>
          <x14:cfRule type="containsText" priority="3" operator="containsText" id="{F6F149E7-E4EC-47D6-AF30-5C5E9741D129}">
            <xm:f>NOT(ISERROR(SEARCH("=",T19)))</xm:f>
            <xm:f>"="</xm:f>
            <x14:dxf>
              <font>
                <b/>
                <i val="0"/>
                <color theme="5"/>
              </font>
            </x14:dxf>
          </x14:cfRule>
          <xm:sqref>T19:T21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W172"/>
  <sheetViews>
    <sheetView topLeftCell="A12" zoomScale="130" zoomScaleNormal="130" workbookViewId="0">
      <selection activeCell="I32" sqref="I32"/>
    </sheetView>
  </sheetViews>
  <sheetFormatPr baseColWidth="10" defaultColWidth="9.1640625" defaultRowHeight="11"/>
  <cols>
    <col min="1" max="1" width="22.83203125" style="84" customWidth="1"/>
    <col min="2" max="2" width="12.83203125" style="84" bestFit="1" customWidth="1"/>
    <col min="3" max="4" width="10.5" style="84" customWidth="1"/>
    <col min="5" max="5" width="11.5" style="84" customWidth="1"/>
    <col min="6" max="6" width="12.5" style="84" customWidth="1"/>
    <col min="7" max="7" width="10.5" style="84" customWidth="1"/>
    <col min="8" max="8" width="13.1640625" style="84" customWidth="1"/>
    <col min="9" max="9" width="15.5" style="84" bestFit="1" customWidth="1"/>
    <col min="10" max="10" width="26.5" style="84" customWidth="1"/>
    <col min="11" max="11" width="8.83203125" style="84" customWidth="1"/>
    <col min="12" max="12" width="17.83203125" style="84" customWidth="1"/>
    <col min="13" max="13" width="20.5" style="84" customWidth="1"/>
    <col min="14" max="14" width="6.5" style="84" customWidth="1"/>
    <col min="15" max="15" width="14" style="84" customWidth="1"/>
    <col min="16" max="16" width="19" style="84" customWidth="1"/>
    <col min="17" max="17" width="17.5" style="84" customWidth="1"/>
    <col min="18" max="18" width="20" style="84" customWidth="1"/>
    <col min="19" max="16384" width="9.1640625" style="84"/>
  </cols>
  <sheetData>
    <row r="1" spans="1:19">
      <c r="A1" s="126" t="s">
        <v>308</v>
      </c>
      <c r="B1" s="127"/>
      <c r="C1" s="127"/>
      <c r="D1" s="127"/>
      <c r="E1" s="127"/>
      <c r="F1" s="127"/>
      <c r="G1" s="127"/>
      <c r="H1" s="127"/>
      <c r="I1" s="127"/>
    </row>
    <row r="2" spans="1:19" ht="36" customHeight="1">
      <c r="A2" s="128"/>
      <c r="B2" s="712" t="s">
        <v>309</v>
      </c>
      <c r="C2" s="712"/>
      <c r="D2" s="129" t="s">
        <v>310</v>
      </c>
      <c r="E2" s="129" t="s">
        <v>311</v>
      </c>
      <c r="F2" s="130" t="s">
        <v>312</v>
      </c>
      <c r="G2" s="130"/>
      <c r="H2" s="131" t="s">
        <v>313</v>
      </c>
      <c r="I2" s="132" t="s">
        <v>61</v>
      </c>
      <c r="J2" s="133"/>
      <c r="K2" s="197"/>
      <c r="M2" s="133"/>
      <c r="N2" s="133"/>
      <c r="O2" s="133"/>
      <c r="P2" s="133"/>
      <c r="Q2" s="133"/>
      <c r="R2" s="133"/>
    </row>
    <row r="3" spans="1:19" ht="24">
      <c r="A3" s="134" t="s">
        <v>314</v>
      </c>
      <c r="D3" s="135"/>
      <c r="E3" s="135"/>
      <c r="H3" s="362"/>
      <c r="I3" s="181"/>
      <c r="K3" s="197" t="s">
        <v>315</v>
      </c>
      <c r="L3" s="84">
        <v>0.34</v>
      </c>
      <c r="M3" s="84" t="s">
        <v>316</v>
      </c>
      <c r="N3" s="375">
        <f>L3/364*24</f>
        <v>2.2417582417582418E-2</v>
      </c>
    </row>
    <row r="4" spans="1:19">
      <c r="A4" s="137" t="s">
        <v>19</v>
      </c>
      <c r="B4" s="136">
        <v>5</v>
      </c>
      <c r="C4" s="138" t="s">
        <v>317</v>
      </c>
      <c r="D4" s="139">
        <v>2011</v>
      </c>
      <c r="E4" s="140">
        <f>B4*VLOOKUP($C$29,$A$109:$B$141,2,FALSE)/VLOOKUP(D4,$A$109:$B$141,2,FALSE)</f>
        <v>4.9999999999999991</v>
      </c>
      <c r="F4" s="141">
        <f>'Mass &amp; Energy'!E7*'Mass &amp; Energy'!$C$3/24</f>
        <v>0</v>
      </c>
      <c r="G4" s="84" t="s">
        <v>318</v>
      </c>
      <c r="H4" s="364">
        <f>E4*F4/DCFROR!$B$32</f>
        <v>0</v>
      </c>
      <c r="I4" s="182">
        <f>F4*B4</f>
        <v>0</v>
      </c>
      <c r="K4" s="198"/>
      <c r="L4" s="345">
        <f>L3*'Mass &amp; Energy'!I13*'Mass &amp; Energy'!C3/24*0.6</f>
        <v>4082625.3127987436</v>
      </c>
      <c r="M4" s="713"/>
      <c r="N4" s="714"/>
      <c r="O4" s="713"/>
      <c r="P4" s="715"/>
      <c r="Q4" s="715"/>
      <c r="R4" s="715"/>
    </row>
    <row r="5" spans="1:19">
      <c r="A5" s="137" t="s">
        <v>6</v>
      </c>
      <c r="B5" s="136">
        <f>'Mass &amp; Energy'!W37</f>
        <v>38.877435748792266</v>
      </c>
      <c r="C5" s="138" t="s">
        <v>317</v>
      </c>
      <c r="D5" s="139">
        <v>2011</v>
      </c>
      <c r="E5" s="140">
        <f>B5*VLOOKUP($C$29,$A$105:$B$137,2,FALSE)/VLOOKUP(D5,$A$105:$B$137,2,FALSE)</f>
        <v>38.877435748792266</v>
      </c>
      <c r="F5" s="141">
        <f>'Mass &amp; Energy'!L10*'Mass &amp; Energy'!$C$3/24</f>
        <v>34604.584199999998</v>
      </c>
      <c r="G5" s="84" t="s">
        <v>318</v>
      </c>
      <c r="H5" s="364">
        <f>E5*F5/DCFROR!$B$32</f>
        <v>3.3007708498566819</v>
      </c>
      <c r="I5" s="182">
        <f>F5*B5</f>
        <v>1345337.4988491719</v>
      </c>
      <c r="K5" s="198"/>
      <c r="M5" s="713"/>
      <c r="N5" s="714"/>
      <c r="O5" s="713"/>
      <c r="P5" s="715"/>
      <c r="Q5" s="715"/>
      <c r="R5" s="715"/>
    </row>
    <row r="6" spans="1:19">
      <c r="A6" s="137" t="s">
        <v>7</v>
      </c>
      <c r="B6" s="136">
        <f>B5</f>
        <v>38.877435748792266</v>
      </c>
      <c r="C6" s="138" t="s">
        <v>317</v>
      </c>
      <c r="D6" s="139">
        <v>2011</v>
      </c>
      <c r="E6" s="140">
        <f>B6*VLOOKUP($C$29,$A$105:$B$137,2,FALSE)/VLOOKUP(D6,$A$105:$B$137,2,FALSE)</f>
        <v>38.877435748792266</v>
      </c>
      <c r="F6" s="141">
        <f>'Mass &amp; Energy'!O10*'Mass &amp; Energy'!$C$3/24</f>
        <v>0</v>
      </c>
      <c r="G6" s="84" t="s">
        <v>318</v>
      </c>
      <c r="H6" s="364">
        <f>E6*F6/DCFROR!$B$32</f>
        <v>0</v>
      </c>
      <c r="I6" s="182">
        <f>F6*B6</f>
        <v>0</v>
      </c>
      <c r="K6" s="198"/>
      <c r="M6" s="410"/>
      <c r="N6" s="411"/>
      <c r="O6" s="410"/>
      <c r="P6" s="412"/>
      <c r="Q6" s="412"/>
      <c r="R6" s="412"/>
    </row>
    <row r="7" spans="1:19">
      <c r="A7" s="137" t="s">
        <v>8</v>
      </c>
      <c r="B7" s="136">
        <f>B5</f>
        <v>38.877435748792266</v>
      </c>
      <c r="C7" s="138" t="s">
        <v>317</v>
      </c>
      <c r="D7" s="139">
        <v>2011</v>
      </c>
      <c r="E7" s="140">
        <f>B7*VLOOKUP($C$29,$A$105:$B$137,2,FALSE)/VLOOKUP(D7,$A$105:$B$137,2,FALSE)</f>
        <v>38.877435748792266</v>
      </c>
      <c r="F7" s="141">
        <f>'Mass &amp; Energy'!P10*'Mass &amp; Energy'!$C$3/24</f>
        <v>0</v>
      </c>
      <c r="G7" s="84" t="s">
        <v>318</v>
      </c>
      <c r="H7" s="364">
        <f>E7*F7/DCFROR!$B$32</f>
        <v>0</v>
      </c>
      <c r="I7" s="182">
        <f>F7*B7</f>
        <v>0</v>
      </c>
      <c r="K7" s="198"/>
      <c r="M7" s="410"/>
      <c r="N7" s="411"/>
      <c r="O7" s="410"/>
      <c r="P7" s="412"/>
      <c r="Q7" s="412"/>
      <c r="R7" s="412"/>
    </row>
    <row r="8" spans="1:19">
      <c r="A8" s="137" t="s">
        <v>21</v>
      </c>
      <c r="B8" s="136">
        <v>0</v>
      </c>
      <c r="C8" s="138" t="s">
        <v>317</v>
      </c>
      <c r="D8" s="139">
        <v>2011</v>
      </c>
      <c r="E8" s="140">
        <f>B8*VLOOKUP($C$29,$A$105:$B$137,2,FALSE)/VLOOKUP(D8,$A$105:$B$137,2,FALSE)</f>
        <v>0</v>
      </c>
      <c r="F8" s="141">
        <f>'Mass &amp; Energy'!E9*'Mass &amp; Energy'!$C$3/24</f>
        <v>0</v>
      </c>
      <c r="G8" s="84" t="s">
        <v>318</v>
      </c>
      <c r="H8" s="364">
        <f>E8*F8/DCFROR!$B$32</f>
        <v>0</v>
      </c>
      <c r="I8" s="182">
        <f>F8*B8</f>
        <v>0</v>
      </c>
      <c r="K8" s="198"/>
      <c r="M8" s="410"/>
      <c r="N8" s="411"/>
      <c r="O8" s="410"/>
      <c r="P8" s="412"/>
      <c r="Q8" s="412"/>
      <c r="R8" s="412"/>
    </row>
    <row r="9" spans="1:19" ht="22.5" customHeight="1">
      <c r="D9" s="142"/>
      <c r="E9" s="143"/>
      <c r="G9" s="144" t="s">
        <v>319</v>
      </c>
      <c r="H9" s="365">
        <f>SUM(H4:H5)</f>
        <v>3.3007708498566819</v>
      </c>
      <c r="I9" s="183">
        <f>SUM(I4:I8)</f>
        <v>1345337.4988491719</v>
      </c>
      <c r="K9" s="198"/>
      <c r="O9"/>
      <c r="P9" t="s">
        <v>534</v>
      </c>
      <c r="Q9" s="447" t="s">
        <v>535</v>
      </c>
      <c r="R9" s="447" t="s">
        <v>536</v>
      </c>
      <c r="S9" s="448" t="s">
        <v>538</v>
      </c>
    </row>
    <row r="10" spans="1:19">
      <c r="A10" s="128"/>
      <c r="D10" s="142"/>
      <c r="E10" s="143"/>
      <c r="F10" s="133"/>
      <c r="H10" s="365"/>
      <c r="I10" s="181"/>
      <c r="K10" s="198"/>
      <c r="O10" s="84" t="s">
        <v>18</v>
      </c>
    </row>
    <row r="11" spans="1:19" ht="12" customHeight="1">
      <c r="A11" s="145" t="s">
        <v>320</v>
      </c>
      <c r="D11" s="142"/>
      <c r="E11" s="143"/>
      <c r="F11" s="146"/>
      <c r="H11" s="366"/>
      <c r="I11" s="184"/>
      <c r="J11" s="147"/>
      <c r="K11" s="198"/>
      <c r="O11" s="345">
        <f>H36+H9+H14+H24</f>
        <v>-23.569849818649683</v>
      </c>
    </row>
    <row r="12" spans="1:19" ht="12">
      <c r="A12" s="148" t="s">
        <v>321</v>
      </c>
      <c r="B12" s="147">
        <v>5</v>
      </c>
      <c r="C12" s="138" t="s">
        <v>317</v>
      </c>
      <c r="D12" s="139">
        <v>2011</v>
      </c>
      <c r="E12" s="140">
        <f>B12*VLOOKUP($C$29,$A$105:$B$137,2,FALSE)/VLOOKUP(D12,$A$105:$B$137,2,FALSE)</f>
        <v>4.9999999999999991</v>
      </c>
      <c r="F12" s="147">
        <f>'Mass &amp; Energy'!E15*'Mass &amp; Energy'!$C$3/24</f>
        <v>85961.993900084984</v>
      </c>
      <c r="G12" s="84" t="s">
        <v>318</v>
      </c>
      <c r="H12" s="364">
        <f>E12*F12/DCFROR!$B$32</f>
        <v>1.0545340626559352</v>
      </c>
      <c r="I12" s="182">
        <f>F12*B12</f>
        <v>429809.96950042492</v>
      </c>
      <c r="K12" s="199"/>
    </row>
    <row r="13" spans="1:19">
      <c r="A13" s="3" t="s">
        <v>322</v>
      </c>
      <c r="B13" s="147">
        <v>0.09</v>
      </c>
      <c r="C13" s="138" t="s">
        <v>317</v>
      </c>
      <c r="D13" s="139">
        <v>2018</v>
      </c>
      <c r="E13" s="140">
        <v>2.64</v>
      </c>
      <c r="F13" s="147">
        <f>'Mass &amp; Energy'!E16*'Mass &amp; Energy'!$C$3/24</f>
        <v>80804.274266079883</v>
      </c>
      <c r="G13" s="84" t="s">
        <v>318</v>
      </c>
      <c r="H13" s="364">
        <f>E13*F13/DCFROR!$B$32</f>
        <v>0.52338634597739386</v>
      </c>
      <c r="I13" s="182">
        <f>F13*B13</f>
        <v>7272.3846839471889</v>
      </c>
      <c r="K13" s="198"/>
    </row>
    <row r="14" spans="1:19">
      <c r="A14" s="128"/>
      <c r="D14" s="142"/>
      <c r="E14" s="143"/>
      <c r="G14" s="144" t="s">
        <v>70</v>
      </c>
      <c r="H14" s="365">
        <f>SUM(H12:H13)</f>
        <v>1.5779204086333292</v>
      </c>
      <c r="I14" s="183">
        <f>SUM(I12:I13)</f>
        <v>437082.35418437212</v>
      </c>
      <c r="K14" s="198"/>
    </row>
    <row r="15" spans="1:19">
      <c r="A15" s="128"/>
      <c r="D15" s="142"/>
      <c r="E15" s="143"/>
      <c r="H15" s="362"/>
      <c r="I15" s="181"/>
      <c r="K15" s="200"/>
    </row>
    <row r="16" spans="1:19" ht="12.75" customHeight="1">
      <c r="A16" s="145" t="s">
        <v>323</v>
      </c>
      <c r="E16" s="143"/>
      <c r="H16" s="362"/>
      <c r="I16" s="183"/>
      <c r="K16" s="198"/>
    </row>
    <row r="17" spans="1:13">
      <c r="A17" s="137" t="s">
        <v>324</v>
      </c>
      <c r="B17" s="147">
        <v>7.0000000000000007E-2</v>
      </c>
      <c r="C17" s="138" t="s">
        <v>325</v>
      </c>
      <c r="D17" s="139">
        <v>2007</v>
      </c>
      <c r="E17" s="140">
        <f>B17*VLOOKUP($C$29,$A$105:$B$137,2,FALSE)/VLOOKUP(D17,$A$105:$B$137,2,FALSE)</f>
        <v>8.3854246897732146E-2</v>
      </c>
      <c r="F17" s="363">
        <f>L4</f>
        <v>4082625.3127987436</v>
      </c>
      <c r="G17" s="84" t="s">
        <v>168</v>
      </c>
      <c r="H17" s="364">
        <f>E17*F17/DCFROR!$B$32</f>
        <v>0.83994087143637797</v>
      </c>
      <c r="I17" s="182">
        <f>F17*B17</f>
        <v>285783.77189591207</v>
      </c>
      <c r="J17" s="84">
        <f>F17/('Mass &amp; Energy'!J21*1000*'Mass &amp; Energy'!C3/24)</f>
        <v>0.52226951713136394</v>
      </c>
      <c r="K17" s="198"/>
    </row>
    <row r="18" spans="1:13">
      <c r="A18" s="137" t="s">
        <v>326</v>
      </c>
      <c r="B18" s="141">
        <v>0.41</v>
      </c>
      <c r="C18" s="138" t="s">
        <v>327</v>
      </c>
      <c r="D18" s="139">
        <v>2011</v>
      </c>
      <c r="E18" s="140">
        <f>B18*VLOOKUP($C$29,$A$105:$B$137,2,FALSE)/VLOOKUP(D18,$A$105:$B$137,2,FALSE)</f>
        <v>0.41</v>
      </c>
      <c r="F18" s="151">
        <f>DCFROR!B32</f>
        <v>407582.82232999784</v>
      </c>
      <c r="G18" s="84" t="s">
        <v>328</v>
      </c>
      <c r="H18" s="364">
        <f>E18*F18/DCFROR!$B$32</f>
        <v>0.41</v>
      </c>
      <c r="I18" s="182">
        <f>F18*B18</f>
        <v>167108.95715529911</v>
      </c>
      <c r="K18" s="198"/>
    </row>
    <row r="19" spans="1:13">
      <c r="A19" s="146" t="s">
        <v>329</v>
      </c>
      <c r="B19" s="141">
        <f>'Mass &amp; Energy'!W50</f>
        <v>7.0806119162640906</v>
      </c>
      <c r="C19" s="138" t="s">
        <v>330</v>
      </c>
      <c r="D19" s="139">
        <v>2007</v>
      </c>
      <c r="E19" s="140">
        <f>B19*VLOOKUP($C$29,$A$105:$B$137,2,FALSE)/VLOOKUP(D19,$A$105:$B$137,2,FALSE)</f>
        <v>8.481991140191905</v>
      </c>
      <c r="F19" s="151">
        <f>'Mass &amp; Energy'!J13*'Mass &amp; Energy'!C3/24</f>
        <v>8058.8507216889857</v>
      </c>
      <c r="G19" s="84" t="s">
        <v>331</v>
      </c>
      <c r="H19" s="364">
        <f>E19*F19/DCFROR!$B$32</f>
        <v>0.16770849181212957</v>
      </c>
      <c r="I19" s="182">
        <f>F19*B19</f>
        <v>57061.594451384495</v>
      </c>
      <c r="K19" s="198"/>
    </row>
    <row r="20" spans="1:13">
      <c r="A20" s="84" t="s">
        <v>332</v>
      </c>
      <c r="H20" s="367">
        <f>-0.2*H34</f>
        <v>3.3420000000000005</v>
      </c>
      <c r="I20" s="84">
        <f>-0.1*I34</f>
        <v>681070.89611342642</v>
      </c>
      <c r="K20" s="200"/>
    </row>
    <row r="21" spans="1:13">
      <c r="A21" s="84" t="s">
        <v>333</v>
      </c>
      <c r="H21" s="367">
        <f>-0.2*H35</f>
        <v>3.8961038961038961</v>
      </c>
      <c r="I21" s="84">
        <f>-0.1*I35</f>
        <v>793992.5110324634</v>
      </c>
      <c r="K21" s="198"/>
    </row>
    <row r="22" spans="1:13">
      <c r="H22" s="367"/>
      <c r="K22" s="200"/>
    </row>
    <row r="23" spans="1:13">
      <c r="H23" s="367"/>
      <c r="J23" s="202"/>
    </row>
    <row r="24" spans="1:13">
      <c r="A24" s="201" t="s">
        <v>334</v>
      </c>
      <c r="F24" s="201"/>
      <c r="G24" s="153" t="s">
        <v>335</v>
      </c>
      <c r="H24" s="368">
        <f>SUM(H17:H21)</f>
        <v>8.6557532593524051</v>
      </c>
      <c r="I24" s="185">
        <f>SUM(I17:I21)</f>
        <v>1985017.7306484855</v>
      </c>
    </row>
    <row r="25" spans="1:13" ht="15.75" customHeight="1">
      <c r="F25" s="133"/>
      <c r="H25" s="365">
        <f>H24+H14+H9</f>
        <v>13.534444517842417</v>
      </c>
      <c r="I25" s="183">
        <f>I9+I14+I24</f>
        <v>3767437.5836820295</v>
      </c>
    </row>
    <row r="26" spans="1:13">
      <c r="H26" s="367"/>
    </row>
    <row r="27" spans="1:13">
      <c r="H27" s="367"/>
    </row>
    <row r="28" spans="1:13">
      <c r="F28" s="154"/>
      <c r="H28" s="365"/>
      <c r="I28" s="203"/>
    </row>
    <row r="29" spans="1:13">
      <c r="A29" s="144" t="s">
        <v>336</v>
      </c>
      <c r="B29" s="155" t="s">
        <v>268</v>
      </c>
      <c r="C29" s="133">
        <v>2011</v>
      </c>
      <c r="D29" s="156" t="s">
        <v>337</v>
      </c>
      <c r="E29" s="157"/>
      <c r="F29" s="158"/>
      <c r="H29" s="362"/>
    </row>
    <row r="30" spans="1:13">
      <c r="H30" s="367"/>
    </row>
    <row r="31" spans="1:13">
      <c r="A31" s="145" t="s">
        <v>338</v>
      </c>
      <c r="B31" s="84">
        <v>0</v>
      </c>
      <c r="D31" s="142"/>
      <c r="E31" s="143"/>
      <c r="F31" s="146"/>
      <c r="H31" s="366"/>
      <c r="I31" s="184"/>
      <c r="J31" s="84" t="s">
        <v>339</v>
      </c>
      <c r="M31" s="159"/>
    </row>
    <row r="32" spans="1:13" ht="11.25" customHeight="1">
      <c r="A32" s="5" t="s">
        <v>340</v>
      </c>
      <c r="B32" s="84">
        <v>-35.25</v>
      </c>
      <c r="C32" s="138" t="s">
        <v>317</v>
      </c>
      <c r="D32" s="139">
        <v>2011</v>
      </c>
      <c r="E32" s="140">
        <f>B32*VLOOKUP($C$29,$A$105:$B$137,2,FALSE)/VLOOKUP(D32,$A$105:$B$137,2,FALSE)</f>
        <v>-35.25</v>
      </c>
      <c r="F32" s="150">
        <f>'Mass &amp; Energy'!E18*'Mass &amp; Energy'!$C$3/24</f>
        <v>5157.7196340051014</v>
      </c>
      <c r="G32" s="84" t="s">
        <v>318</v>
      </c>
      <c r="H32" s="364">
        <f>E32*F32/DCFROR!$B$32</f>
        <v>-0.44606790850346084</v>
      </c>
      <c r="I32" s="182">
        <f>F32*B32</f>
        <v>-181809.61709867982</v>
      </c>
      <c r="J32" s="84">
        <v>-35.25</v>
      </c>
      <c r="M32" s="159"/>
    </row>
    <row r="33" spans="1:23">
      <c r="A33" s="5" t="s">
        <v>341</v>
      </c>
      <c r="B33" s="84">
        <v>-2.64</v>
      </c>
      <c r="C33" s="138" t="s">
        <v>317</v>
      </c>
      <c r="D33" s="139">
        <v>2011</v>
      </c>
      <c r="E33" s="140">
        <f t="shared" ref="E33:E34" si="0">B33*VLOOKUP($C$29,$A$105:$B$137,2,FALSE)/VLOOKUP(D33,$A$105:$B$137,2,FALSE)</f>
        <v>-2.64</v>
      </c>
      <c r="F33" s="150">
        <f>'Mass &amp; Energy'!E20*'Mass &amp; Energy'!$C$3/24</f>
        <v>72208.074876071376</v>
      </c>
      <c r="G33" s="84" t="s">
        <v>318</v>
      </c>
      <c r="H33" s="364">
        <f>E33*F33/DCFROR!$B$32</f>
        <v>-0.46770694746916042</v>
      </c>
      <c r="I33" s="182">
        <f>F33*B33</f>
        <v>-190629.31767282845</v>
      </c>
      <c r="J33" s="84">
        <v>-2.64</v>
      </c>
    </row>
    <row r="34" spans="1:23">
      <c r="A34" s="137" t="s">
        <v>48</v>
      </c>
      <c r="B34" s="84">
        <v>-16.71</v>
      </c>
      <c r="C34" s="138" t="s">
        <v>327</v>
      </c>
      <c r="D34" s="139">
        <v>2011</v>
      </c>
      <c r="E34" s="140">
        <f t="shared" si="0"/>
        <v>-16.71</v>
      </c>
      <c r="F34" s="152">
        <f>DCFROR!B32</f>
        <v>407582.82232999784</v>
      </c>
      <c r="G34" s="84" t="s">
        <v>328</v>
      </c>
      <c r="H34" s="364">
        <f>B34</f>
        <v>-16.71</v>
      </c>
      <c r="I34" s="182">
        <f>F34*B34</f>
        <v>-6810708.9611342642</v>
      </c>
      <c r="J34" s="84">
        <v>-16.71</v>
      </c>
      <c r="K34" s="84" t="s">
        <v>342</v>
      </c>
    </row>
    <row r="35" spans="1:23">
      <c r="A35" s="84" t="s">
        <v>343</v>
      </c>
      <c r="B35" s="84">
        <v>-1.5</v>
      </c>
      <c r="C35" s="84" t="s">
        <v>344</v>
      </c>
      <c r="D35" s="84">
        <v>2011</v>
      </c>
      <c r="E35" s="140">
        <f>B35*VLOOKUP($C$29,$A$105:$B$137,2,FALSE)/VLOOKUP(D35,$A$105:$B$137,2,FALSE)</f>
        <v>-1.5</v>
      </c>
      <c r="F35" s="84">
        <f>DCFROR!B32*1000000/77000</f>
        <v>5293283.4068830889</v>
      </c>
      <c r="G35" s="84" t="s">
        <v>343</v>
      </c>
      <c r="H35" s="364">
        <f>E35*F35/DCFROR!$B$32</f>
        <v>-19.480519480519479</v>
      </c>
      <c r="I35" s="182">
        <f>F35*B35</f>
        <v>-7939925.1103246333</v>
      </c>
      <c r="J35" s="84">
        <v>-1.5</v>
      </c>
    </row>
    <row r="36" spans="1:23">
      <c r="A36" s="128"/>
      <c r="E36" s="143"/>
      <c r="G36" s="144" t="s">
        <v>345</v>
      </c>
      <c r="H36" s="365">
        <f>SUM(H32:H35)</f>
        <v>-37.104294336492103</v>
      </c>
      <c r="I36" s="183">
        <f>SUM(I32:I35)</f>
        <v>-15123073.006230406</v>
      </c>
    </row>
    <row r="37" spans="1:23">
      <c r="E37" s="160"/>
      <c r="F37" s="136"/>
      <c r="G37" s="160"/>
      <c r="H37" s="136"/>
    </row>
    <row r="38" spans="1:23">
      <c r="A38" s="138"/>
      <c r="D38" s="147"/>
      <c r="E38" s="147"/>
      <c r="F38" s="147"/>
    </row>
    <row r="39" spans="1:23">
      <c r="A39" s="138"/>
      <c r="D39" s="147"/>
      <c r="E39" s="147"/>
      <c r="F39" s="147"/>
      <c r="G39" s="147"/>
      <c r="H39" s="147"/>
    </row>
    <row r="40" spans="1:23">
      <c r="A40" s="138"/>
      <c r="B40" s="84" t="s">
        <v>313</v>
      </c>
      <c r="C40" s="84" t="s">
        <v>754</v>
      </c>
      <c r="D40" s="147" t="s">
        <v>739</v>
      </c>
      <c r="E40" s="147" t="s">
        <v>758</v>
      </c>
      <c r="F40" s="147"/>
      <c r="G40" s="147"/>
      <c r="H40" s="147"/>
    </row>
    <row r="41" spans="1:23">
      <c r="A41" s="138"/>
      <c r="B41" s="84">
        <v>8.1999999999999993</v>
      </c>
      <c r="C41" s="84">
        <f>B41*$D$42</f>
        <v>7.7720993999999992</v>
      </c>
      <c r="D41" s="147">
        <v>1</v>
      </c>
      <c r="E41" s="147">
        <f xml:space="preserve"> 0.00000105506 * 1000000</f>
        <v>1.0550600000000001</v>
      </c>
      <c r="F41" s="147"/>
      <c r="G41" s="573">
        <f>1000000</f>
        <v>1000000</v>
      </c>
      <c r="H41" s="147"/>
    </row>
    <row r="42" spans="1:23">
      <c r="B42" s="84">
        <v>6.7</v>
      </c>
      <c r="C42" s="84">
        <f t="shared" ref="C42:C50" si="1">B42*$D$42</f>
        <v>6.3503739000000001</v>
      </c>
      <c r="D42" s="147">
        <f>947817/1000000</f>
        <v>0.94781700000000002</v>
      </c>
      <c r="E42" s="147">
        <v>1</v>
      </c>
      <c r="F42" s="147"/>
      <c r="G42" s="147"/>
      <c r="H42" s="147"/>
    </row>
    <row r="43" spans="1:23">
      <c r="B43" s="84">
        <v>-7.4</v>
      </c>
      <c r="C43" s="84">
        <f t="shared" si="1"/>
        <v>-7.0138458000000004</v>
      </c>
      <c r="D43" s="147"/>
      <c r="E43" s="147"/>
      <c r="F43" s="147"/>
      <c r="G43" s="147"/>
      <c r="H43" s="147"/>
    </row>
    <row r="44" spans="1:23">
      <c r="B44" s="84">
        <v>-19.100000000000001</v>
      </c>
      <c r="C44" s="84">
        <f t="shared" si="1"/>
        <v>-18.103304700000002</v>
      </c>
      <c r="D44" s="147"/>
      <c r="E44" s="147"/>
      <c r="F44" s="147"/>
      <c r="G44" s="147"/>
      <c r="H44" s="147"/>
    </row>
    <row r="45" spans="1:23">
      <c r="A45" s="138"/>
      <c r="B45" s="84">
        <v>3</v>
      </c>
      <c r="C45" s="84">
        <f t="shared" si="1"/>
        <v>2.843451</v>
      </c>
      <c r="D45" s="147"/>
      <c r="E45" s="147"/>
      <c r="F45" s="147"/>
      <c r="G45" s="147"/>
      <c r="H45" s="147"/>
    </row>
    <row r="46" spans="1:23">
      <c r="A46" s="138"/>
      <c r="B46" s="84">
        <v>3.6</v>
      </c>
      <c r="C46" s="84">
        <f t="shared" si="1"/>
        <v>3.4121412000000002</v>
      </c>
      <c r="D46" s="147"/>
      <c r="E46" s="147"/>
      <c r="F46" s="147"/>
      <c r="G46" s="147"/>
      <c r="H46" s="147"/>
    </row>
    <row r="47" spans="1:23">
      <c r="B47" s="84">
        <v>0.41</v>
      </c>
      <c r="C47" s="84">
        <f t="shared" si="1"/>
        <v>0.38860496999999999</v>
      </c>
    </row>
    <row r="48" spans="1:23">
      <c r="B48" s="84">
        <v>-16.71</v>
      </c>
      <c r="C48" s="84">
        <f t="shared" si="1"/>
        <v>-15.838022070000001</v>
      </c>
      <c r="W48" s="84">
        <v>8.98</v>
      </c>
    </row>
    <row r="49" spans="1:23">
      <c r="B49" s="84">
        <v>3.9750000000000001</v>
      </c>
      <c r="C49" s="84">
        <f t="shared" si="1"/>
        <v>3.767572575</v>
      </c>
      <c r="W49" s="84">
        <v>8.9600000000000009</v>
      </c>
    </row>
    <row r="50" spans="1:23">
      <c r="A50" s="138"/>
      <c r="B50" s="84">
        <v>0.15</v>
      </c>
      <c r="C50" s="84">
        <f t="shared" si="1"/>
        <v>0.14217255000000001</v>
      </c>
      <c r="D50" s="147"/>
      <c r="E50" s="147"/>
      <c r="F50" s="147"/>
      <c r="G50" s="147"/>
      <c r="H50" s="147"/>
      <c r="W50" s="84">
        <v>9.09</v>
      </c>
    </row>
    <row r="51" spans="1:23">
      <c r="D51" s="147"/>
      <c r="E51" s="147"/>
      <c r="F51" s="147"/>
      <c r="G51" s="147"/>
      <c r="H51" s="147"/>
      <c r="W51" s="84">
        <v>9.26</v>
      </c>
    </row>
    <row r="52" spans="1:23">
      <c r="A52" s="138"/>
      <c r="D52" s="147"/>
      <c r="E52" s="147"/>
      <c r="F52" s="147"/>
      <c r="G52" s="147"/>
      <c r="H52" s="147"/>
      <c r="W52" s="84">
        <v>9.49</v>
      </c>
    </row>
    <row r="53" spans="1:23">
      <c r="D53" s="147"/>
      <c r="E53" s="147"/>
      <c r="F53" s="147"/>
      <c r="G53" s="147"/>
      <c r="H53" s="147"/>
      <c r="W53" s="84">
        <v>10.33</v>
      </c>
    </row>
    <row r="54" spans="1:23">
      <c r="B54" s="138"/>
      <c r="D54" s="147"/>
      <c r="E54" s="147"/>
      <c r="F54" s="147"/>
      <c r="G54" s="147"/>
      <c r="H54" s="147"/>
      <c r="W54" s="84">
        <v>10.68</v>
      </c>
    </row>
    <row r="55" spans="1:23">
      <c r="D55" s="147"/>
      <c r="E55" s="147"/>
      <c r="F55" s="147"/>
      <c r="G55" s="147"/>
      <c r="H55" s="147"/>
      <c r="W55" s="84">
        <v>10.63</v>
      </c>
    </row>
    <row r="56" spans="1:23">
      <c r="D56" s="147"/>
      <c r="E56" s="147"/>
      <c r="F56" s="147"/>
      <c r="G56" s="147"/>
      <c r="H56" s="147"/>
      <c r="W56" s="84">
        <v>10.31</v>
      </c>
    </row>
    <row r="57" spans="1:23">
      <c r="D57" s="147"/>
      <c r="E57" s="147"/>
      <c r="F57" s="147"/>
      <c r="G57" s="147"/>
      <c r="H57" s="147"/>
      <c r="W57" s="84">
        <v>9.7899999999999991</v>
      </c>
    </row>
    <row r="58" spans="1:23">
      <c r="D58" s="147"/>
      <c r="E58" s="147"/>
      <c r="F58" s="147"/>
      <c r="G58" s="147"/>
      <c r="H58" s="147"/>
    </row>
    <row r="59" spans="1:23">
      <c r="D59" s="147"/>
      <c r="E59" s="147"/>
      <c r="F59" s="147"/>
      <c r="G59" s="147"/>
      <c r="H59" s="147"/>
      <c r="J59" s="412"/>
    </row>
    <row r="60" spans="1:23">
      <c r="B60" s="133"/>
      <c r="C60" s="133"/>
      <c r="D60" s="149"/>
      <c r="E60" s="149"/>
      <c r="F60" s="149"/>
      <c r="G60" s="147"/>
      <c r="H60" s="147"/>
    </row>
    <row r="61" spans="1:23">
      <c r="D61" s="147"/>
      <c r="E61" s="147"/>
      <c r="F61" s="147"/>
      <c r="G61" s="149"/>
      <c r="H61" s="149"/>
    </row>
    <row r="62" spans="1:23">
      <c r="A62" s="412"/>
      <c r="C62" s="161"/>
      <c r="D62" s="147"/>
      <c r="E62" s="147"/>
      <c r="F62" s="147"/>
      <c r="G62" s="147"/>
      <c r="H62" s="147"/>
    </row>
    <row r="63" spans="1:23">
      <c r="D63" s="147"/>
      <c r="E63" s="147"/>
      <c r="F63" s="147"/>
      <c r="G63" s="147"/>
      <c r="H63" s="147"/>
    </row>
    <row r="64" spans="1:23">
      <c r="B64" s="133"/>
      <c r="D64" s="147"/>
      <c r="E64" s="147"/>
      <c r="F64" s="147"/>
      <c r="G64" s="147"/>
      <c r="H64" s="147"/>
      <c r="J64" s="412"/>
    </row>
    <row r="65" spans="1:8">
      <c r="B65" s="133"/>
      <c r="C65" s="133"/>
      <c r="D65" s="149"/>
      <c r="E65" s="149"/>
      <c r="F65" s="149"/>
      <c r="G65" s="147"/>
      <c r="H65" s="147"/>
    </row>
    <row r="66" spans="1:8">
      <c r="D66" s="147"/>
      <c r="E66" s="147"/>
      <c r="F66" s="147"/>
      <c r="G66" s="149"/>
      <c r="H66" s="149"/>
    </row>
    <row r="67" spans="1:8" ht="22.5" customHeight="1">
      <c r="D67" s="147"/>
      <c r="E67" s="147"/>
      <c r="F67" s="147"/>
      <c r="G67" s="147"/>
      <c r="H67" s="147"/>
    </row>
    <row r="68" spans="1:8" ht="11.25" customHeight="1">
      <c r="D68" s="147"/>
      <c r="E68" s="147"/>
      <c r="F68" s="147"/>
      <c r="G68" s="147"/>
      <c r="H68" s="147"/>
    </row>
    <row r="69" spans="1:8">
      <c r="B69" s="133"/>
      <c r="C69" s="161"/>
      <c r="D69" s="162"/>
      <c r="E69" s="147"/>
      <c r="F69" s="147"/>
      <c r="G69" s="147"/>
      <c r="H69" s="147"/>
    </row>
    <row r="70" spans="1:8" ht="13.5" customHeight="1">
      <c r="B70" s="133"/>
      <c r="C70" s="133"/>
      <c r="D70" s="149"/>
      <c r="E70" s="149"/>
      <c r="F70" s="149"/>
      <c r="G70" s="147"/>
      <c r="H70" s="147"/>
    </row>
    <row r="71" spans="1:8" ht="11.25" customHeight="1">
      <c r="D71" s="147"/>
      <c r="E71" s="147"/>
      <c r="F71" s="147"/>
      <c r="G71" s="149"/>
      <c r="H71" s="149"/>
    </row>
    <row r="72" spans="1:8">
      <c r="D72" s="147"/>
      <c r="E72" s="147"/>
      <c r="F72" s="147"/>
      <c r="G72" s="147"/>
      <c r="H72" s="147"/>
    </row>
    <row r="73" spans="1:8">
      <c r="G73" s="147"/>
      <c r="H73" s="147"/>
    </row>
    <row r="74" spans="1:8">
      <c r="A74" s="133"/>
    </row>
    <row r="75" spans="1:8">
      <c r="A75" s="146"/>
      <c r="C75" s="161"/>
    </row>
    <row r="76" spans="1:8">
      <c r="A76" s="146"/>
    </row>
    <row r="77" spans="1:8">
      <c r="A77" s="146"/>
    </row>
    <row r="78" spans="1:8">
      <c r="A78" s="138"/>
    </row>
    <row r="79" spans="1:8" ht="28.5" customHeight="1">
      <c r="A79" s="146"/>
      <c r="B79" s="146"/>
      <c r="C79" s="163"/>
      <c r="G79" s="146"/>
      <c r="H79" s="146"/>
    </row>
    <row r="80" spans="1:8">
      <c r="A80" s="146"/>
      <c r="B80" s="146"/>
      <c r="C80" s="163"/>
      <c r="F80" s="146"/>
      <c r="G80" s="146"/>
      <c r="H80" s="164"/>
    </row>
    <row r="81" spans="1:8">
      <c r="A81" s="146"/>
      <c r="B81" s="146"/>
      <c r="C81" s="163"/>
      <c r="G81" s="146"/>
    </row>
    <row r="82" spans="1:8">
      <c r="A82" s="146"/>
      <c r="C82" s="165"/>
      <c r="G82" s="146"/>
      <c r="H82" s="146"/>
    </row>
    <row r="83" spans="1:8">
      <c r="A83" s="146"/>
      <c r="C83" s="5"/>
    </row>
    <row r="84" spans="1:8">
      <c r="A84" s="146"/>
      <c r="C84" s="166"/>
    </row>
    <row r="85" spans="1:8">
      <c r="A85" s="146"/>
      <c r="C85" s="166"/>
    </row>
    <row r="86" spans="1:8">
      <c r="A86" s="146"/>
      <c r="C86" s="161"/>
    </row>
    <row r="87" spans="1:8">
      <c r="A87" s="146"/>
      <c r="C87" s="161"/>
    </row>
    <row r="88" spans="1:8">
      <c r="A88" s="146"/>
      <c r="C88" s="167"/>
      <c r="D88" s="168"/>
    </row>
    <row r="89" spans="1:8">
      <c r="A89" s="146"/>
      <c r="C89" s="161"/>
      <c r="D89" s="168"/>
    </row>
    <row r="91" spans="1:8">
      <c r="A91" s="138"/>
    </row>
    <row r="92" spans="1:8">
      <c r="A92" s="146"/>
      <c r="C92" s="161"/>
    </row>
    <row r="93" spans="1:8">
      <c r="A93" s="146"/>
      <c r="C93" s="161"/>
    </row>
    <row r="94" spans="1:8">
      <c r="A94" s="146"/>
      <c r="C94" s="161"/>
    </row>
    <row r="95" spans="1:8">
      <c r="A95" s="146"/>
      <c r="C95" s="161"/>
    </row>
    <row r="98" spans="1:17">
      <c r="B98" s="5"/>
      <c r="D98" s="5"/>
      <c r="E98" s="5"/>
    </row>
    <row r="99" spans="1:17">
      <c r="B99" s="191"/>
      <c r="C99" s="191"/>
    </row>
    <row r="100" spans="1:17">
      <c r="A100" s="133" t="s">
        <v>346</v>
      </c>
      <c r="D100" s="204"/>
    </row>
    <row r="101" spans="1:17">
      <c r="A101" s="133" t="s">
        <v>347</v>
      </c>
      <c r="D101" s="205"/>
    </row>
    <row r="102" spans="1:17">
      <c r="A102" s="192" t="s">
        <v>348</v>
      </c>
      <c r="D102" s="205"/>
      <c r="I102" s="206"/>
    </row>
    <row r="103" spans="1:17">
      <c r="A103" s="192"/>
      <c r="D103" s="205"/>
      <c r="J103" s="191"/>
    </row>
    <row r="104" spans="1:17">
      <c r="A104" s="7" t="s">
        <v>275</v>
      </c>
      <c r="B104" s="2"/>
      <c r="C104" s="205"/>
      <c r="D104" s="205"/>
      <c r="F104" s="193"/>
      <c r="J104" s="191"/>
    </row>
    <row r="105" spans="1:17" ht="12">
      <c r="A105" s="207">
        <v>1990</v>
      </c>
      <c r="B105" s="2" t="s">
        <v>349</v>
      </c>
      <c r="C105" s="205"/>
      <c r="D105" s="205"/>
      <c r="F105" s="4"/>
      <c r="G105" s="193"/>
      <c r="H105" s="193"/>
      <c r="I105" s="5"/>
      <c r="J105" s="191"/>
    </row>
    <row r="106" spans="1:17">
      <c r="A106" s="207">
        <v>1991</v>
      </c>
      <c r="B106" s="455">
        <v>123.6</v>
      </c>
      <c r="C106" s="205"/>
      <c r="D106" s="205"/>
      <c r="F106" s="4"/>
      <c r="G106" s="194"/>
      <c r="H106" s="195"/>
      <c r="I106" s="194"/>
      <c r="J106" s="5"/>
    </row>
    <row r="107" spans="1:17">
      <c r="A107" s="207">
        <v>1992</v>
      </c>
      <c r="B107" s="455">
        <v>125.6</v>
      </c>
      <c r="C107" s="205"/>
      <c r="D107" s="205"/>
      <c r="F107" s="4"/>
      <c r="G107" s="194"/>
      <c r="H107" s="195"/>
      <c r="I107" s="194"/>
      <c r="J107" s="5"/>
      <c r="K107" s="191"/>
      <c r="L107" s="191"/>
      <c r="M107" s="191"/>
      <c r="N107" s="191"/>
      <c r="O107" s="191"/>
      <c r="P107" s="191"/>
      <c r="Q107" s="191"/>
    </row>
    <row r="108" spans="1:17">
      <c r="A108" s="207">
        <v>1993</v>
      </c>
      <c r="B108" s="455">
        <v>125.9</v>
      </c>
      <c r="C108" s="205"/>
      <c r="D108" s="205"/>
      <c r="F108" s="4"/>
      <c r="G108" s="194"/>
      <c r="H108" s="195"/>
      <c r="I108" s="194"/>
      <c r="J108" s="193"/>
      <c r="K108" s="191"/>
      <c r="M108" s="191"/>
      <c r="N108" s="191"/>
      <c r="O108" s="191"/>
      <c r="P108" s="191"/>
      <c r="Q108" s="191"/>
    </row>
    <row r="109" spans="1:17">
      <c r="A109" s="207">
        <v>1994</v>
      </c>
      <c r="B109" s="455">
        <v>128.19999999999999</v>
      </c>
      <c r="C109" s="205"/>
      <c r="D109" s="205"/>
      <c r="F109" s="4"/>
      <c r="G109" s="194"/>
      <c r="H109" s="195"/>
      <c r="I109" s="194"/>
      <c r="J109" s="5"/>
      <c r="K109" s="191"/>
      <c r="L109" s="191"/>
      <c r="M109" s="191"/>
      <c r="N109" s="191"/>
      <c r="O109" s="191"/>
      <c r="P109" s="191"/>
      <c r="Q109" s="191"/>
    </row>
    <row r="110" spans="1:17">
      <c r="A110" s="207">
        <v>1995</v>
      </c>
      <c r="B110" s="455">
        <v>132.1</v>
      </c>
      <c r="C110" s="205"/>
      <c r="D110" s="205"/>
      <c r="F110" s="4"/>
      <c r="G110" s="194"/>
      <c r="H110" s="195"/>
      <c r="I110" s="194"/>
      <c r="J110" s="194"/>
      <c r="K110" s="5"/>
      <c r="L110" s="5"/>
      <c r="M110" s="5"/>
      <c r="N110" s="5"/>
      <c r="O110" s="5"/>
      <c r="P110" s="5"/>
      <c r="Q110" s="5"/>
    </row>
    <row r="111" spans="1:17">
      <c r="A111" s="207">
        <v>1996</v>
      </c>
      <c r="B111" s="455">
        <v>139.5</v>
      </c>
      <c r="C111" s="205"/>
      <c r="D111" s="205"/>
      <c r="F111" s="4"/>
      <c r="G111" s="194"/>
      <c r="H111" s="195"/>
      <c r="I111" s="194"/>
      <c r="J111" s="194"/>
      <c r="K111" s="5"/>
      <c r="L111" s="5"/>
      <c r="M111" s="5"/>
      <c r="N111" s="5"/>
      <c r="O111" s="5"/>
      <c r="P111" s="5"/>
      <c r="Q111" s="5"/>
    </row>
    <row r="112" spans="1:17">
      <c r="A112" s="207">
        <v>1997</v>
      </c>
      <c r="B112" s="455">
        <v>142.1</v>
      </c>
      <c r="C112" s="205"/>
      <c r="D112" s="205"/>
      <c r="F112" s="4"/>
      <c r="G112" s="194"/>
      <c r="H112" s="195"/>
      <c r="I112" s="194"/>
      <c r="J112" s="194"/>
      <c r="K112" s="193"/>
      <c r="L112" s="193"/>
      <c r="M112" s="193"/>
      <c r="N112" s="193"/>
      <c r="O112" s="193"/>
      <c r="P112" s="193"/>
    </row>
    <row r="113" spans="1:16">
      <c r="A113" s="207">
        <v>1998</v>
      </c>
      <c r="B113" s="455">
        <v>147.1</v>
      </c>
      <c r="C113" s="205"/>
      <c r="D113" s="205"/>
      <c r="F113" s="4"/>
      <c r="G113" s="194"/>
      <c r="H113" s="195"/>
      <c r="I113" s="194"/>
      <c r="J113" s="194"/>
      <c r="K113" s="5"/>
      <c r="L113" s="5"/>
      <c r="M113" s="5"/>
      <c r="N113" s="5"/>
      <c r="O113" s="5"/>
      <c r="P113" s="5"/>
    </row>
    <row r="114" spans="1:16">
      <c r="A114" s="207">
        <v>1999</v>
      </c>
      <c r="B114" s="455">
        <v>148.69999999999999</v>
      </c>
      <c r="C114" s="205"/>
      <c r="D114" s="205"/>
      <c r="F114" s="4"/>
      <c r="G114" s="194"/>
      <c r="H114" s="195"/>
      <c r="I114" s="194"/>
      <c r="J114" s="194"/>
      <c r="K114" s="194"/>
      <c r="L114" s="194"/>
      <c r="M114" s="194"/>
      <c r="N114" s="194"/>
      <c r="O114" s="194"/>
      <c r="P114" s="194"/>
    </row>
    <row r="115" spans="1:16">
      <c r="A115" s="207">
        <v>2000</v>
      </c>
      <c r="B115" s="455">
        <v>149.69999999999999</v>
      </c>
      <c r="C115" s="205"/>
      <c r="D115" s="205"/>
      <c r="F115" s="4"/>
      <c r="G115" s="194"/>
      <c r="H115" s="195"/>
      <c r="I115" s="194"/>
      <c r="J115" s="194"/>
      <c r="K115" s="194"/>
      <c r="L115" s="194"/>
      <c r="M115" s="194"/>
      <c r="N115" s="194"/>
      <c r="O115" s="194"/>
      <c r="P115" s="194"/>
    </row>
    <row r="116" spans="1:16">
      <c r="A116" s="207">
        <v>2001</v>
      </c>
      <c r="B116" s="455">
        <v>156.69999999999999</v>
      </c>
      <c r="C116" s="205"/>
      <c r="D116" s="205"/>
      <c r="F116" s="4"/>
      <c r="G116" s="194"/>
      <c r="H116" s="195"/>
      <c r="I116" s="194"/>
      <c r="J116" s="194"/>
      <c r="K116" s="194"/>
      <c r="L116" s="194"/>
      <c r="M116" s="194"/>
      <c r="N116" s="194"/>
      <c r="O116" s="194"/>
      <c r="P116" s="194"/>
    </row>
    <row r="117" spans="1:16">
      <c r="A117" s="207">
        <v>2002</v>
      </c>
      <c r="B117" s="455">
        <v>158.4</v>
      </c>
      <c r="C117" s="205"/>
      <c r="D117" s="205"/>
      <c r="F117" s="4"/>
      <c r="G117" s="194"/>
      <c r="H117" s="195"/>
      <c r="I117" s="194"/>
      <c r="J117" s="194"/>
      <c r="K117" s="194"/>
      <c r="L117" s="194"/>
      <c r="M117" s="194"/>
      <c r="N117" s="194"/>
      <c r="O117" s="194"/>
      <c r="P117" s="194"/>
    </row>
    <row r="118" spans="1:16">
      <c r="A118" s="207">
        <v>2003</v>
      </c>
      <c r="B118" s="455">
        <v>157.30000000000001</v>
      </c>
      <c r="C118" s="205"/>
      <c r="D118" s="205"/>
      <c r="F118" s="4"/>
      <c r="G118" s="194"/>
      <c r="H118" s="195"/>
      <c r="I118" s="194"/>
      <c r="J118" s="194"/>
      <c r="K118" s="194"/>
      <c r="L118" s="194"/>
      <c r="M118" s="194"/>
      <c r="N118" s="194"/>
      <c r="O118" s="194"/>
      <c r="P118" s="194"/>
    </row>
    <row r="119" spans="1:16">
      <c r="A119" s="207">
        <v>2004</v>
      </c>
      <c r="B119" s="455">
        <v>164.6</v>
      </c>
      <c r="C119" s="205"/>
      <c r="D119" s="196"/>
      <c r="G119" s="194"/>
      <c r="H119" s="195"/>
      <c r="I119" s="194"/>
      <c r="J119" s="194"/>
      <c r="K119" s="194"/>
      <c r="L119" s="194"/>
      <c r="M119" s="194"/>
      <c r="N119" s="194"/>
      <c r="O119" s="194"/>
      <c r="P119" s="194"/>
    </row>
    <row r="120" spans="1:16">
      <c r="A120" s="207">
        <v>2005</v>
      </c>
      <c r="B120" s="455">
        <v>172.8</v>
      </c>
      <c r="C120" s="205"/>
      <c r="D120" s="205"/>
      <c r="F120" s="4"/>
      <c r="J120" s="194"/>
      <c r="K120" s="194"/>
      <c r="L120" s="194"/>
      <c r="M120" s="194"/>
      <c r="N120" s="194"/>
      <c r="O120" s="194"/>
      <c r="P120" s="194"/>
    </row>
    <row r="121" spans="1:16">
      <c r="A121" s="207">
        <v>2006</v>
      </c>
      <c r="B121" s="455">
        <v>187.3</v>
      </c>
      <c r="C121" s="205"/>
      <c r="D121" s="205"/>
      <c r="F121" s="4"/>
      <c r="G121" s="194"/>
      <c r="H121" s="195"/>
      <c r="I121" s="194"/>
      <c r="K121" s="194"/>
      <c r="L121" s="194"/>
      <c r="M121" s="194"/>
      <c r="N121" s="194"/>
      <c r="O121" s="194"/>
      <c r="P121" s="194"/>
    </row>
    <row r="122" spans="1:16">
      <c r="A122" s="6">
        <v>2007</v>
      </c>
      <c r="B122" s="455">
        <v>196.8</v>
      </c>
      <c r="C122" s="205"/>
      <c r="D122" s="208"/>
      <c r="F122" s="4"/>
      <c r="G122" s="194"/>
      <c r="H122" s="195"/>
      <c r="I122" s="194"/>
      <c r="J122" s="194"/>
      <c r="K122" s="194"/>
      <c r="L122" s="194"/>
      <c r="M122" s="194"/>
      <c r="N122" s="194"/>
      <c r="O122" s="194"/>
      <c r="P122" s="194"/>
    </row>
    <row r="123" spans="1:16">
      <c r="A123" s="146">
        <v>2008</v>
      </c>
      <c r="B123" s="455">
        <v>203.3</v>
      </c>
      <c r="C123" s="205"/>
      <c r="G123" s="194"/>
      <c r="H123" s="4"/>
      <c r="I123" s="4"/>
      <c r="J123" s="194"/>
      <c r="K123" s="194"/>
      <c r="L123" s="194"/>
      <c r="M123" s="194"/>
      <c r="N123" s="194"/>
      <c r="O123" s="194"/>
      <c r="P123" s="194"/>
    </row>
    <row r="124" spans="1:16">
      <c r="A124" s="146">
        <v>2009</v>
      </c>
      <c r="B124" s="455">
        <v>228.4</v>
      </c>
      <c r="C124" s="205"/>
      <c r="D124" s="4"/>
      <c r="J124" s="194"/>
      <c r="K124" s="194"/>
      <c r="L124" s="194"/>
      <c r="M124" s="194"/>
      <c r="N124" s="194"/>
      <c r="O124" s="194"/>
      <c r="P124" s="194"/>
    </row>
    <row r="125" spans="1:16">
      <c r="A125" s="146">
        <v>2010</v>
      </c>
      <c r="B125" s="455">
        <v>232.07511278195489</v>
      </c>
      <c r="C125" s="205"/>
      <c r="D125" s="4"/>
      <c r="J125" s="194"/>
      <c r="K125" s="194"/>
      <c r="L125" s="194"/>
      <c r="M125" s="194"/>
      <c r="N125" s="194"/>
      <c r="O125" s="194"/>
      <c r="P125" s="194"/>
    </row>
    <row r="126" spans="1:16">
      <c r="A126" s="146">
        <v>2011</v>
      </c>
      <c r="B126" s="455">
        <v>235.75022556390979</v>
      </c>
      <c r="C126" s="209"/>
      <c r="D126" s="4"/>
      <c r="E126" s="4"/>
      <c r="F126" s="4"/>
      <c r="J126" s="194"/>
      <c r="K126" s="194"/>
      <c r="L126" s="194"/>
      <c r="M126" s="194"/>
      <c r="N126" s="194"/>
      <c r="O126" s="194"/>
      <c r="P126" s="194"/>
    </row>
    <row r="127" spans="1:16">
      <c r="A127" s="146">
        <v>2012</v>
      </c>
      <c r="B127" s="455">
        <v>239.42533834586467</v>
      </c>
      <c r="D127" s="4"/>
      <c r="E127" s="4"/>
      <c r="F127" s="4"/>
      <c r="J127" s="194"/>
      <c r="K127" s="194"/>
      <c r="L127" s="194"/>
      <c r="M127" s="194"/>
      <c r="N127" s="194"/>
      <c r="O127" s="194"/>
      <c r="P127" s="194"/>
    </row>
    <row r="128" spans="1:16">
      <c r="A128" s="146">
        <v>2013</v>
      </c>
      <c r="D128" s="4"/>
      <c r="E128" s="4"/>
      <c r="F128" s="4"/>
      <c r="J128" s="194"/>
      <c r="K128" s="194"/>
      <c r="L128" s="194"/>
      <c r="M128" s="194"/>
      <c r="N128" s="194"/>
      <c r="O128" s="194"/>
      <c r="P128" s="194"/>
    </row>
    <row r="129" spans="1:16">
      <c r="A129" s="146">
        <v>2014</v>
      </c>
      <c r="D129" s="4"/>
      <c r="J129" s="194"/>
      <c r="K129" s="194"/>
      <c r="L129" s="194"/>
      <c r="M129" s="194"/>
      <c r="N129" s="194"/>
      <c r="O129" s="194"/>
      <c r="P129" s="194"/>
    </row>
    <row r="130" spans="1:16">
      <c r="A130" s="146">
        <v>2015</v>
      </c>
      <c r="D130" s="4"/>
      <c r="J130" s="194"/>
      <c r="K130" s="194"/>
      <c r="L130" s="194"/>
      <c r="M130" s="194"/>
      <c r="N130" s="194"/>
      <c r="O130" s="194"/>
      <c r="P130" s="194"/>
    </row>
    <row r="131" spans="1:16">
      <c r="A131" s="146">
        <v>2016</v>
      </c>
      <c r="D131" s="4"/>
      <c r="K131" s="194"/>
      <c r="L131" s="194"/>
      <c r="M131" s="194"/>
      <c r="N131" s="194"/>
      <c r="O131" s="194"/>
      <c r="P131" s="194"/>
    </row>
    <row r="132" spans="1:16">
      <c r="A132" s="146">
        <v>2017</v>
      </c>
      <c r="D132" s="4"/>
      <c r="J132" s="194"/>
      <c r="K132" s="194"/>
      <c r="L132" s="194"/>
      <c r="M132" s="194"/>
      <c r="N132" s="194"/>
      <c r="O132" s="194"/>
      <c r="P132" s="194"/>
    </row>
    <row r="133" spans="1:16">
      <c r="A133" s="146">
        <v>2018</v>
      </c>
      <c r="D133" s="4"/>
      <c r="K133" s="194"/>
      <c r="L133" s="194"/>
      <c r="M133" s="194"/>
      <c r="N133" s="194"/>
      <c r="O133" s="194"/>
      <c r="P133" s="194"/>
    </row>
    <row r="134" spans="1:16">
      <c r="A134" s="146">
        <v>2019</v>
      </c>
      <c r="D134" s="4"/>
      <c r="K134" s="194"/>
      <c r="L134" s="194"/>
      <c r="M134" s="194"/>
      <c r="N134" s="194"/>
      <c r="O134" s="194"/>
      <c r="P134" s="194"/>
    </row>
    <row r="135" spans="1:16">
      <c r="A135" s="146">
        <v>2020</v>
      </c>
      <c r="D135" s="146"/>
      <c r="E135" s="194"/>
      <c r="F135" s="136"/>
      <c r="P135" s="194"/>
    </row>
    <row r="136" spans="1:16">
      <c r="A136" s="146">
        <v>2021</v>
      </c>
      <c r="H136" s="136"/>
      <c r="K136" s="194"/>
      <c r="L136" s="194"/>
      <c r="M136" s="194"/>
      <c r="N136" s="194"/>
      <c r="O136" s="194"/>
      <c r="P136" s="194"/>
    </row>
    <row r="137" spans="1:16">
      <c r="A137" s="146">
        <v>2022</v>
      </c>
      <c r="P137" s="194"/>
    </row>
    <row r="138" spans="1:16" ht="12.75" customHeight="1">
      <c r="G138" s="194"/>
      <c r="P138" s="194"/>
    </row>
    <row r="140" spans="1:16">
      <c r="A140" s="191"/>
    </row>
    <row r="141" spans="1:16">
      <c r="A141" s="191"/>
    </row>
    <row r="142" spans="1:16">
      <c r="A142" s="191"/>
    </row>
    <row r="143" spans="1:16">
      <c r="A143" s="191"/>
      <c r="B143" s="147"/>
    </row>
    <row r="144" spans="1:16">
      <c r="A144" s="191"/>
      <c r="B144" s="147"/>
      <c r="H144" s="147"/>
      <c r="I144" s="147"/>
    </row>
    <row r="145" spans="1:17">
      <c r="A145" s="191"/>
      <c r="B145" s="147"/>
      <c r="H145" s="147"/>
      <c r="I145" s="147"/>
      <c r="J145" s="194"/>
    </row>
    <row r="146" spans="1:17">
      <c r="A146" s="191"/>
      <c r="H146" s="147"/>
      <c r="I146" s="147"/>
    </row>
    <row r="147" spans="1:17">
      <c r="A147" s="191"/>
    </row>
    <row r="148" spans="1:17">
      <c r="A148" s="191"/>
    </row>
    <row r="149" spans="1:17" ht="11.25" customHeight="1">
      <c r="A149" s="191"/>
      <c r="K149" s="194"/>
      <c r="L149" s="194"/>
      <c r="M149" s="194"/>
      <c r="N149" s="194"/>
      <c r="O149" s="194"/>
      <c r="P149" s="194"/>
      <c r="Q149" s="194"/>
    </row>
    <row r="150" spans="1:17">
      <c r="A150" s="191"/>
    </row>
    <row r="151" spans="1:17">
      <c r="A151" s="191"/>
    </row>
    <row r="152" spans="1:17">
      <c r="A152" s="191"/>
    </row>
    <row r="153" spans="1:17">
      <c r="A153" s="191"/>
    </row>
    <row r="154" spans="1:17">
      <c r="A154" s="191"/>
    </row>
    <row r="155" spans="1:17">
      <c r="A155" s="191"/>
    </row>
    <row r="156" spans="1:17">
      <c r="A156" s="191"/>
    </row>
    <row r="157" spans="1:17">
      <c r="A157" s="191"/>
    </row>
    <row r="158" spans="1:17">
      <c r="A158" s="191"/>
    </row>
    <row r="159" spans="1:17">
      <c r="A159" s="191"/>
    </row>
    <row r="160" spans="1:17">
      <c r="A160" s="191"/>
    </row>
    <row r="161" spans="1:1">
      <c r="A161" s="191"/>
    </row>
    <row r="162" spans="1:1">
      <c r="A162" s="191"/>
    </row>
    <row r="163" spans="1:1">
      <c r="A163" s="191"/>
    </row>
    <row r="164" spans="1:1">
      <c r="A164" s="191"/>
    </row>
    <row r="165" spans="1:1">
      <c r="A165" s="191"/>
    </row>
    <row r="166" spans="1:1">
      <c r="A166" s="191"/>
    </row>
    <row r="167" spans="1:1">
      <c r="A167" s="191"/>
    </row>
    <row r="168" spans="1:1">
      <c r="A168" s="191"/>
    </row>
    <row r="169" spans="1:1">
      <c r="A169" s="191"/>
    </row>
    <row r="170" spans="1:1">
      <c r="A170" s="191"/>
    </row>
    <row r="171" spans="1:1">
      <c r="A171" s="191"/>
    </row>
    <row r="172" spans="1:1">
      <c r="A172" s="191"/>
    </row>
  </sheetData>
  <mergeCells count="5">
    <mergeCell ref="B2:C2"/>
    <mergeCell ref="M4:M5"/>
    <mergeCell ref="N4:N5"/>
    <mergeCell ref="O4:O5"/>
    <mergeCell ref="P4:R5"/>
  </mergeCells>
  <pageMargins left="0.75" right="0.75" top="1" bottom="0.57999999999999996" header="0.5" footer="0.43"/>
  <pageSetup scale="29" fitToHeight="2" orientation="portrait" r:id="rId1"/>
  <headerFooter>
    <oddHeader>&amp;L&amp;F&amp;C&amp;A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Start</vt:lpstr>
      <vt:lpstr>LCA sce (2)</vt:lpstr>
      <vt:lpstr>Scenarios</vt:lpstr>
      <vt:lpstr>Farmgate scenarios plots</vt:lpstr>
      <vt:lpstr>plots Farmgate feed prices</vt:lpstr>
      <vt:lpstr>Base Case Analysis</vt:lpstr>
      <vt:lpstr>DCFROR</vt:lpstr>
      <vt:lpstr>Mass &amp; Energy</vt:lpstr>
      <vt:lpstr>Operating Costs</vt:lpstr>
      <vt:lpstr>Capital Cost</vt:lpstr>
      <vt:lpstr>Sheet1</vt:lpstr>
      <vt:lpstr>Assumption tables</vt:lpstr>
      <vt:lpstr>Sensitivity AD</vt:lpstr>
      <vt:lpstr>LCA sce</vt:lpstr>
      <vt:lpstr>LCA AD Farm</vt:lpstr>
      <vt:lpstr>Labor Costs</vt:lpstr>
      <vt:lpstr>Cost_Year_for_Analysis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Mba Wright</dc:creator>
  <cp:keywords/>
  <dc:description/>
  <cp:lastModifiedBy>Mark Mba Wright</cp:lastModifiedBy>
  <cp:revision/>
  <dcterms:created xsi:type="dcterms:W3CDTF">2017-12-18T17:06:21Z</dcterms:created>
  <dcterms:modified xsi:type="dcterms:W3CDTF">2024-04-28T17:20:12Z</dcterms:modified>
  <cp:category/>
  <cp:contentStatus/>
</cp:coreProperties>
</file>