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state-my.sharepoint.com/personal/markmw_iastate_edu/Documents/Dropbox/Research/techno-economics/CUWP_Olumide/TEA/MRF Economics/"/>
    </mc:Choice>
  </mc:AlternateContent>
  <xr:revisionPtr revIDLastSave="294" documentId="8_{0BE0E19C-572B-4AD1-8828-03EF216E3422}" xr6:coauthVersionLast="47" xr6:coauthVersionMax="47" xr10:uidLastSave="{9613C98F-5ED4-3346-9141-8E8EE6C8CDDC}"/>
  <bookViews>
    <workbookView xWindow="46480" yWindow="500" windowWidth="25000" windowHeight="28000" activeTab="2" xr2:uid="{88945160-F445-4810-9B2E-5C6A3DD61F66}"/>
  </bookViews>
  <sheets>
    <sheet name="Summary" sheetId="4" r:id="rId1"/>
    <sheet name="Assumptions" sheetId="1" r:id="rId2"/>
    <sheet name="Investment cost " sheetId="2" r:id="rId3"/>
    <sheet name="O&amp;M cost " sheetId="3" r:id="rId4"/>
    <sheet name="Sheet7" sheetId="7" r:id="rId5"/>
    <sheet name="Labor Costs" sheetId="5" r:id="rId6"/>
    <sheet name="Equipment Cost" sheetId="6" r:id="rId7"/>
  </sheets>
  <externalReferences>
    <externalReference r:id="rId8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/>
  <c r="S5" i="6"/>
  <c r="S6" i="6"/>
  <c r="S7" i="6"/>
  <c r="S8" i="6"/>
  <c r="S9" i="6"/>
  <c r="S10" i="6"/>
  <c r="S11" i="6"/>
  <c r="S12" i="6"/>
  <c r="S15" i="6"/>
  <c r="S16" i="6"/>
  <c r="S17" i="6"/>
  <c r="S4" i="6"/>
  <c r="W5" i="6"/>
  <c r="W6" i="6"/>
  <c r="W7" i="6"/>
  <c r="W8" i="6"/>
  <c r="W9" i="6"/>
  <c r="W10" i="6"/>
  <c r="W11" i="6"/>
  <c r="W12" i="6"/>
  <c r="W15" i="6"/>
  <c r="W16" i="6"/>
  <c r="W17" i="6"/>
  <c r="W4" i="6"/>
  <c r="X5" i="6"/>
  <c r="X6" i="6"/>
  <c r="X7" i="6"/>
  <c r="X8" i="6"/>
  <c r="X9" i="6"/>
  <c r="X10" i="6"/>
  <c r="X11" i="6"/>
  <c r="X12" i="6"/>
  <c r="X15" i="6"/>
  <c r="X16" i="6"/>
  <c r="X17" i="6"/>
  <c r="X4" i="6"/>
  <c r="K15" i="6"/>
  <c r="K16" i="6"/>
  <c r="K17" i="6"/>
  <c r="K5" i="6"/>
  <c r="K6" i="6"/>
  <c r="K7" i="6"/>
  <c r="K8" i="6"/>
  <c r="K9" i="6"/>
  <c r="K10" i="6"/>
  <c r="K11" i="6"/>
  <c r="K12" i="6"/>
  <c r="K4" i="6"/>
  <c r="J5" i="6"/>
  <c r="J6" i="6"/>
  <c r="J7" i="6"/>
  <c r="P7" i="6" s="1"/>
  <c r="J8" i="6"/>
  <c r="J9" i="6"/>
  <c r="J10" i="6"/>
  <c r="J11" i="6"/>
  <c r="J12" i="6"/>
  <c r="J15" i="6"/>
  <c r="J16" i="6"/>
  <c r="J17" i="6"/>
  <c r="P17" i="6" s="1"/>
  <c r="J4" i="6"/>
  <c r="R10" i="6"/>
  <c r="R11" i="6"/>
  <c r="R17" i="6"/>
  <c r="N15" i="6"/>
  <c r="R15" i="6" s="1"/>
  <c r="N16" i="6"/>
  <c r="R16" i="6" s="1"/>
  <c r="N17" i="6"/>
  <c r="H4" i="5"/>
  <c r="I4" i="5" s="1"/>
  <c r="N5" i="6"/>
  <c r="R5" i="6" s="1"/>
  <c r="N6" i="6"/>
  <c r="R6" i="6" s="1"/>
  <c r="N7" i="6"/>
  <c r="R7" i="6" s="1"/>
  <c r="N8" i="6"/>
  <c r="R8" i="6" s="1"/>
  <c r="N9" i="6"/>
  <c r="P9" i="6" s="1"/>
  <c r="N10" i="6"/>
  <c r="P10" i="6" s="1"/>
  <c r="N11" i="6"/>
  <c r="P11" i="6" s="1"/>
  <c r="N12" i="6"/>
  <c r="P12" i="6" s="1"/>
  <c r="N4" i="6"/>
  <c r="R4" i="6" s="1"/>
  <c r="C31" i="1"/>
  <c r="X3" i="6"/>
  <c r="T3" i="6"/>
  <c r="S3" i="6"/>
  <c r="G13" i="5"/>
  <c r="E13" i="5"/>
  <c r="C13" i="5"/>
  <c r="H5" i="5"/>
  <c r="I5" i="5" s="1"/>
  <c r="J5" i="5" s="1"/>
  <c r="H6" i="5"/>
  <c r="I6" i="5" s="1"/>
  <c r="J6" i="5" s="1"/>
  <c r="H7" i="5"/>
  <c r="I7" i="5" s="1"/>
  <c r="J7" i="5" s="1"/>
  <c r="H8" i="5"/>
  <c r="I8" i="5" s="1"/>
  <c r="J8" i="5" s="1"/>
  <c r="H9" i="5"/>
  <c r="I9" i="5" s="1"/>
  <c r="J9" i="5" s="1"/>
  <c r="H10" i="5"/>
  <c r="I10" i="5" s="1"/>
  <c r="J10" i="5" s="1"/>
  <c r="F5" i="5"/>
  <c r="F6" i="5"/>
  <c r="F7" i="5"/>
  <c r="F8" i="5"/>
  <c r="F9" i="5"/>
  <c r="F10" i="5"/>
  <c r="F4" i="5"/>
  <c r="G10" i="5"/>
  <c r="G9" i="5"/>
  <c r="G8" i="5"/>
  <c r="G7" i="5"/>
  <c r="G6" i="5"/>
  <c r="G5" i="5"/>
  <c r="G4" i="5"/>
  <c r="L71" i="3"/>
  <c r="J72" i="3"/>
  <c r="J69" i="3"/>
  <c r="J66" i="3"/>
  <c r="J60" i="3"/>
  <c r="J40" i="3"/>
  <c r="J39" i="3"/>
  <c r="J38" i="3"/>
  <c r="J37" i="3"/>
  <c r="J36" i="3"/>
  <c r="J35" i="3"/>
  <c r="J34" i="3"/>
  <c r="J33" i="3"/>
  <c r="J32" i="3"/>
  <c r="J18" i="3"/>
  <c r="J19" i="3"/>
  <c r="J20" i="3"/>
  <c r="J21" i="3"/>
  <c r="J22" i="3"/>
  <c r="J23" i="3"/>
  <c r="J17" i="3"/>
  <c r="H38" i="2"/>
  <c r="C10" i="3"/>
  <c r="C11" i="3" s="1"/>
  <c r="C3" i="4" s="1"/>
  <c r="C4" i="4" s="1"/>
  <c r="C5" i="4" s="1"/>
  <c r="D6" i="2"/>
  <c r="C11" i="2"/>
  <c r="D9" i="2"/>
  <c r="D11" i="2"/>
  <c r="R12" i="6" l="1"/>
  <c r="P4" i="6"/>
  <c r="P8" i="6"/>
  <c r="R9" i="6"/>
  <c r="P15" i="6"/>
  <c r="P5" i="6"/>
  <c r="P16" i="6"/>
  <c r="P6" i="6"/>
  <c r="J4" i="5"/>
  <c r="I13" i="5"/>
  <c r="G15" i="5" s="1"/>
  <c r="I15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tc={312D60AA-865F-41AB-B9E9-B57E0C9E30CA}</author>
    <author>tc={DA2A6ED8-9FC4-4FA9-9139-AE510EE95D73}</author>
  </authors>
  <commentList>
    <comment ref="F4" authorId="0" shapeId="0" xr:uid="{312D60AA-865F-41AB-B9E9-B57E0C9E30CA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use 2080 when plant runs for 7884</t>
      </text>
    </comment>
    <comment ref="C53" authorId="1" shapeId="0" xr:uid="{DA2A6ED8-9FC4-4FA9-9139-AE510EE95D73}">
      <text>
        <t>[Threaded comment]
Your version of Excel allows you to read this threaded comment; however, any edits to it will get removed if the file is opened in a newer version of Excel. Learn more: https://go.microsoft.com/fwlink/?linkid=870924
Comment:
    Place holder for new indices</t>
      </text>
    </comment>
  </commentList>
</comments>
</file>

<file path=xl/sharedStrings.xml><?xml version="1.0" encoding="utf-8"?>
<sst xmlns="http://schemas.openxmlformats.org/spreadsheetml/2006/main" count="299" uniqueCount="202">
  <si>
    <t>Investment cost</t>
  </si>
  <si>
    <t>capacity</t>
  </si>
  <si>
    <t xml:space="preserve">Operating and manual cost </t>
  </si>
  <si>
    <t>Total cost (10 years-1,200,000 t)($)</t>
  </si>
  <si>
    <t>Cost per ton of plastic waste</t>
  </si>
  <si>
    <t xml:space="preserve">Economic Analysis of Plastics recycling : Overall Assumptions </t>
  </si>
  <si>
    <t>Percentage of PET in plastic Waste[%]</t>
  </si>
  <si>
    <t>Average Price of Recycled PET Pellets[$/lb]</t>
  </si>
  <si>
    <t>Price of Recycled PET pellets[$/Kg]</t>
  </si>
  <si>
    <t>Electricity Price[$/kWh</t>
  </si>
  <si>
    <t>Diesel Price [$/gallon]</t>
  </si>
  <si>
    <t>Diesel Price [$/l]</t>
  </si>
  <si>
    <t>Water Price [$/gallon]</t>
  </si>
  <si>
    <t>Water Price [$/l]</t>
  </si>
  <si>
    <t>Assumptions for Economic Analysis of
 Materials Recovery Facility</t>
  </si>
  <si>
    <t>Lifetime [years]</t>
  </si>
  <si>
    <t>Processing Building size(Sq.ft)</t>
  </si>
  <si>
    <t>Waste handled per hour [t]</t>
  </si>
  <si>
    <t>Yearly waste handling [t]</t>
  </si>
  <si>
    <t>Total waste handling (10 years) [t]</t>
  </si>
  <si>
    <t>Residues rate [%]</t>
  </si>
  <si>
    <t>Correctness of manual sorting [%]</t>
  </si>
  <si>
    <t>Shifts per Day</t>
  </si>
  <si>
    <t>Hours per Shift [h]</t>
  </si>
  <si>
    <t>Breaktime per shift [h]</t>
  </si>
  <si>
    <t>Effective working time [h]</t>
  </si>
  <si>
    <t xml:space="preserve">Work days per week [days] </t>
  </si>
  <si>
    <t>Weeks per Year [weeks]</t>
  </si>
  <si>
    <t>Yearly working hours [h]</t>
  </si>
  <si>
    <t>Tonnes per day</t>
  </si>
  <si>
    <t xml:space="preserve">Investment costs </t>
  </si>
  <si>
    <t xml:space="preserve">Comments </t>
  </si>
  <si>
    <t>80000 square ft land cost and site work</t>
  </si>
  <si>
    <t>building cost for scale house and MRF building</t>
  </si>
  <si>
    <t>Construction, planning, and surveying costs</t>
  </si>
  <si>
    <t xml:space="preserve">Machine investment cost </t>
  </si>
  <si>
    <t xml:space="preserve">Additional equipment investment cost </t>
  </si>
  <si>
    <t>Additional equipment are conveyors, rolling stock (e. g., front-end loaders and forklifts), and collection cars,</t>
  </si>
  <si>
    <t>Total invetment costs</t>
  </si>
  <si>
    <t>Economic Analysis of Plastics Recycling: MRF</t>
  </si>
  <si>
    <t>Building and site</t>
  </si>
  <si>
    <t xml:space="preserve">Initial investment </t>
  </si>
  <si>
    <t>unit</t>
  </si>
  <si>
    <t>Land</t>
  </si>
  <si>
    <t>$</t>
  </si>
  <si>
    <t>Site Work [$]</t>
  </si>
  <si>
    <t>Scale House [$]</t>
  </si>
  <si>
    <t>MRF Building [$]</t>
  </si>
  <si>
    <t>Construction, planning &amp; surveying</t>
  </si>
  <si>
    <t xml:space="preserve">Machines </t>
  </si>
  <si>
    <t>Metering bin</t>
  </si>
  <si>
    <t>OCC Screen</t>
  </si>
  <si>
    <t>Debris Roll Screen</t>
  </si>
  <si>
    <t>News paper Screen</t>
  </si>
  <si>
    <t>Polishing screen</t>
  </si>
  <si>
    <t>Recycling Magnets</t>
  </si>
  <si>
    <t>Eddy Current separator</t>
  </si>
  <si>
    <t xml:space="preserve">Optical Plastic sorting machine </t>
  </si>
  <si>
    <t xml:space="preserve">Baler </t>
  </si>
  <si>
    <t>Additional Equipment</t>
  </si>
  <si>
    <t xml:space="preserve">Initial Investment </t>
  </si>
  <si>
    <t>Conveyor</t>
  </si>
  <si>
    <t>Rolling Stock</t>
  </si>
  <si>
    <t>Collection Cars</t>
  </si>
  <si>
    <t>Total Investment Costs</t>
  </si>
  <si>
    <t>Total Operating and Maintenance (O&amp;M) 
Costs of Materials Recovery Facility</t>
  </si>
  <si>
    <t>Personnel salaries per year [$]</t>
  </si>
  <si>
    <t xml:space="preserve">The salaries used for the calculations are average yearly U.S salaries </t>
  </si>
  <si>
    <t>Facility costs per year [$]</t>
  </si>
  <si>
    <t xml:space="preserve">Includes consumables, insurance administration and baling wire </t>
  </si>
  <si>
    <t>Machine O&amp;M costs per year [$]</t>
  </si>
  <si>
    <t>Conveyor O&amp;M costs per year [$]</t>
  </si>
  <si>
    <t>Rolling stock O&amp;M costs per year [$]</t>
  </si>
  <si>
    <t>Residues costs [$]</t>
  </si>
  <si>
    <t>Transportation and collection costs [$]</t>
  </si>
  <si>
    <t>Yearly O&amp;M costs [$]</t>
  </si>
  <si>
    <t>Overall O&amp;M costs (10 years) [$]</t>
  </si>
  <si>
    <t>Economic Analysis of Plastics Recycling: 
MRF Operating and Maintenance Costs</t>
  </si>
  <si>
    <t>Personnel Salaries per Year</t>
  </si>
  <si>
    <t xml:space="preserve">Number per
 Shift </t>
  </si>
  <si>
    <t>Cost per
Person per
 Year [$]</t>
  </si>
  <si>
    <t>Total Costs per Year [$]</t>
  </si>
  <si>
    <t xml:space="preserve">Plant Manager </t>
  </si>
  <si>
    <t>Operations Foreman</t>
  </si>
  <si>
    <t xml:space="preserve">Sorters </t>
  </si>
  <si>
    <t xml:space="preserve">Scale House Attendant </t>
  </si>
  <si>
    <t>Equipment Operators</t>
  </si>
  <si>
    <t xml:space="preserve">Spotters on Tip Floor </t>
  </si>
  <si>
    <t xml:space="preserve">Marketing Manager </t>
  </si>
  <si>
    <t>Facility Costs</t>
  </si>
  <si>
    <t>Costs per Year [$]</t>
  </si>
  <si>
    <t xml:space="preserve">Consumables/ Services </t>
  </si>
  <si>
    <t xml:space="preserve">Baling Wire </t>
  </si>
  <si>
    <t xml:space="preserve">Insurance </t>
  </si>
  <si>
    <t xml:space="preserve">Administration </t>
  </si>
  <si>
    <t>Machines - Operating Costs</t>
  </si>
  <si>
    <t>Efficiency [%]</t>
  </si>
  <si>
    <t>Electricity 
Consumption 
[kW]</t>
  </si>
  <si>
    <t>Electricity Costs
 per kWh
 [$/kWh]</t>
  </si>
  <si>
    <t>Yearly 
Electricity
 costs</t>
  </si>
  <si>
    <t>Metering Bin</t>
  </si>
  <si>
    <t xml:space="preserve">OCC Screen </t>
  </si>
  <si>
    <t xml:space="preserve">Debris Roll Screen </t>
  </si>
  <si>
    <t>Newspaper Screen</t>
  </si>
  <si>
    <t>Polishing Screen</t>
  </si>
  <si>
    <t xml:space="preserve">Optical PET sorting Machine </t>
  </si>
  <si>
    <t>Machines - Maintenance Costs</t>
  </si>
  <si>
    <t>Maintenance Costs per Year [$]</t>
  </si>
  <si>
    <t>Conveyors - Operating Costs</t>
  </si>
  <si>
    <t>Conveyors</t>
  </si>
  <si>
    <t>Conveyors - Maintenance Costs</t>
  </si>
  <si>
    <t>Rolling Stock - Operating Costs</t>
  </si>
  <si>
    <t>Diesel
Consumption
[L/t]</t>
  </si>
  <si>
    <t>Diesel Price
[$/L]</t>
  </si>
  <si>
    <t>Yearly 
Diesel
 costs</t>
  </si>
  <si>
    <t>Waste per year[t]</t>
  </si>
  <si>
    <t>Rolling Stock - Maintenance Costs</t>
  </si>
  <si>
    <t>Residues Costs</t>
  </si>
  <si>
    <t xml:space="preserve">Percentage of 
Residues </t>
  </si>
  <si>
    <t>Residues per
Year</t>
  </si>
  <si>
    <t>Tipping Fee per Ton [$/t]</t>
  </si>
  <si>
    <t>Total Costs per Year[$]</t>
  </si>
  <si>
    <t xml:space="preserve">Transportation and Collection Costs </t>
  </si>
  <si>
    <t>Tons Collected 
per Year</t>
  </si>
  <si>
    <t>Transportation 
Costs per Ton [$/t]</t>
  </si>
  <si>
    <t>Transportation Costs per Year[$]</t>
  </si>
  <si>
    <t>Transportation and Collection</t>
  </si>
  <si>
    <t>Yearly Operating and Maintenance Cost [$]</t>
  </si>
  <si>
    <t xml:space="preserve">Total Operating and Maintenance Costs (10 Years)[$] </t>
  </si>
  <si>
    <t>Labor Index</t>
  </si>
  <si>
    <t>Year</t>
  </si>
  <si>
    <t>CEPCI</t>
  </si>
  <si>
    <t xml:space="preserve">Reported </t>
  </si>
  <si>
    <t>21.45201321.40201421.49201521.76201622.71201724.29201825.46201925.46202026.03</t>
  </si>
  <si>
    <t xml:space="preserve">Google pics </t>
  </si>
  <si>
    <t>https://www.cheresources.com/invision/topic/29828-i-need-2020-cepci/</t>
  </si>
  <si>
    <t xml:space="preserve">Cost year of analysis </t>
  </si>
  <si>
    <t>LABOR COSTS</t>
  </si>
  <si>
    <t>Base salary year</t>
  </si>
  <si>
    <t>Cost per
Person per
 Year [$] base</t>
  </si>
  <si>
    <t>base yr 
$/hr</t>
  </si>
  <si>
    <t>Total Costs per Year [$]
base year</t>
  </si>
  <si>
    <t>$/y per  worker
 in 2011 $</t>
  </si>
  <si>
    <t>$/yr total in
 2011  $</t>
  </si>
  <si>
    <t>$/hr in 
2011$</t>
  </si>
  <si>
    <t xml:space="preserve">total workers </t>
  </si>
  <si>
    <t>MM$/yr (2011)</t>
  </si>
  <si>
    <t>Cost per product</t>
  </si>
  <si>
    <t xml:space="preserve">Total salaries </t>
  </si>
  <si>
    <t>Overhead/Maint</t>
  </si>
  <si>
    <t>of Labor &amp; Supervison</t>
  </si>
  <si>
    <t>Maintenance</t>
  </si>
  <si>
    <t>of TPI</t>
  </si>
  <si>
    <t>Insurance &amp; Taxes</t>
  </si>
  <si>
    <t>Total Fixed Operating Cost</t>
  </si>
  <si>
    <t>Source:</t>
  </si>
  <si>
    <t>Bureau of Labor Statistics</t>
  </si>
  <si>
    <t>Series ID:</t>
  </si>
  <si>
    <r>
      <t>CEU32</t>
    </r>
    <r>
      <rPr>
        <b/>
        <sz val="10"/>
        <rFont val="Arial"/>
        <family val="2"/>
      </rPr>
      <t>325000</t>
    </r>
    <r>
      <rPr>
        <sz val="10"/>
        <rFont val="Arial"/>
        <family val="2"/>
      </rPr>
      <t>08</t>
    </r>
  </si>
  <si>
    <t>http://data.bls.gov/cgi-bin/srgate</t>
  </si>
  <si>
    <t>Chemicals</t>
  </si>
  <si>
    <t>Average Hourly Earnings of Production Workers</t>
  </si>
  <si>
    <t>Current indices @</t>
  </si>
  <si>
    <t>Reported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</si>
  <si>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</si>
  <si>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</si>
  <si>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</si>
  <si>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</si>
  <si>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</si>
  <si>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</si>
  <si>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</si>
  <si>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</si>
  <si>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</si>
  <si>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</si>
  <si>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</si>
  <si>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</si>
  <si>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</t>
  </si>
  <si>
    <t>average to date=</t>
  </si>
  <si>
    <t>p : Preliminary. All indexes are subject to revision four months after original publication</t>
  </si>
  <si>
    <t>Rolling dollars year</t>
  </si>
  <si>
    <t>Initial investment 
Base year $</t>
  </si>
  <si>
    <t>Max size</t>
  </si>
  <si>
    <t>Scaling Stream' 1200000 tons per year</t>
  </si>
  <si>
    <t>Scaling Stream Flow, tpd</t>
  </si>
  <si>
    <t>New Stream Flow</t>
  </si>
  <si>
    <t>stream flow units</t>
  </si>
  <si>
    <t>Size Ratio</t>
  </si>
  <si>
    <t>Original Equip Cost (per unit)</t>
  </si>
  <si>
    <t>Base Year</t>
  </si>
  <si>
    <t>COST BASIS: installed (i) or bare (b)</t>
  </si>
  <si>
    <t>Total Original Equip Cost (Req'd &amp; Spare) in Base Year 2020</t>
  </si>
  <si>
    <t>Scaling Exponent</t>
  </si>
  <si>
    <t>Scaled Cost in Base Year</t>
  </si>
  <si>
    <t>Installation Factor</t>
  </si>
  <si>
    <t>Installed Cost in Base Year</t>
  </si>
  <si>
    <t>source</t>
  </si>
  <si>
    <t>CE Index base year</t>
  </si>
  <si>
    <t>120000 tons per year</t>
  </si>
  <si>
    <t>Tpd</t>
  </si>
  <si>
    <t>i</t>
  </si>
  <si>
    <t xml:space="preserve">Understanding Plastic recycling </t>
  </si>
  <si>
    <t>CE Plant Cost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</si>
</sst>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164" formatCode="&quot;$&quot;#,##0"/>
    <numFmt numFmtId="165" formatCode="&quot;$&quot;#,##0.00"/>
    <numFmt numFmtId="166" formatCode="General_)"/>
    <numFmt numFmtId="167" formatCode="0.0%"/>
    <numFmt numFmtId="168" formatCode="_([$$-409]* #,##0.00_);_([$$-409]* \(#,##0.00\);_([$$-409]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i/>
      <sz val="10"/>
      <name val="Verdana"/>
      <family val="2"/>
    </font>
    <font>
      <i/>
      <sz val="10"/>
      <name val="Arial"/>
      <family val="2"/>
    </font>
    <font>
      <sz val="8"/>
      <name val="Arial"/>
      <family val="2"/>
    </font>
    <font>
      <sz val="8"/>
      <name val="Verdana"/>
      <family val="2"/>
    </font>
    <font>
      <b/>
      <sz val="8"/>
      <name val="Arial"/>
      <family val="2"/>
    </font>
    <font>
      <b/>
      <sz val="8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7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/>
  </cellStyleXfs>
  <cellXfs count="10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37" fontId="0" fillId="0" borderId="0" xfId="0" applyNumberFormat="1"/>
    <xf numFmtId="37" fontId="0" fillId="0" borderId="0" xfId="0" applyNumberFormat="1" applyBorder="1"/>
    <xf numFmtId="37" fontId="0" fillId="0" borderId="5" xfId="0" applyNumberFormat="1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165" fontId="0" fillId="0" borderId="0" xfId="0" applyNumberFormat="1"/>
    <xf numFmtId="165" fontId="2" fillId="0" borderId="0" xfId="0" applyNumberFormat="1" applyFont="1"/>
    <xf numFmtId="4" fontId="0" fillId="0" borderId="3" xfId="0" applyNumberFormat="1" applyBorder="1"/>
    <xf numFmtId="4" fontId="0" fillId="0" borderId="0" xfId="0" applyNumberFormat="1" applyBorder="1"/>
    <xf numFmtId="4" fontId="0" fillId="0" borderId="2" xfId="0" applyNumberFormat="1" applyBorder="1"/>
    <xf numFmtId="4" fontId="0" fillId="0" borderId="5" xfId="0" applyNumberFormat="1" applyBorder="1"/>
    <xf numFmtId="4" fontId="0" fillId="0" borderId="0" xfId="0" applyNumberFormat="1"/>
    <xf numFmtId="165" fontId="0" fillId="0" borderId="0" xfId="0" applyNumberFormat="1" applyBorder="1"/>
    <xf numFmtId="165" fontId="0" fillId="0" borderId="5" xfId="0" applyNumberFormat="1" applyBorder="1"/>
    <xf numFmtId="0" fontId="2" fillId="0" borderId="14" xfId="0" applyFont="1" applyBorder="1"/>
    <xf numFmtId="165" fontId="2" fillId="0" borderId="14" xfId="0" applyNumberFormat="1" applyFont="1" applyBorder="1"/>
    <xf numFmtId="0" fontId="0" fillId="0" borderId="14" xfId="0" applyBorder="1"/>
    <xf numFmtId="165" fontId="0" fillId="0" borderId="1" xfId="0" applyNumberFormat="1" applyBorder="1"/>
    <xf numFmtId="0" fontId="2" fillId="0" borderId="4" xfId="0" applyFont="1" applyBorder="1"/>
    <xf numFmtId="165" fontId="2" fillId="0" borderId="4" xfId="0" applyNumberFormat="1" applyFont="1" applyBorder="1"/>
    <xf numFmtId="165" fontId="0" fillId="0" borderId="4" xfId="0" applyNumberFormat="1" applyBorder="1"/>
    <xf numFmtId="0" fontId="2" fillId="0" borderId="5" xfId="0" applyFont="1" applyBorder="1"/>
    <xf numFmtId="165" fontId="2" fillId="0" borderId="5" xfId="0" applyNumberFormat="1" applyFont="1" applyBorder="1"/>
    <xf numFmtId="0" fontId="0" fillId="0" borderId="5" xfId="0" applyBorder="1" applyAlignment="1">
      <alignment wrapText="1"/>
    </xf>
    <xf numFmtId="165" fontId="0" fillId="0" borderId="0" xfId="0" applyNumberFormat="1" applyFill="1" applyBorder="1"/>
    <xf numFmtId="0" fontId="2" fillId="0" borderId="5" xfId="0" applyFont="1" applyBorder="1" applyAlignment="1">
      <alignment wrapText="1"/>
    </xf>
    <xf numFmtId="0" fontId="2" fillId="0" borderId="14" xfId="0" applyFont="1" applyBorder="1" applyAlignment="1">
      <alignment wrapText="1"/>
    </xf>
    <xf numFmtId="165" fontId="2" fillId="0" borderId="5" xfId="0" applyNumberFormat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0" xfId="0" applyFont="1" applyBorder="1"/>
    <xf numFmtId="165" fontId="2" fillId="0" borderId="11" xfId="0" applyNumberFormat="1" applyFont="1" applyBorder="1"/>
    <xf numFmtId="0" fontId="2" fillId="0" borderId="12" xfId="0" applyFont="1" applyBorder="1"/>
    <xf numFmtId="165" fontId="2" fillId="0" borderId="13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166" fontId="3" fillId="0" borderId="0" xfId="2" applyNumberFormat="1" applyAlignment="1" applyProtection="1"/>
    <xf numFmtId="0" fontId="4" fillId="0" borderId="0" xfId="0" applyFont="1" applyAlignment="1">
      <alignment horizontal="right"/>
    </xf>
    <xf numFmtId="0" fontId="5" fillId="2" borderId="0" xfId="0" applyFont="1" applyFill="1"/>
    <xf numFmtId="0" fontId="5" fillId="2" borderId="0" xfId="0" applyFont="1" applyFill="1" applyAlignment="1">
      <alignment horizontal="right"/>
    </xf>
    <xf numFmtId="4" fontId="5" fillId="2" borderId="0" xfId="0" applyNumberFormat="1" applyFont="1" applyFill="1" applyAlignment="1">
      <alignment horizontal="right"/>
    </xf>
    <xf numFmtId="4" fontId="5" fillId="0" borderId="0" xfId="0" applyNumberFormat="1" applyFont="1"/>
    <xf numFmtId="0" fontId="7" fillId="0" borderId="0" xfId="0" applyFont="1" applyAlignment="1">
      <alignment horizontal="center" vertical="center" wrapText="1"/>
    </xf>
    <xf numFmtId="2" fontId="5" fillId="0" borderId="0" xfId="0" applyNumberFormat="1" applyFont="1"/>
    <xf numFmtId="0" fontId="8" fillId="0" borderId="0" xfId="0" applyFont="1"/>
    <xf numFmtId="4" fontId="5" fillId="2" borderId="0" xfId="0" applyNumberFormat="1" applyFont="1" applyFill="1"/>
    <xf numFmtId="4" fontId="9" fillId="2" borderId="0" xfId="0" applyNumberFormat="1" applyFont="1" applyFill="1"/>
    <xf numFmtId="2" fontId="9" fillId="0" borderId="0" xfId="0" applyNumberFormat="1" applyFont="1"/>
    <xf numFmtId="0" fontId="10" fillId="0" borderId="0" xfId="3" applyFont="1"/>
    <xf numFmtId="0" fontId="11" fillId="0" borderId="0" xfId="0" applyFont="1" applyAlignment="1">
      <alignment wrapText="1"/>
    </xf>
    <xf numFmtId="0" fontId="9" fillId="0" borderId="0" xfId="0" applyFont="1"/>
    <xf numFmtId="0" fontId="11" fillId="0" borderId="0" xfId="0" applyFont="1" applyAlignment="1">
      <alignment horizontal="left"/>
    </xf>
    <xf numFmtId="0" fontId="0" fillId="3" borderId="0" xfId="0" applyFill="1"/>
    <xf numFmtId="0" fontId="0" fillId="3" borderId="0" xfId="0" applyFill="1" applyBorder="1"/>
    <xf numFmtId="165" fontId="2" fillId="4" borderId="5" xfId="0" applyNumberFormat="1" applyFont="1" applyFill="1" applyBorder="1" applyAlignment="1">
      <alignment wrapText="1"/>
    </xf>
    <xf numFmtId="165" fontId="0" fillId="4" borderId="0" xfId="0" applyNumberFormat="1" applyFill="1"/>
    <xf numFmtId="0" fontId="5" fillId="0" borderId="0" xfId="4" applyAlignment="1">
      <alignment wrapText="1"/>
    </xf>
    <xf numFmtId="9" fontId="5" fillId="5" borderId="0" xfId="1" applyFont="1" applyFill="1" applyAlignment="1">
      <alignment wrapText="1"/>
    </xf>
    <xf numFmtId="167" fontId="5" fillId="5" borderId="0" xfId="1" applyNumberFormat="1" applyFont="1" applyFill="1" applyAlignment="1">
      <alignment wrapText="1"/>
    </xf>
    <xf numFmtId="0" fontId="5" fillId="0" borderId="0" xfId="4" applyAlignment="1">
      <alignment horizontal="left" wrapText="1"/>
    </xf>
    <xf numFmtId="0" fontId="5" fillId="6" borderId="0" xfId="4" applyFill="1" applyAlignment="1">
      <alignment wrapText="1"/>
    </xf>
    <xf numFmtId="0" fontId="0" fillId="6" borderId="0" xfId="0" applyFill="1"/>
    <xf numFmtId="165" fontId="0" fillId="6" borderId="0" xfId="0" applyNumberFormat="1" applyFill="1"/>
    <xf numFmtId="165" fontId="2" fillId="0" borderId="4" xfId="0" applyNumberFormat="1" applyFont="1" applyBorder="1" applyAlignment="1">
      <alignment wrapText="1"/>
    </xf>
    <xf numFmtId="0" fontId="12" fillId="0" borderId="0" xfId="0" applyFont="1" applyAlignment="1">
      <alignment horizontal="center" wrapText="1"/>
    </xf>
    <xf numFmtId="0" fontId="13" fillId="0" borderId="0" xfId="5" quotePrefix="1" applyFont="1" applyAlignment="1">
      <alignment horizontal="center" wrapText="1"/>
    </xf>
    <xf numFmtId="3" fontId="13" fillId="0" borderId="0" xfId="5" applyNumberFormat="1" applyFont="1" applyAlignment="1">
      <alignment horizontal="center" wrapText="1"/>
    </xf>
    <xf numFmtId="3" fontId="12" fillId="0" borderId="0" xfId="0" applyNumberFormat="1" applyFont="1" applyAlignment="1">
      <alignment horizontal="center" wrapText="1"/>
    </xf>
    <xf numFmtId="3" fontId="13" fillId="0" borderId="0" xfId="5" quotePrefix="1" applyNumberFormat="1" applyFont="1" applyAlignment="1">
      <alignment horizontal="center" wrapText="1"/>
    </xf>
    <xf numFmtId="5" fontId="13" fillId="0" borderId="0" xfId="5" applyNumberFormat="1" applyFont="1" applyAlignment="1">
      <alignment horizontal="center" wrapText="1"/>
    </xf>
    <xf numFmtId="1" fontId="13" fillId="0" borderId="0" xfId="5" applyNumberFormat="1" applyFont="1" applyAlignment="1">
      <alignment horizontal="center" wrapText="1"/>
    </xf>
    <xf numFmtId="5" fontId="13" fillId="0" borderId="0" xfId="5" quotePrefix="1" applyNumberFormat="1" applyFont="1" applyAlignment="1">
      <alignment horizontal="center" wrapText="1"/>
    </xf>
    <xf numFmtId="0" fontId="13" fillId="0" borderId="0" xfId="5" applyFont="1" applyAlignment="1">
      <alignment horizontal="center" wrapText="1"/>
    </xf>
    <xf numFmtId="164" fontId="13" fillId="0" borderId="0" xfId="5" applyNumberFormat="1" applyFont="1" applyAlignment="1">
      <alignment horizontal="center" wrapText="1"/>
    </xf>
    <xf numFmtId="2" fontId="13" fillId="0" borderId="0" xfId="5" applyNumberFormat="1" applyFont="1" applyAlignment="1">
      <alignment horizontal="center" wrapText="1"/>
    </xf>
    <xf numFmtId="168" fontId="0" fillId="0" borderId="15" xfId="0" applyNumberFormat="1" applyBorder="1"/>
    <xf numFmtId="168" fontId="0" fillId="0" borderId="16" xfId="0" applyNumberFormat="1" applyBorder="1"/>
    <xf numFmtId="168" fontId="0" fillId="0" borderId="17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/>
    </xf>
  </cellXfs>
  <cellStyles count="6">
    <cellStyle name="Hyperlink" xfId="2" builtinId="8"/>
    <cellStyle name="Normal" xfId="0" builtinId="0"/>
    <cellStyle name="Normal_Sheet1" xfId="4" xr:uid="{1EDF5672-EA5B-48D5-8336-A72BF5FFCC05}"/>
    <cellStyle name="Normal_Sheet1 (2)" xfId="5" xr:uid="{E967DC40-F66A-46A8-8021-8030CC0C04CF}"/>
    <cellStyle name="Normal_Simple NRELGoal Case MSW 2005" xfId="3" xr:uid="{C5B58F29-4B32-48D3-A786-7FFD2E9E999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stic%20pyrolysis%20cost%20sheet%20adapted%20from%20Wenqi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CFROR"/>
      <sheetName val="Simple Costs"/>
      <sheetName val="FLOWS"/>
      <sheetName val="Labor Costs"/>
      <sheetName val="EQUIP"/>
      <sheetName val="TPI"/>
      <sheetName val="SUMMARY NEW"/>
      <sheetName val="dryer"/>
      <sheetName val="APEA"/>
      <sheetName val="Sheet2"/>
    </sheetNames>
    <sheetDataSet>
      <sheetData sheetId="0"/>
      <sheetData sheetId="1">
        <row r="35">
          <cell r="B35">
            <v>2011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Olafasakin, Olumide O [M E]" id="{E579BCC5-2634-4346-B06A-994F55930A40}" userId="S::olumideo@iastate.edu::23c341cc-7893-40ba-b601-648e9b14522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1-07-27T15:05:24.23" personId="{E579BCC5-2634-4346-B06A-994F55930A40}" id="{312D60AA-865F-41AB-B9E9-B57E0C9E30CA}">
    <text>Why use 2080 when plant runs for 7884</text>
  </threadedComment>
  <threadedComment ref="C53" dT="2021-07-27T15:05:49.22" personId="{E579BCC5-2634-4346-B06A-994F55930A40}" id="{DA2A6ED8-9FC4-4FA9-9139-AE510EE95D73}">
    <text>Place holder for new indices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ata.bls.gov/cgi-bin/srgate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A692-0289-4502-8E66-653717328665}">
  <dimension ref="B2:G5"/>
  <sheetViews>
    <sheetView workbookViewId="0">
      <selection activeCell="C2" sqref="C2:C5"/>
    </sheetView>
  </sheetViews>
  <sheetFormatPr baseColWidth="10" defaultColWidth="8.83203125" defaultRowHeight="15" x14ac:dyDescent="0.2"/>
  <cols>
    <col min="2" max="2" width="46.5" customWidth="1"/>
    <col min="3" max="3" width="16.83203125" bestFit="1" customWidth="1"/>
  </cols>
  <sheetData>
    <row r="2" spans="2:7" x14ac:dyDescent="0.2">
      <c r="B2" s="96" t="s">
        <v>0</v>
      </c>
      <c r="C2" s="93">
        <f>'Investment cost '!$D$11</f>
        <v>17658000</v>
      </c>
      <c r="E2" t="s">
        <v>1</v>
      </c>
      <c r="G2">
        <v>1200000</v>
      </c>
    </row>
    <row r="3" spans="2:7" x14ac:dyDescent="0.2">
      <c r="B3" s="97" t="s">
        <v>2</v>
      </c>
      <c r="C3" s="94">
        <f>'O&amp;M cost '!C11</f>
        <v>84518500</v>
      </c>
    </row>
    <row r="4" spans="2:7" x14ac:dyDescent="0.2">
      <c r="B4" s="97" t="s">
        <v>3</v>
      </c>
      <c r="C4" s="94">
        <f>SUM(C2:C3)</f>
        <v>102176500</v>
      </c>
    </row>
    <row r="5" spans="2:7" x14ac:dyDescent="0.2">
      <c r="B5" s="98" t="s">
        <v>4</v>
      </c>
      <c r="C5" s="95">
        <f>C4/G2</f>
        <v>85.147083333333327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E08A-F4A6-4D81-8299-1125A6B92C38}">
  <dimension ref="B2:K33"/>
  <sheetViews>
    <sheetView showGridLines="0" zoomScale="204" zoomScaleNormal="204" workbookViewId="0">
      <selection activeCell="B16" sqref="B16:C29"/>
    </sheetView>
  </sheetViews>
  <sheetFormatPr baseColWidth="10" defaultColWidth="8.83203125" defaultRowHeight="15" x14ac:dyDescent="0.2"/>
  <cols>
    <col min="2" max="2" width="54" bestFit="1" customWidth="1"/>
    <col min="3" max="3" width="17.5" customWidth="1"/>
    <col min="5" max="5" width="40.83203125" bestFit="1" customWidth="1"/>
    <col min="6" max="7" width="10.6640625" bestFit="1" customWidth="1"/>
    <col min="8" max="8" width="11.5" customWidth="1"/>
    <col min="9" max="9" width="35.1640625" customWidth="1"/>
    <col min="10" max="10" width="30" customWidth="1"/>
  </cols>
  <sheetData>
    <row r="2" spans="2:7" x14ac:dyDescent="0.2">
      <c r="B2" s="20" t="s">
        <v>5</v>
      </c>
    </row>
    <row r="3" spans="2:7" ht="16" thickBot="1" x14ac:dyDescent="0.25"/>
    <row r="4" spans="2:7" x14ac:dyDescent="0.2">
      <c r="B4" s="18" t="s">
        <v>6</v>
      </c>
      <c r="C4" s="19">
        <v>14.16</v>
      </c>
      <c r="D4" s="1"/>
      <c r="E4" s="1"/>
      <c r="F4" s="1"/>
      <c r="G4" s="1"/>
    </row>
    <row r="5" spans="2:7" x14ac:dyDescent="0.2">
      <c r="B5" s="12" t="s">
        <v>7</v>
      </c>
      <c r="C5" s="13">
        <v>0.57999999999999996</v>
      </c>
    </row>
    <row r="6" spans="2:7" x14ac:dyDescent="0.2">
      <c r="B6" s="12" t="s">
        <v>8</v>
      </c>
      <c r="C6" s="13">
        <v>1.26</v>
      </c>
    </row>
    <row r="7" spans="2:7" x14ac:dyDescent="0.2">
      <c r="B7" s="12" t="s">
        <v>9</v>
      </c>
      <c r="C7" s="13">
        <v>0.1027</v>
      </c>
    </row>
    <row r="8" spans="2:7" x14ac:dyDescent="0.2">
      <c r="B8" s="12" t="s">
        <v>10</v>
      </c>
      <c r="C8" s="13">
        <v>2.198</v>
      </c>
    </row>
    <row r="9" spans="2:7" x14ac:dyDescent="0.2">
      <c r="B9" s="12" t="s">
        <v>11</v>
      </c>
      <c r="C9" s="13">
        <v>0.58069999999999999</v>
      </c>
    </row>
    <row r="10" spans="2:7" x14ac:dyDescent="0.2">
      <c r="B10" s="12" t="s">
        <v>12</v>
      </c>
      <c r="C10" s="13">
        <v>1.4999999999999999E-2</v>
      </c>
    </row>
    <row r="11" spans="2:7" ht="16" thickBot="1" x14ac:dyDescent="0.25">
      <c r="B11" s="16" t="s">
        <v>13</v>
      </c>
      <c r="C11" s="17">
        <v>4.0000000000000001E-3</v>
      </c>
    </row>
    <row r="14" spans="2:7" ht="16" thickBot="1" x14ac:dyDescent="0.25"/>
    <row r="15" spans="2:7" ht="29.5" customHeight="1" thickBot="1" x14ac:dyDescent="0.25">
      <c r="B15" s="99" t="s">
        <v>14</v>
      </c>
      <c r="C15" s="100"/>
    </row>
    <row r="16" spans="2:7" x14ac:dyDescent="0.2">
      <c r="B16" s="12" t="s">
        <v>15</v>
      </c>
      <c r="C16" s="13">
        <v>10</v>
      </c>
    </row>
    <row r="17" spans="2:11" x14ac:dyDescent="0.2">
      <c r="B17" s="12" t="s">
        <v>16</v>
      </c>
      <c r="C17" s="13"/>
    </row>
    <row r="18" spans="2:11" x14ac:dyDescent="0.2">
      <c r="B18" s="12" t="s">
        <v>17</v>
      </c>
      <c r="C18" s="13">
        <v>30</v>
      </c>
    </row>
    <row r="19" spans="2:11" x14ac:dyDescent="0.2">
      <c r="B19" s="12" t="s">
        <v>18</v>
      </c>
      <c r="C19" s="13">
        <v>120000</v>
      </c>
    </row>
    <row r="20" spans="2:11" x14ac:dyDescent="0.2">
      <c r="B20" s="12" t="s">
        <v>19</v>
      </c>
      <c r="C20" s="13">
        <v>1200000</v>
      </c>
    </row>
    <row r="21" spans="2:11" x14ac:dyDescent="0.2">
      <c r="B21" s="12" t="s">
        <v>20</v>
      </c>
      <c r="C21" s="13">
        <v>2</v>
      </c>
    </row>
    <row r="22" spans="2:11" x14ac:dyDescent="0.2">
      <c r="B22" s="12" t="s">
        <v>21</v>
      </c>
      <c r="C22" s="13">
        <v>91</v>
      </c>
    </row>
    <row r="23" spans="2:11" x14ac:dyDescent="0.2">
      <c r="B23" s="14" t="s">
        <v>22</v>
      </c>
      <c r="C23" s="15">
        <v>2</v>
      </c>
    </row>
    <row r="24" spans="2:11" x14ac:dyDescent="0.2">
      <c r="B24" s="14" t="s">
        <v>23</v>
      </c>
      <c r="C24" s="15">
        <v>8.5</v>
      </c>
    </row>
    <row r="25" spans="2:11" x14ac:dyDescent="0.2">
      <c r="B25" s="14" t="s">
        <v>24</v>
      </c>
      <c r="C25" s="15">
        <v>0.5</v>
      </c>
    </row>
    <row r="26" spans="2:11" x14ac:dyDescent="0.2">
      <c r="B26" s="12" t="s">
        <v>25</v>
      </c>
      <c r="C26" s="15">
        <v>8</v>
      </c>
    </row>
    <row r="27" spans="2:11" x14ac:dyDescent="0.2">
      <c r="B27" s="12" t="s">
        <v>26</v>
      </c>
      <c r="C27" s="15">
        <v>5</v>
      </c>
    </row>
    <row r="28" spans="2:11" x14ac:dyDescent="0.2">
      <c r="B28" s="12" t="s">
        <v>27</v>
      </c>
      <c r="C28" s="15">
        <v>52</v>
      </c>
    </row>
    <row r="29" spans="2:11" ht="16" thickBot="1" x14ac:dyDescent="0.25">
      <c r="B29" s="16" t="s">
        <v>28</v>
      </c>
      <c r="C29" s="17">
        <v>4160</v>
      </c>
    </row>
    <row r="30" spans="2:11" ht="28.5" customHeight="1" x14ac:dyDescent="0.2">
      <c r="B30" s="5"/>
      <c r="C30" s="5"/>
      <c r="I30" s="5"/>
      <c r="J30" s="5"/>
      <c r="K30" s="5"/>
    </row>
    <row r="31" spans="2:11" x14ac:dyDescent="0.2">
      <c r="B31" s="11" t="s">
        <v>29</v>
      </c>
      <c r="C31" s="5">
        <f>C19/(52*5)</f>
        <v>461.53846153846155</v>
      </c>
      <c r="I31" s="5"/>
      <c r="J31" s="5"/>
      <c r="K31" s="5"/>
    </row>
    <row r="32" spans="2:11" x14ac:dyDescent="0.2">
      <c r="B32" s="5"/>
      <c r="C32" s="5"/>
    </row>
    <row r="33" spans="2:3" x14ac:dyDescent="0.2">
      <c r="B33" s="5"/>
      <c r="C33" s="5"/>
    </row>
  </sheetData>
  <mergeCells count="1">
    <mergeCell ref="B15:C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54D4-9BEF-428A-B39E-6C8980C116EE}">
  <dimension ref="B2:I38"/>
  <sheetViews>
    <sheetView tabSelected="1" topLeftCell="C1" workbookViewId="0">
      <selection activeCell="H40" sqref="H40"/>
    </sheetView>
  </sheetViews>
  <sheetFormatPr baseColWidth="10" defaultColWidth="8.83203125" defaultRowHeight="15" x14ac:dyDescent="0.2"/>
  <cols>
    <col min="2" max="2" width="40.83203125" bestFit="1" customWidth="1"/>
    <col min="3" max="4" width="13.6640625" style="27" bestFit="1" customWidth="1"/>
    <col min="5" max="5" width="94.5" bestFit="1" customWidth="1"/>
    <col min="7" max="7" width="39.1640625" bestFit="1" customWidth="1"/>
    <col min="8" max="8" width="18.33203125" style="21" customWidth="1"/>
  </cols>
  <sheetData>
    <row r="2" spans="2:9" x14ac:dyDescent="0.2">
      <c r="B2" s="4" t="s">
        <v>30</v>
      </c>
      <c r="C2" s="23"/>
      <c r="D2" s="23"/>
      <c r="E2" s="3" t="s">
        <v>31</v>
      </c>
    </row>
    <row r="3" spans="2:9" x14ac:dyDescent="0.2">
      <c r="B3" s="4" t="s">
        <v>32</v>
      </c>
      <c r="C3" s="23">
        <v>1395000</v>
      </c>
      <c r="D3" s="23"/>
      <c r="E3" s="4"/>
    </row>
    <row r="4" spans="2:9" x14ac:dyDescent="0.2">
      <c r="B4" s="5" t="s">
        <v>33</v>
      </c>
      <c r="C4" s="24">
        <v>9200000</v>
      </c>
      <c r="D4" s="24"/>
      <c r="E4" s="5"/>
    </row>
    <row r="5" spans="2:9" x14ac:dyDescent="0.2">
      <c r="B5" s="5" t="s">
        <v>34</v>
      </c>
      <c r="C5" s="24">
        <v>3500000</v>
      </c>
      <c r="D5" s="24"/>
      <c r="E5" s="5"/>
    </row>
    <row r="6" spans="2:9" x14ac:dyDescent="0.2">
      <c r="B6" s="3"/>
      <c r="C6" s="25"/>
      <c r="D6" s="25">
        <f>SUM(C3:C5)</f>
        <v>14095000</v>
      </c>
      <c r="E6" s="3"/>
    </row>
    <row r="7" spans="2:9" x14ac:dyDescent="0.2">
      <c r="B7" s="4" t="s">
        <v>35</v>
      </c>
      <c r="C7" s="23">
        <v>2163000</v>
      </c>
      <c r="D7" s="23"/>
      <c r="E7" s="4"/>
    </row>
    <row r="8" spans="2:9" x14ac:dyDescent="0.2">
      <c r="B8" s="5" t="s">
        <v>36</v>
      </c>
      <c r="C8" s="24">
        <v>1400000</v>
      </c>
      <c r="D8" s="24"/>
      <c r="E8" s="5" t="s">
        <v>37</v>
      </c>
    </row>
    <row r="9" spans="2:9" x14ac:dyDescent="0.2">
      <c r="B9" s="5"/>
      <c r="C9" s="24"/>
      <c r="D9" s="24">
        <f>SUM(C7:C8)</f>
        <v>3563000</v>
      </c>
      <c r="E9" s="5"/>
    </row>
    <row r="10" spans="2:9" ht="16" thickBot="1" x14ac:dyDescent="0.25">
      <c r="B10" s="6"/>
      <c r="C10" s="26"/>
      <c r="D10" s="26"/>
      <c r="E10" s="6"/>
    </row>
    <row r="11" spans="2:9" ht="16" thickBot="1" x14ac:dyDescent="0.25">
      <c r="B11" s="6" t="s">
        <v>38</v>
      </c>
      <c r="C11" s="26">
        <f>SUM(C3:C8)</f>
        <v>17658000</v>
      </c>
      <c r="D11" s="26">
        <f>SUM(D6,D9)</f>
        <v>17658000</v>
      </c>
      <c r="E11" s="6"/>
    </row>
    <row r="13" spans="2:9" x14ac:dyDescent="0.2">
      <c r="G13" s="20" t="s">
        <v>39</v>
      </c>
    </row>
    <row r="14" spans="2:9" ht="16" thickBot="1" x14ac:dyDescent="0.25">
      <c r="G14" s="6"/>
      <c r="H14" s="29"/>
      <c r="I14" s="6"/>
    </row>
    <row r="15" spans="2:9" ht="16" thickBot="1" x14ac:dyDescent="0.25">
      <c r="G15" s="30" t="s">
        <v>40</v>
      </c>
      <c r="H15" s="31" t="s">
        <v>41</v>
      </c>
      <c r="I15" s="32" t="s">
        <v>42</v>
      </c>
    </row>
    <row r="16" spans="2:9" x14ac:dyDescent="0.2">
      <c r="G16" s="5" t="s">
        <v>43</v>
      </c>
      <c r="H16" s="28">
        <v>675000</v>
      </c>
      <c r="I16" s="5" t="s">
        <v>44</v>
      </c>
    </row>
    <row r="17" spans="7:9" x14ac:dyDescent="0.2">
      <c r="G17" s="5" t="s">
        <v>45</v>
      </c>
      <c r="H17" s="28">
        <v>720000</v>
      </c>
      <c r="I17" s="5" t="s">
        <v>44</v>
      </c>
    </row>
    <row r="18" spans="7:9" x14ac:dyDescent="0.2">
      <c r="G18" s="5" t="s">
        <v>46</v>
      </c>
      <c r="H18" s="28">
        <v>600000</v>
      </c>
      <c r="I18" s="5" t="s">
        <v>44</v>
      </c>
    </row>
    <row r="19" spans="7:9" x14ac:dyDescent="0.2">
      <c r="G19" s="5" t="s">
        <v>47</v>
      </c>
      <c r="H19" s="28">
        <v>8600000</v>
      </c>
      <c r="I19" s="5" t="s">
        <v>44</v>
      </c>
    </row>
    <row r="20" spans="7:9" x14ac:dyDescent="0.2">
      <c r="G20" s="2" t="s">
        <v>48</v>
      </c>
      <c r="H20" s="33">
        <v>3500000</v>
      </c>
      <c r="I20" s="2" t="s">
        <v>44</v>
      </c>
    </row>
    <row r="21" spans="7:9" x14ac:dyDescent="0.2">
      <c r="G21" s="5"/>
      <c r="H21" s="28"/>
      <c r="I21" s="5"/>
    </row>
    <row r="22" spans="7:9" ht="16" thickBot="1" x14ac:dyDescent="0.25">
      <c r="G22" s="34" t="s">
        <v>49</v>
      </c>
      <c r="H22" s="35" t="s">
        <v>41</v>
      </c>
      <c r="I22" s="7"/>
    </row>
    <row r="23" spans="7:9" x14ac:dyDescent="0.2">
      <c r="G23" s="5" t="s">
        <v>50</v>
      </c>
      <c r="H23" s="28">
        <v>150000</v>
      </c>
      <c r="I23" s="5" t="s">
        <v>44</v>
      </c>
    </row>
    <row r="24" spans="7:9" x14ac:dyDescent="0.2">
      <c r="G24" s="5" t="s">
        <v>51</v>
      </c>
      <c r="H24" s="28">
        <v>175000</v>
      </c>
      <c r="I24" s="5" t="s">
        <v>44</v>
      </c>
    </row>
    <row r="25" spans="7:9" x14ac:dyDescent="0.2">
      <c r="G25" s="5" t="s">
        <v>52</v>
      </c>
      <c r="H25" s="28">
        <v>220000</v>
      </c>
      <c r="I25" s="5" t="s">
        <v>44</v>
      </c>
    </row>
    <row r="26" spans="7:9" x14ac:dyDescent="0.2">
      <c r="G26" s="5" t="s">
        <v>53</v>
      </c>
      <c r="H26" s="28">
        <v>400000</v>
      </c>
      <c r="I26" s="5" t="s">
        <v>44</v>
      </c>
    </row>
    <row r="27" spans="7:9" x14ac:dyDescent="0.2">
      <c r="G27" s="5" t="s">
        <v>54</v>
      </c>
      <c r="H27" s="28">
        <v>280000</v>
      </c>
      <c r="I27" s="5" t="s">
        <v>44</v>
      </c>
    </row>
    <row r="28" spans="7:9" x14ac:dyDescent="0.2">
      <c r="G28" s="5" t="s">
        <v>55</v>
      </c>
      <c r="H28" s="28">
        <v>35000</v>
      </c>
      <c r="I28" s="5" t="s">
        <v>44</v>
      </c>
    </row>
    <row r="29" spans="7:9" x14ac:dyDescent="0.2">
      <c r="G29" s="5" t="s">
        <v>56</v>
      </c>
      <c r="H29" s="28">
        <v>128000</v>
      </c>
      <c r="I29" s="5" t="s">
        <v>44</v>
      </c>
    </row>
    <row r="30" spans="7:9" x14ac:dyDescent="0.2">
      <c r="G30" s="5" t="s">
        <v>57</v>
      </c>
      <c r="H30" s="28">
        <v>225000</v>
      </c>
      <c r="I30" s="5" t="s">
        <v>44</v>
      </c>
    </row>
    <row r="31" spans="7:9" x14ac:dyDescent="0.2">
      <c r="G31" s="5" t="s">
        <v>58</v>
      </c>
      <c r="H31" s="28">
        <v>550000</v>
      </c>
      <c r="I31" s="5" t="s">
        <v>44</v>
      </c>
    </row>
    <row r="32" spans="7:9" x14ac:dyDescent="0.2">
      <c r="G32" s="5"/>
      <c r="H32" s="28"/>
      <c r="I32" s="5"/>
    </row>
    <row r="33" spans="7:9" ht="16" thickBot="1" x14ac:dyDescent="0.25">
      <c r="G33" s="34" t="s">
        <v>59</v>
      </c>
      <c r="H33" s="35" t="s">
        <v>60</v>
      </c>
      <c r="I33" s="34"/>
    </row>
    <row r="34" spans="7:9" x14ac:dyDescent="0.2">
      <c r="G34" s="5" t="s">
        <v>61</v>
      </c>
      <c r="H34" s="28">
        <v>50000</v>
      </c>
      <c r="I34" s="5" t="s">
        <v>44</v>
      </c>
    </row>
    <row r="35" spans="7:9" x14ac:dyDescent="0.2">
      <c r="G35" s="5" t="s">
        <v>62</v>
      </c>
      <c r="H35" s="28">
        <v>350000</v>
      </c>
      <c r="I35" s="5" t="s">
        <v>44</v>
      </c>
    </row>
    <row r="36" spans="7:9" x14ac:dyDescent="0.2">
      <c r="G36" s="5" t="s">
        <v>63</v>
      </c>
      <c r="H36" s="28">
        <v>1000000</v>
      </c>
      <c r="I36" s="5" t="s">
        <v>44</v>
      </c>
    </row>
    <row r="37" spans="7:9" ht="16" thickBot="1" x14ac:dyDescent="0.25">
      <c r="G37" s="6"/>
      <c r="H37" s="29"/>
      <c r="I37" s="6"/>
    </row>
    <row r="38" spans="7:9" ht="16" thickBot="1" x14ac:dyDescent="0.25">
      <c r="G38" s="37" t="s">
        <v>64</v>
      </c>
      <c r="H38" s="38">
        <f>SUM(H16:H20,H23:H31,H34:H36)</f>
        <v>17658000</v>
      </c>
      <c r="I38" s="37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CBC7-47C1-4A81-831A-1438A5C9DB77}">
  <dimension ref="B1:L73"/>
  <sheetViews>
    <sheetView topLeftCell="E21" workbookViewId="0">
      <selection activeCell="G69" sqref="G69"/>
    </sheetView>
  </sheetViews>
  <sheetFormatPr baseColWidth="10" defaultColWidth="8.83203125" defaultRowHeight="15" x14ac:dyDescent="0.2"/>
  <cols>
    <col min="2" max="2" width="36" bestFit="1" customWidth="1"/>
    <col min="3" max="3" width="22.83203125" customWidth="1"/>
    <col min="4" max="4" width="59.6640625" bestFit="1" customWidth="1"/>
    <col min="6" max="6" width="51.33203125" customWidth="1"/>
    <col min="7" max="7" width="17.1640625" customWidth="1"/>
    <col min="8" max="8" width="26" bestFit="1" customWidth="1"/>
    <col min="9" max="9" width="29.6640625" bestFit="1" customWidth="1"/>
    <col min="10" max="10" width="27.5" style="21" bestFit="1" customWidth="1"/>
    <col min="12" max="12" width="12.33203125" bestFit="1" customWidth="1"/>
  </cols>
  <sheetData>
    <row r="1" spans="2:10" ht="16" thickBot="1" x14ac:dyDescent="0.25">
      <c r="B1" s="6"/>
      <c r="C1" s="6"/>
      <c r="D1" s="6"/>
    </row>
    <row r="2" spans="2:10" ht="33" thickBot="1" x14ac:dyDescent="0.25">
      <c r="B2" s="39" t="s">
        <v>65</v>
      </c>
      <c r="C2" s="6"/>
      <c r="D2" s="6" t="s">
        <v>31</v>
      </c>
    </row>
    <row r="3" spans="2:10" x14ac:dyDescent="0.2">
      <c r="B3" t="s">
        <v>66</v>
      </c>
      <c r="C3" s="8">
        <v>2552000</v>
      </c>
      <c r="D3" t="s">
        <v>67</v>
      </c>
    </row>
    <row r="4" spans="2:10" x14ac:dyDescent="0.2">
      <c r="B4" t="s">
        <v>68</v>
      </c>
      <c r="C4" s="8">
        <v>343000</v>
      </c>
      <c r="D4" t="s">
        <v>69</v>
      </c>
    </row>
    <row r="5" spans="2:10" x14ac:dyDescent="0.2">
      <c r="B5" t="s">
        <v>70</v>
      </c>
      <c r="C5" s="8">
        <v>130602</v>
      </c>
    </row>
    <row r="6" spans="2:10" x14ac:dyDescent="0.2">
      <c r="B6" t="s">
        <v>71</v>
      </c>
      <c r="C6" s="8">
        <v>12392</v>
      </c>
    </row>
    <row r="7" spans="2:10" x14ac:dyDescent="0.2">
      <c r="B7" t="s">
        <v>72</v>
      </c>
      <c r="C7" s="8">
        <v>897056</v>
      </c>
    </row>
    <row r="8" spans="2:10" x14ac:dyDescent="0.2">
      <c r="B8" t="s">
        <v>73</v>
      </c>
      <c r="C8" s="8">
        <v>96000</v>
      </c>
    </row>
    <row r="9" spans="2:10" ht="16" thickBot="1" x14ac:dyDescent="0.25">
      <c r="B9" s="6" t="s">
        <v>74</v>
      </c>
      <c r="C9" s="10">
        <v>4420800</v>
      </c>
      <c r="D9" s="6"/>
    </row>
    <row r="10" spans="2:10" x14ac:dyDescent="0.2">
      <c r="B10" s="5" t="s">
        <v>75</v>
      </c>
      <c r="C10" s="9">
        <f>SUM(C3:C9)</f>
        <v>8451850</v>
      </c>
      <c r="D10" s="5"/>
    </row>
    <row r="11" spans="2:10" ht="16" thickBot="1" x14ac:dyDescent="0.25">
      <c r="B11" s="6" t="s">
        <v>76</v>
      </c>
      <c r="C11" s="10">
        <f>C10*10</f>
        <v>84518500</v>
      </c>
      <c r="D11" s="6"/>
    </row>
    <row r="12" spans="2:10" x14ac:dyDescent="0.2">
      <c r="B12" s="5"/>
      <c r="C12" s="9"/>
      <c r="D12" s="5"/>
    </row>
    <row r="14" spans="2:10" ht="32" x14ac:dyDescent="0.2">
      <c r="F14" s="45" t="s">
        <v>77</v>
      </c>
    </row>
    <row r="15" spans="2:10" ht="16" thickBot="1" x14ac:dyDescent="0.25">
      <c r="F15" s="7"/>
      <c r="G15" s="7"/>
      <c r="H15" s="7"/>
      <c r="I15" s="7"/>
      <c r="J15" s="36"/>
    </row>
    <row r="16" spans="2:10" ht="49" thickBot="1" x14ac:dyDescent="0.25">
      <c r="F16" s="37" t="s">
        <v>78</v>
      </c>
      <c r="G16" s="41" t="s">
        <v>79</v>
      </c>
      <c r="H16" s="41" t="s">
        <v>80</v>
      </c>
      <c r="I16" s="37" t="s">
        <v>22</v>
      </c>
      <c r="J16" s="38" t="s">
        <v>81</v>
      </c>
    </row>
    <row r="17" spans="6:10" x14ac:dyDescent="0.2">
      <c r="F17" t="s">
        <v>82</v>
      </c>
      <c r="G17">
        <v>1</v>
      </c>
      <c r="H17">
        <v>89000</v>
      </c>
      <c r="I17">
        <v>2</v>
      </c>
      <c r="J17" s="21">
        <f>G17*H17*I17</f>
        <v>178000</v>
      </c>
    </row>
    <row r="18" spans="6:10" x14ac:dyDescent="0.2">
      <c r="F18" t="s">
        <v>83</v>
      </c>
      <c r="G18">
        <v>2</v>
      </c>
      <c r="H18">
        <v>55000</v>
      </c>
      <c r="I18">
        <v>2</v>
      </c>
      <c r="J18" s="21">
        <f t="shared" ref="J18:J23" si="0">G18*H18*I18</f>
        <v>220000</v>
      </c>
    </row>
    <row r="19" spans="6:10" x14ac:dyDescent="0.2">
      <c r="F19" t="s">
        <v>84</v>
      </c>
      <c r="G19">
        <v>25</v>
      </c>
      <c r="H19">
        <v>30000</v>
      </c>
      <c r="I19">
        <v>2</v>
      </c>
      <c r="J19" s="21">
        <f t="shared" si="0"/>
        <v>1500000</v>
      </c>
    </row>
    <row r="20" spans="6:10" x14ac:dyDescent="0.2">
      <c r="F20" t="s">
        <v>85</v>
      </c>
      <c r="G20">
        <v>2</v>
      </c>
      <c r="H20">
        <v>37500</v>
      </c>
      <c r="I20">
        <v>2</v>
      </c>
      <c r="J20" s="21">
        <f t="shared" si="0"/>
        <v>150000</v>
      </c>
    </row>
    <row r="21" spans="6:10" x14ac:dyDescent="0.2">
      <c r="F21" t="s">
        <v>86</v>
      </c>
      <c r="G21">
        <v>4</v>
      </c>
      <c r="H21">
        <v>35000</v>
      </c>
      <c r="I21">
        <v>2</v>
      </c>
      <c r="J21" s="21">
        <f t="shared" si="0"/>
        <v>280000</v>
      </c>
    </row>
    <row r="22" spans="6:10" x14ac:dyDescent="0.2">
      <c r="F22" t="s">
        <v>87</v>
      </c>
      <c r="G22">
        <v>2</v>
      </c>
      <c r="H22">
        <v>31000</v>
      </c>
      <c r="I22">
        <v>2</v>
      </c>
      <c r="J22" s="21">
        <f t="shared" si="0"/>
        <v>124000</v>
      </c>
    </row>
    <row r="23" spans="6:10" x14ac:dyDescent="0.2">
      <c r="F23" s="5" t="s">
        <v>88</v>
      </c>
      <c r="G23" s="5">
        <v>2</v>
      </c>
      <c r="H23" s="5">
        <v>50000</v>
      </c>
      <c r="I23" s="5">
        <v>1</v>
      </c>
      <c r="J23" s="28">
        <f t="shared" si="0"/>
        <v>100000</v>
      </c>
    </row>
    <row r="24" spans="6:10" ht="16" thickBot="1" x14ac:dyDescent="0.25">
      <c r="F24" s="6"/>
      <c r="G24" s="6"/>
      <c r="H24" s="6"/>
      <c r="I24" s="6"/>
      <c r="J24" s="29"/>
    </row>
    <row r="25" spans="6:10" ht="16" thickBot="1" x14ac:dyDescent="0.25">
      <c r="F25" s="37" t="s">
        <v>89</v>
      </c>
      <c r="G25" s="37"/>
      <c r="H25" s="37"/>
      <c r="I25" s="37"/>
      <c r="J25" s="38" t="s">
        <v>90</v>
      </c>
    </row>
    <row r="26" spans="6:10" x14ac:dyDescent="0.2">
      <c r="F26" t="s">
        <v>91</v>
      </c>
      <c r="J26" s="21">
        <v>28000</v>
      </c>
    </row>
    <row r="27" spans="6:10" x14ac:dyDescent="0.2">
      <c r="F27" t="s">
        <v>92</v>
      </c>
      <c r="J27" s="21">
        <v>250000</v>
      </c>
    </row>
    <row r="28" spans="6:10" x14ac:dyDescent="0.2">
      <c r="F28" t="s">
        <v>93</v>
      </c>
      <c r="J28" s="21">
        <v>45000</v>
      </c>
    </row>
    <row r="29" spans="6:10" x14ac:dyDescent="0.2">
      <c r="F29" t="s">
        <v>94</v>
      </c>
      <c r="J29" s="21">
        <v>20000</v>
      </c>
    </row>
    <row r="30" spans="6:10" ht="16" thickBot="1" x14ac:dyDescent="0.25">
      <c r="F30" s="6"/>
      <c r="G30" s="6"/>
      <c r="H30" s="6"/>
      <c r="I30" s="6"/>
      <c r="J30" s="29"/>
    </row>
    <row r="31" spans="6:10" ht="49" thickBot="1" x14ac:dyDescent="0.25">
      <c r="F31" s="37" t="s">
        <v>95</v>
      </c>
      <c r="G31" s="37" t="s">
        <v>96</v>
      </c>
      <c r="H31" s="41" t="s">
        <v>97</v>
      </c>
      <c r="I31" s="41" t="s">
        <v>98</v>
      </c>
      <c r="J31" s="43" t="s">
        <v>99</v>
      </c>
    </row>
    <row r="32" spans="6:10" x14ac:dyDescent="0.2">
      <c r="F32" t="s">
        <v>100</v>
      </c>
      <c r="G32">
        <v>100</v>
      </c>
      <c r="H32">
        <v>15</v>
      </c>
      <c r="I32">
        <v>9.9599999999999994E-2</v>
      </c>
      <c r="J32" s="21">
        <f>H32*I32*Assumptions!$C$29</f>
        <v>6215.04</v>
      </c>
    </row>
    <row r="33" spans="6:10" x14ac:dyDescent="0.2">
      <c r="F33" t="s">
        <v>101</v>
      </c>
      <c r="G33">
        <v>70</v>
      </c>
      <c r="H33">
        <v>8.5</v>
      </c>
      <c r="I33">
        <v>9.9599999999999994E-2</v>
      </c>
      <c r="J33" s="21">
        <f>H33*I33*Assumptions!$C$29</f>
        <v>3521.8559999999998</v>
      </c>
    </row>
    <row r="34" spans="6:10" x14ac:dyDescent="0.2">
      <c r="F34" t="s">
        <v>102</v>
      </c>
      <c r="G34">
        <v>97</v>
      </c>
      <c r="H34">
        <v>30</v>
      </c>
      <c r="I34">
        <v>9.9599999999999994E-2</v>
      </c>
      <c r="J34" s="21">
        <f>H34*I34*Assumptions!$C$29</f>
        <v>12430.08</v>
      </c>
    </row>
    <row r="35" spans="6:10" x14ac:dyDescent="0.2">
      <c r="F35" t="s">
        <v>103</v>
      </c>
      <c r="G35">
        <v>85</v>
      </c>
      <c r="H35">
        <v>5.5</v>
      </c>
      <c r="I35">
        <v>9.9599999999999994E-2</v>
      </c>
      <c r="J35" s="21">
        <f>H35*I35*Assumptions!$C$29</f>
        <v>2278.848</v>
      </c>
    </row>
    <row r="36" spans="6:10" x14ac:dyDescent="0.2">
      <c r="F36" t="s">
        <v>104</v>
      </c>
      <c r="G36">
        <v>91</v>
      </c>
      <c r="H36">
        <v>10</v>
      </c>
      <c r="I36">
        <v>9.9599999999999994E-2</v>
      </c>
      <c r="J36" s="21">
        <f>H36*I36*Assumptions!$C$29</f>
        <v>4143.3599999999997</v>
      </c>
    </row>
    <row r="37" spans="6:10" x14ac:dyDescent="0.2">
      <c r="F37" t="s">
        <v>55</v>
      </c>
      <c r="G37">
        <v>98</v>
      </c>
      <c r="H37">
        <v>4</v>
      </c>
      <c r="I37">
        <v>9.9599999999999994E-2</v>
      </c>
      <c r="J37" s="21">
        <f>H37*I37*Assumptions!$C$29</f>
        <v>1657.3439999999998</v>
      </c>
    </row>
    <row r="38" spans="6:10" x14ac:dyDescent="0.2">
      <c r="F38" t="s">
        <v>56</v>
      </c>
      <c r="G38">
        <v>97</v>
      </c>
      <c r="H38">
        <v>9</v>
      </c>
      <c r="I38">
        <v>9.9599999999999994E-2</v>
      </c>
      <c r="J38" s="21">
        <f>H38*I38*Assumptions!$C$29</f>
        <v>3729.0239999999999</v>
      </c>
    </row>
    <row r="39" spans="6:10" x14ac:dyDescent="0.2">
      <c r="F39" t="s">
        <v>105</v>
      </c>
      <c r="G39">
        <v>98</v>
      </c>
      <c r="H39">
        <v>13</v>
      </c>
      <c r="I39">
        <v>9.9599999999999994E-2</v>
      </c>
      <c r="J39" s="21">
        <f>H39*I39*Assumptions!$C$29</f>
        <v>5386.3679999999995</v>
      </c>
    </row>
    <row r="40" spans="6:10" x14ac:dyDescent="0.2">
      <c r="F40" t="s">
        <v>58</v>
      </c>
      <c r="G40">
        <v>100</v>
      </c>
      <c r="H40">
        <v>63</v>
      </c>
      <c r="I40">
        <v>9.9599999999999994E-2</v>
      </c>
      <c r="J40" s="21">
        <f>H40*I40*Assumptions!$C$29</f>
        <v>26103.168000000001</v>
      </c>
    </row>
    <row r="41" spans="6:10" ht="16" thickBot="1" x14ac:dyDescent="0.25">
      <c r="F41" s="6"/>
      <c r="G41" s="6"/>
      <c r="H41" s="6"/>
      <c r="I41" s="6"/>
      <c r="J41" s="29"/>
    </row>
    <row r="42" spans="6:10" ht="16" thickBot="1" x14ac:dyDescent="0.25">
      <c r="F42" s="37" t="s">
        <v>106</v>
      </c>
      <c r="G42" s="37"/>
      <c r="H42" s="37"/>
      <c r="I42" s="37"/>
      <c r="J42" s="38" t="s">
        <v>107</v>
      </c>
    </row>
    <row r="43" spans="6:10" x14ac:dyDescent="0.2">
      <c r="F43" t="s">
        <v>100</v>
      </c>
      <c r="J43" s="21">
        <v>100</v>
      </c>
    </row>
    <row r="44" spans="6:10" x14ac:dyDescent="0.2">
      <c r="F44" t="s">
        <v>101</v>
      </c>
      <c r="J44" s="21">
        <v>10000</v>
      </c>
    </row>
    <row r="45" spans="6:10" x14ac:dyDescent="0.2">
      <c r="F45" t="s">
        <v>102</v>
      </c>
      <c r="J45" s="21">
        <v>10000</v>
      </c>
    </row>
    <row r="46" spans="6:10" x14ac:dyDescent="0.2">
      <c r="F46" t="s">
        <v>103</v>
      </c>
      <c r="J46" s="21">
        <v>13000</v>
      </c>
    </row>
    <row r="47" spans="6:10" x14ac:dyDescent="0.2">
      <c r="F47" t="s">
        <v>104</v>
      </c>
      <c r="J47" s="21">
        <v>10000</v>
      </c>
    </row>
    <row r="48" spans="6:10" x14ac:dyDescent="0.2">
      <c r="F48" t="s">
        <v>55</v>
      </c>
      <c r="J48" s="21">
        <v>5000</v>
      </c>
    </row>
    <row r="49" spans="6:12" x14ac:dyDescent="0.2">
      <c r="F49" t="s">
        <v>56</v>
      </c>
      <c r="J49" s="21">
        <v>5000</v>
      </c>
    </row>
    <row r="50" spans="6:12" x14ac:dyDescent="0.2">
      <c r="F50" t="s">
        <v>105</v>
      </c>
      <c r="J50" s="21">
        <v>5000</v>
      </c>
    </row>
    <row r="51" spans="6:12" x14ac:dyDescent="0.2">
      <c r="F51" s="5" t="s">
        <v>58</v>
      </c>
      <c r="G51" s="5"/>
      <c r="H51" s="5"/>
      <c r="I51" s="5"/>
      <c r="J51" s="28">
        <v>5000</v>
      </c>
    </row>
    <row r="52" spans="6:12" ht="16" thickBot="1" x14ac:dyDescent="0.25">
      <c r="F52" s="6"/>
      <c r="G52" s="6"/>
      <c r="H52" s="6"/>
      <c r="I52" s="6"/>
      <c r="J52" s="29"/>
    </row>
    <row r="53" spans="6:12" ht="49" thickBot="1" x14ac:dyDescent="0.25">
      <c r="F53" s="37" t="s">
        <v>108</v>
      </c>
      <c r="G53" s="37" t="s">
        <v>96</v>
      </c>
      <c r="H53" s="41" t="s">
        <v>97</v>
      </c>
      <c r="I53" s="41" t="s">
        <v>98</v>
      </c>
      <c r="J53" s="43" t="s">
        <v>99</v>
      </c>
    </row>
    <row r="54" spans="6:12" x14ac:dyDescent="0.2">
      <c r="F54" s="11" t="s">
        <v>109</v>
      </c>
      <c r="G54">
        <v>100</v>
      </c>
      <c r="H54">
        <v>5.6</v>
      </c>
      <c r="I54">
        <v>0.1027</v>
      </c>
      <c r="J54" s="40">
        <v>2392.5</v>
      </c>
    </row>
    <row r="55" spans="6:12" ht="16" thickBot="1" x14ac:dyDescent="0.25">
      <c r="F55" s="6"/>
      <c r="G55" s="6"/>
      <c r="H55" s="6"/>
      <c r="I55" s="6"/>
      <c r="J55" s="29"/>
    </row>
    <row r="56" spans="6:12" ht="16" thickBot="1" x14ac:dyDescent="0.25">
      <c r="F56" s="37" t="s">
        <v>110</v>
      </c>
      <c r="G56" s="37"/>
      <c r="H56" s="37"/>
      <c r="I56" s="37"/>
      <c r="J56" s="38" t="s">
        <v>107</v>
      </c>
    </row>
    <row r="57" spans="6:12" x14ac:dyDescent="0.2">
      <c r="F57" s="11" t="s">
        <v>110</v>
      </c>
      <c r="J57" s="21">
        <v>10000</v>
      </c>
    </row>
    <row r="59" spans="6:12" ht="49" thickBot="1" x14ac:dyDescent="0.25">
      <c r="F59" s="37" t="s">
        <v>111</v>
      </c>
      <c r="G59" s="37" t="s">
        <v>96</v>
      </c>
      <c r="H59" s="41" t="s">
        <v>112</v>
      </c>
      <c r="I59" s="41" t="s">
        <v>113</v>
      </c>
      <c r="J59" s="43" t="s">
        <v>114</v>
      </c>
      <c r="K59" s="20"/>
      <c r="L59" s="44" t="s">
        <v>115</v>
      </c>
    </row>
    <row r="60" spans="6:12" x14ac:dyDescent="0.2">
      <c r="F60" s="11" t="s">
        <v>62</v>
      </c>
      <c r="G60">
        <v>100</v>
      </c>
      <c r="H60">
        <v>10</v>
      </c>
      <c r="I60">
        <v>0.74339999999999995</v>
      </c>
      <c r="J60" s="40">
        <f>H60*I60*Assumptions!$C$19</f>
        <v>892079.99999999988</v>
      </c>
      <c r="L60">
        <v>120000</v>
      </c>
    </row>
    <row r="61" spans="6:12" ht="16" thickBot="1" x14ac:dyDescent="0.25">
      <c r="F61" s="6"/>
      <c r="G61" s="6"/>
      <c r="H61" s="6"/>
      <c r="I61" s="6"/>
      <c r="J61" s="29"/>
    </row>
    <row r="62" spans="6:12" ht="16" thickBot="1" x14ac:dyDescent="0.25">
      <c r="F62" s="37" t="s">
        <v>116</v>
      </c>
      <c r="G62" s="37"/>
      <c r="H62" s="37"/>
      <c r="I62" s="37"/>
      <c r="J62" s="38" t="s">
        <v>107</v>
      </c>
    </row>
    <row r="63" spans="6:12" x14ac:dyDescent="0.2">
      <c r="F63" s="11" t="s">
        <v>62</v>
      </c>
      <c r="J63" s="21">
        <v>5000</v>
      </c>
    </row>
    <row r="64" spans="6:12" ht="16" thickBot="1" x14ac:dyDescent="0.25">
      <c r="F64" s="6"/>
      <c r="G64" s="6"/>
      <c r="H64" s="6"/>
      <c r="I64" s="6"/>
      <c r="J64" s="29"/>
    </row>
    <row r="65" spans="6:12" ht="33" thickBot="1" x14ac:dyDescent="0.25">
      <c r="F65" s="30" t="s">
        <v>117</v>
      </c>
      <c r="G65" s="42" t="s">
        <v>118</v>
      </c>
      <c r="H65" s="42" t="s">
        <v>119</v>
      </c>
      <c r="I65" s="30" t="s">
        <v>120</v>
      </c>
      <c r="J65" s="31" t="s">
        <v>121</v>
      </c>
    </row>
    <row r="66" spans="6:12" x14ac:dyDescent="0.2">
      <c r="G66">
        <v>2</v>
      </c>
      <c r="H66">
        <v>2400</v>
      </c>
      <c r="I66">
        <v>40</v>
      </c>
      <c r="J66" s="21">
        <f>H66*I66</f>
        <v>96000</v>
      </c>
    </row>
    <row r="67" spans="6:12" ht="16" thickBot="1" x14ac:dyDescent="0.25">
      <c r="F67" s="6"/>
      <c r="G67" s="6"/>
      <c r="H67" s="6"/>
      <c r="I67" s="6"/>
      <c r="J67" s="29"/>
    </row>
    <row r="68" spans="6:12" ht="33" thickBot="1" x14ac:dyDescent="0.25">
      <c r="F68" s="37" t="s">
        <v>122</v>
      </c>
      <c r="G68" s="41" t="s">
        <v>123</v>
      </c>
      <c r="H68" s="41" t="s">
        <v>124</v>
      </c>
      <c r="I68" s="37"/>
      <c r="J68" s="38" t="s">
        <v>125</v>
      </c>
    </row>
    <row r="69" spans="6:12" x14ac:dyDescent="0.2">
      <c r="F69" t="s">
        <v>126</v>
      </c>
      <c r="G69">
        <v>120000</v>
      </c>
      <c r="H69">
        <v>36.840000000000003</v>
      </c>
      <c r="J69" s="21">
        <f>G69*H69</f>
        <v>4420800</v>
      </c>
    </row>
    <row r="70" spans="6:12" ht="16" thickBot="1" x14ac:dyDescent="0.25"/>
    <row r="71" spans="6:12" ht="16" thickBot="1" x14ac:dyDescent="0.25">
      <c r="F71" s="48" t="s">
        <v>127</v>
      </c>
      <c r="G71" s="30"/>
      <c r="H71" s="30"/>
      <c r="I71" s="30"/>
      <c r="J71" s="49">
        <v>8254465.9000000004</v>
      </c>
      <c r="L71" s="21">
        <f>SUM(J17:J69)</f>
        <v>8449837.5879999995</v>
      </c>
    </row>
    <row r="72" spans="6:12" ht="16" thickBot="1" x14ac:dyDescent="0.25">
      <c r="F72" s="46" t="s">
        <v>128</v>
      </c>
      <c r="G72" s="37"/>
      <c r="H72" s="37"/>
      <c r="I72" s="37"/>
      <c r="J72" s="47">
        <f>J71*10</f>
        <v>82544659</v>
      </c>
    </row>
    <row r="73" spans="6:12" x14ac:dyDescent="0.2">
      <c r="F73" s="20"/>
      <c r="G73" s="20"/>
      <c r="H73" s="20"/>
      <c r="I73" s="20"/>
      <c r="J73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5234-A554-4F73-8355-2A384294AF5A}">
  <dimension ref="A1:Q35"/>
  <sheetViews>
    <sheetView workbookViewId="0">
      <selection activeCell="A2" sqref="A2:C33"/>
    </sheetView>
  </sheetViews>
  <sheetFormatPr baseColWidth="10" defaultColWidth="8.83203125" defaultRowHeight="15" x14ac:dyDescent="0.2"/>
  <sheetData>
    <row r="1" spans="1:17" x14ac:dyDescent="0.2">
      <c r="L1" t="s">
        <v>129</v>
      </c>
    </row>
    <row r="2" spans="1:17" x14ac:dyDescent="0.2">
      <c r="A2" t="s">
        <v>130</v>
      </c>
      <c r="B2" t="s">
        <v>131</v>
      </c>
      <c r="L2" t="s">
        <v>130</v>
      </c>
      <c r="M2" t="s">
        <v>132</v>
      </c>
    </row>
    <row r="3" spans="1:17" x14ac:dyDescent="0.2">
      <c r="A3">
        <v>1990</v>
      </c>
      <c r="B3">
        <v>357.6</v>
      </c>
      <c r="L3">
        <v>1997</v>
      </c>
      <c r="M3">
        <v>15.78</v>
      </c>
    </row>
    <row r="4" spans="1:17" x14ac:dyDescent="0.2">
      <c r="A4">
        <v>1991</v>
      </c>
      <c r="B4">
        <v>361.3</v>
      </c>
      <c r="L4">
        <v>1998</v>
      </c>
      <c r="M4">
        <v>16.23</v>
      </c>
    </row>
    <row r="5" spans="1:17" x14ac:dyDescent="0.2">
      <c r="A5">
        <v>1992</v>
      </c>
      <c r="B5">
        <v>358.2</v>
      </c>
      <c r="L5">
        <v>1999</v>
      </c>
      <c r="M5">
        <v>16.399999999999999</v>
      </c>
    </row>
    <row r="6" spans="1:17" x14ac:dyDescent="0.2">
      <c r="A6">
        <v>1993</v>
      </c>
      <c r="B6">
        <v>359.2</v>
      </c>
      <c r="L6">
        <v>2000</v>
      </c>
      <c r="M6">
        <v>17.09</v>
      </c>
    </row>
    <row r="7" spans="1:17" x14ac:dyDescent="0.2">
      <c r="A7">
        <v>1994</v>
      </c>
      <c r="B7">
        <v>368.1</v>
      </c>
      <c r="L7">
        <v>2001</v>
      </c>
      <c r="M7">
        <v>17.57</v>
      </c>
      <c r="Q7" t="s">
        <v>133</v>
      </c>
    </row>
    <row r="8" spans="1:17" x14ac:dyDescent="0.2">
      <c r="A8">
        <v>1995</v>
      </c>
      <c r="B8">
        <v>381.1</v>
      </c>
      <c r="L8">
        <v>2002</v>
      </c>
      <c r="M8">
        <v>17.97</v>
      </c>
    </row>
    <row r="9" spans="1:17" x14ac:dyDescent="0.2">
      <c r="A9">
        <v>1996</v>
      </c>
      <c r="B9">
        <v>381.7</v>
      </c>
      <c r="L9">
        <v>2003</v>
      </c>
      <c r="M9">
        <v>18.5</v>
      </c>
    </row>
    <row r="10" spans="1:17" x14ac:dyDescent="0.2">
      <c r="A10">
        <v>1997</v>
      </c>
      <c r="B10">
        <v>386.5</v>
      </c>
      <c r="L10">
        <v>2004</v>
      </c>
      <c r="M10">
        <v>19.170000000000002</v>
      </c>
    </row>
    <row r="11" spans="1:17" x14ac:dyDescent="0.2">
      <c r="A11">
        <v>1998</v>
      </c>
      <c r="B11">
        <v>389.5</v>
      </c>
      <c r="L11">
        <v>2005</v>
      </c>
      <c r="M11">
        <v>19.670000000000002</v>
      </c>
    </row>
    <row r="12" spans="1:17" x14ac:dyDescent="0.2">
      <c r="A12">
        <v>1999</v>
      </c>
      <c r="B12">
        <v>391.3</v>
      </c>
      <c r="L12">
        <v>2006</v>
      </c>
      <c r="M12">
        <v>19.600000000000001</v>
      </c>
    </row>
    <row r="13" spans="1:17" x14ac:dyDescent="0.2">
      <c r="A13">
        <v>2000</v>
      </c>
      <c r="B13">
        <v>394.1</v>
      </c>
      <c r="L13">
        <v>2007</v>
      </c>
      <c r="M13">
        <v>19.55</v>
      </c>
    </row>
    <row r="14" spans="1:17" x14ac:dyDescent="0.2">
      <c r="A14">
        <v>2001</v>
      </c>
      <c r="B14">
        <v>394.3</v>
      </c>
      <c r="L14">
        <v>2008</v>
      </c>
      <c r="M14">
        <v>19.5</v>
      </c>
    </row>
    <row r="15" spans="1:17" x14ac:dyDescent="0.2">
      <c r="A15">
        <v>2002</v>
      </c>
      <c r="B15">
        <v>395.6</v>
      </c>
      <c r="L15">
        <v>2009</v>
      </c>
      <c r="M15">
        <v>20.3</v>
      </c>
    </row>
    <row r="16" spans="1:17" x14ac:dyDescent="0.2">
      <c r="A16">
        <v>2003</v>
      </c>
      <c r="B16">
        <v>402</v>
      </c>
      <c r="L16">
        <v>2010</v>
      </c>
      <c r="M16">
        <v>21.07</v>
      </c>
    </row>
    <row r="17" spans="1:13" x14ac:dyDescent="0.2">
      <c r="A17">
        <v>2004</v>
      </c>
      <c r="B17">
        <v>444.2</v>
      </c>
      <c r="L17">
        <v>2011</v>
      </c>
      <c r="M17">
        <v>21.54</v>
      </c>
    </row>
    <row r="18" spans="1:13" x14ac:dyDescent="0.2">
      <c r="A18">
        <v>2005</v>
      </c>
      <c r="B18">
        <v>468.2</v>
      </c>
      <c r="L18">
        <v>2012</v>
      </c>
      <c r="M18">
        <v>21.45</v>
      </c>
    </row>
    <row r="19" spans="1:13" x14ac:dyDescent="0.2">
      <c r="A19">
        <v>2006</v>
      </c>
      <c r="B19">
        <v>499.6</v>
      </c>
      <c r="L19">
        <v>2013</v>
      </c>
      <c r="M19">
        <v>21.4</v>
      </c>
    </row>
    <row r="20" spans="1:13" x14ac:dyDescent="0.2">
      <c r="A20">
        <v>2007</v>
      </c>
      <c r="B20">
        <v>525.4</v>
      </c>
      <c r="L20">
        <v>2014</v>
      </c>
      <c r="M20">
        <v>21.49</v>
      </c>
    </row>
    <row r="21" spans="1:13" x14ac:dyDescent="0.2">
      <c r="A21">
        <v>2008</v>
      </c>
      <c r="B21">
        <v>575.4</v>
      </c>
      <c r="L21">
        <v>2015</v>
      </c>
      <c r="M21">
        <v>21.76</v>
      </c>
    </row>
    <row r="22" spans="1:13" x14ac:dyDescent="0.2">
      <c r="A22">
        <v>2009</v>
      </c>
      <c r="B22">
        <v>521.9</v>
      </c>
      <c r="L22">
        <v>2016</v>
      </c>
      <c r="M22">
        <v>22.71</v>
      </c>
    </row>
    <row r="23" spans="1:13" x14ac:dyDescent="0.2">
      <c r="A23">
        <v>2010</v>
      </c>
      <c r="B23">
        <v>550.79999999999995</v>
      </c>
      <c r="L23">
        <v>2017</v>
      </c>
      <c r="M23">
        <v>24.29</v>
      </c>
    </row>
    <row r="24" spans="1:13" x14ac:dyDescent="0.2">
      <c r="A24">
        <v>2011</v>
      </c>
      <c r="B24">
        <v>585.30909090909097</v>
      </c>
      <c r="L24">
        <v>2018</v>
      </c>
      <c r="M24">
        <v>25.46</v>
      </c>
    </row>
    <row r="25" spans="1:13" x14ac:dyDescent="0.2">
      <c r="A25">
        <v>2012</v>
      </c>
      <c r="B25">
        <v>584.6</v>
      </c>
      <c r="L25">
        <v>2019</v>
      </c>
      <c r="M25">
        <v>25.46</v>
      </c>
    </row>
    <row r="26" spans="1:13" x14ac:dyDescent="0.2">
      <c r="A26">
        <v>2013</v>
      </c>
      <c r="B26">
        <v>567.4</v>
      </c>
      <c r="L26">
        <v>2020</v>
      </c>
      <c r="M26">
        <v>26.03</v>
      </c>
    </row>
    <row r="27" spans="1:13" x14ac:dyDescent="0.2">
      <c r="A27">
        <v>2014</v>
      </c>
      <c r="B27">
        <v>576.1</v>
      </c>
      <c r="L27">
        <v>2021</v>
      </c>
    </row>
    <row r="28" spans="1:13" x14ac:dyDescent="0.2">
      <c r="A28">
        <v>2015</v>
      </c>
    </row>
    <row r="29" spans="1:13" x14ac:dyDescent="0.2">
      <c r="A29">
        <v>2016</v>
      </c>
    </row>
    <row r="30" spans="1:13" x14ac:dyDescent="0.2">
      <c r="A30">
        <v>2017</v>
      </c>
      <c r="B30">
        <v>567.5</v>
      </c>
      <c r="C30" t="s">
        <v>134</v>
      </c>
    </row>
    <row r="31" spans="1:13" x14ac:dyDescent="0.2">
      <c r="A31">
        <v>2018</v>
      </c>
    </row>
    <row r="32" spans="1:13" x14ac:dyDescent="0.2">
      <c r="A32">
        <v>2019</v>
      </c>
      <c r="B32">
        <v>607.5</v>
      </c>
    </row>
    <row r="33" spans="1:3" x14ac:dyDescent="0.2">
      <c r="A33">
        <v>2020</v>
      </c>
      <c r="B33">
        <v>596.20000000000005</v>
      </c>
      <c r="C33" t="s">
        <v>135</v>
      </c>
    </row>
    <row r="34" spans="1:3" x14ac:dyDescent="0.2">
      <c r="A34">
        <v>2021</v>
      </c>
    </row>
    <row r="35" spans="1:3" x14ac:dyDescent="0.2">
      <c r="A3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09CD-174A-4D91-8762-2DCBEE15C7A6}">
  <dimension ref="B1:J64"/>
  <sheetViews>
    <sheetView workbookViewId="0">
      <selection activeCell="G4" sqref="G4"/>
    </sheetView>
  </sheetViews>
  <sheetFormatPr baseColWidth="10" defaultColWidth="8.83203125" defaultRowHeight="15" x14ac:dyDescent="0.2"/>
  <cols>
    <col min="2" max="2" width="24.5" bestFit="1" customWidth="1"/>
    <col min="3" max="3" width="21.83203125" bestFit="1" customWidth="1"/>
    <col min="4" max="4" width="11.6640625" bestFit="1" customWidth="1"/>
    <col min="5" max="5" width="12.5" bestFit="1" customWidth="1"/>
    <col min="6" max="6" width="12.5" customWidth="1"/>
    <col min="7" max="7" width="20.6640625" bestFit="1" customWidth="1"/>
    <col min="8" max="8" width="21.83203125" bestFit="1" customWidth="1"/>
    <col min="9" max="9" width="17.1640625" bestFit="1" customWidth="1"/>
    <col min="10" max="10" width="11.83203125" bestFit="1" customWidth="1"/>
  </cols>
  <sheetData>
    <row r="1" spans="2:10" x14ac:dyDescent="0.2">
      <c r="B1" t="s">
        <v>136</v>
      </c>
      <c r="C1">
        <v>2011</v>
      </c>
    </row>
    <row r="2" spans="2:10" x14ac:dyDescent="0.2">
      <c r="B2" t="s">
        <v>137</v>
      </c>
      <c r="C2" t="s">
        <v>138</v>
      </c>
      <c r="D2" s="70">
        <v>2020</v>
      </c>
    </row>
    <row r="3" spans="2:10" ht="49" thickBot="1" x14ac:dyDescent="0.25">
      <c r="B3" s="37" t="s">
        <v>78</v>
      </c>
      <c r="C3" s="41" t="s">
        <v>79</v>
      </c>
      <c r="D3" s="41" t="s">
        <v>139</v>
      </c>
      <c r="E3" s="37" t="s">
        <v>22</v>
      </c>
      <c r="F3" s="41" t="s">
        <v>140</v>
      </c>
      <c r="G3" s="43" t="s">
        <v>141</v>
      </c>
      <c r="H3" s="72" t="s">
        <v>142</v>
      </c>
      <c r="I3" s="43" t="s">
        <v>143</v>
      </c>
      <c r="J3" s="43" t="s">
        <v>144</v>
      </c>
    </row>
    <row r="4" spans="2:10" x14ac:dyDescent="0.2">
      <c r="B4" t="s">
        <v>82</v>
      </c>
      <c r="C4" s="70">
        <v>1</v>
      </c>
      <c r="D4" s="70">
        <v>89000</v>
      </c>
      <c r="E4" s="70">
        <v>2</v>
      </c>
      <c r="F4" s="70">
        <f>D4/2080</f>
        <v>42.78846153846154</v>
      </c>
      <c r="G4" s="21">
        <f t="shared" ref="G4:G10" si="0">C4*D4*E4</f>
        <v>178000</v>
      </c>
      <c r="H4" s="73">
        <f>D4*VLOOKUP($C$1,$B$38:$C$63,2,FALSE)/VLOOKUP($D$2,$B$38:$C$63,2,FALSE)</f>
        <v>73648.098348059924</v>
      </c>
      <c r="I4" s="21">
        <f>H4*E4*C4</f>
        <v>147296.19669611985</v>
      </c>
      <c r="J4" s="21">
        <f>I4/2080</f>
        <v>70.815479180826856</v>
      </c>
    </row>
    <row r="5" spans="2:10" x14ac:dyDescent="0.2">
      <c r="B5" t="s">
        <v>83</v>
      </c>
      <c r="C5" s="70">
        <v>2</v>
      </c>
      <c r="D5" s="70">
        <v>55000</v>
      </c>
      <c r="E5" s="70">
        <v>2</v>
      </c>
      <c r="F5" s="70">
        <f t="shared" ref="F5:F10" si="1">D5/2080</f>
        <v>26.442307692307693</v>
      </c>
      <c r="G5" s="21">
        <f t="shared" si="0"/>
        <v>220000</v>
      </c>
      <c r="H5" s="73">
        <f t="shared" ref="H5:H10" si="2">D5*VLOOKUP($C$1,$B$38:$C$63,2,FALSE)/VLOOKUP($D$2,$B$38:$C$63,2,FALSE)</f>
        <v>45512.869765655014</v>
      </c>
      <c r="I5" s="21">
        <f t="shared" ref="I5:I10" si="3">H5*E5*C5</f>
        <v>182051.47906262006</v>
      </c>
      <c r="J5" s="21">
        <f t="shared" ref="J5:J10" si="4">I5/2080</f>
        <v>87.524749549336562</v>
      </c>
    </row>
    <row r="6" spans="2:10" x14ac:dyDescent="0.2">
      <c r="B6" t="s">
        <v>84</v>
      </c>
      <c r="C6" s="70">
        <v>25</v>
      </c>
      <c r="D6" s="70">
        <v>30000</v>
      </c>
      <c r="E6" s="70">
        <v>2</v>
      </c>
      <c r="F6" s="70">
        <f t="shared" si="1"/>
        <v>14.423076923076923</v>
      </c>
      <c r="G6" s="21">
        <f t="shared" si="0"/>
        <v>1500000</v>
      </c>
      <c r="H6" s="73">
        <f t="shared" si="2"/>
        <v>24825.20169035728</v>
      </c>
      <c r="I6" s="21">
        <f t="shared" si="3"/>
        <v>1241260.084517864</v>
      </c>
      <c r="J6" s="21">
        <f t="shared" si="4"/>
        <v>596.75965601820383</v>
      </c>
    </row>
    <row r="7" spans="2:10" x14ac:dyDescent="0.2">
      <c r="B7" t="s">
        <v>85</v>
      </c>
      <c r="C7" s="70">
        <v>2</v>
      </c>
      <c r="D7" s="70">
        <v>37500</v>
      </c>
      <c r="E7" s="70">
        <v>2</v>
      </c>
      <c r="F7" s="70">
        <f t="shared" si="1"/>
        <v>18.028846153846153</v>
      </c>
      <c r="G7" s="21">
        <f t="shared" si="0"/>
        <v>150000</v>
      </c>
      <c r="H7" s="73">
        <f t="shared" si="2"/>
        <v>31031.5021129466</v>
      </c>
      <c r="I7" s="21">
        <f t="shared" si="3"/>
        <v>124126.0084517864</v>
      </c>
      <c r="J7" s="21">
        <f t="shared" si="4"/>
        <v>59.675965601820387</v>
      </c>
    </row>
    <row r="8" spans="2:10" x14ac:dyDescent="0.2">
      <c r="B8" t="s">
        <v>86</v>
      </c>
      <c r="C8" s="70">
        <v>4</v>
      </c>
      <c r="D8" s="70">
        <v>35000</v>
      </c>
      <c r="E8" s="70">
        <v>2</v>
      </c>
      <c r="F8" s="70">
        <f t="shared" si="1"/>
        <v>16.826923076923077</v>
      </c>
      <c r="G8" s="21">
        <f t="shared" si="0"/>
        <v>280000</v>
      </c>
      <c r="H8" s="73">
        <f t="shared" si="2"/>
        <v>28962.735305416827</v>
      </c>
      <c r="I8" s="21">
        <f t="shared" si="3"/>
        <v>231701.88244333462</v>
      </c>
      <c r="J8" s="21">
        <f t="shared" si="4"/>
        <v>111.39513579006471</v>
      </c>
    </row>
    <row r="9" spans="2:10" x14ac:dyDescent="0.2">
      <c r="B9" t="s">
        <v>87</v>
      </c>
      <c r="C9" s="70">
        <v>2</v>
      </c>
      <c r="D9" s="70">
        <v>31000</v>
      </c>
      <c r="E9" s="70">
        <v>2</v>
      </c>
      <c r="F9" s="70">
        <f t="shared" si="1"/>
        <v>14.903846153846153</v>
      </c>
      <c r="G9" s="21">
        <f t="shared" si="0"/>
        <v>124000</v>
      </c>
      <c r="H9" s="73">
        <f t="shared" si="2"/>
        <v>25652.70841336919</v>
      </c>
      <c r="I9" s="21">
        <f t="shared" si="3"/>
        <v>102610.83365347676</v>
      </c>
      <c r="J9" s="21">
        <f t="shared" si="4"/>
        <v>49.332131564171519</v>
      </c>
    </row>
    <row r="10" spans="2:10" x14ac:dyDescent="0.2">
      <c r="B10" s="5" t="s">
        <v>88</v>
      </c>
      <c r="C10" s="71">
        <v>2</v>
      </c>
      <c r="D10" s="71">
        <v>50000</v>
      </c>
      <c r="E10" s="71">
        <v>1</v>
      </c>
      <c r="F10" s="71">
        <f t="shared" si="1"/>
        <v>24.03846153846154</v>
      </c>
      <c r="G10" s="28">
        <f t="shared" si="0"/>
        <v>100000</v>
      </c>
      <c r="H10" s="73">
        <f t="shared" si="2"/>
        <v>41375.336150595467</v>
      </c>
      <c r="I10" s="21">
        <f t="shared" si="3"/>
        <v>82750.672301190934</v>
      </c>
      <c r="J10" s="21">
        <f t="shared" si="4"/>
        <v>39.783977067880258</v>
      </c>
    </row>
    <row r="12" spans="2:10" x14ac:dyDescent="0.2">
      <c r="E12" t="s">
        <v>145</v>
      </c>
      <c r="I12" t="s">
        <v>146</v>
      </c>
      <c r="J12" t="s">
        <v>147</v>
      </c>
    </row>
    <row r="13" spans="2:10" x14ac:dyDescent="0.2">
      <c r="B13" s="79" t="s">
        <v>148</v>
      </c>
      <c r="C13" s="79">
        <f>SUM(C4:C10)</f>
        <v>38</v>
      </c>
      <c r="D13" s="79"/>
      <c r="E13" s="79">
        <f>SUMPRODUCT(C4:C10,E4:E10)</f>
        <v>74</v>
      </c>
      <c r="F13" s="79"/>
      <c r="G13" s="80">
        <f>SUM(G4:G10)</f>
        <v>2552000</v>
      </c>
      <c r="H13" s="79"/>
      <c r="I13" s="80">
        <f>SUM(I4:I10)/1000000</f>
        <v>2.1117971571263925</v>
      </c>
      <c r="J13" s="79"/>
    </row>
    <row r="15" spans="2:10" ht="29" x14ac:dyDescent="0.2">
      <c r="B15" s="74" t="s">
        <v>149</v>
      </c>
      <c r="C15" s="75">
        <v>0.94869971036470047</v>
      </c>
      <c r="D15" s="77" t="s">
        <v>150</v>
      </c>
      <c r="G15" s="21">
        <f>C15*$I$13*1000000</f>
        <v>2003461.3513148064</v>
      </c>
      <c r="I15" s="21">
        <f>G15/1000000</f>
        <v>2.0034613513148063</v>
      </c>
    </row>
    <row r="16" spans="2:10" x14ac:dyDescent="0.2">
      <c r="B16" s="74" t="s">
        <v>151</v>
      </c>
      <c r="C16" s="75">
        <v>0.02</v>
      </c>
      <c r="D16" s="77" t="s">
        <v>152</v>
      </c>
    </row>
    <row r="17" spans="2:10" x14ac:dyDescent="0.2">
      <c r="B17" s="74" t="s">
        <v>153</v>
      </c>
      <c r="C17" s="76">
        <v>0.02</v>
      </c>
      <c r="D17" s="77" t="s">
        <v>152</v>
      </c>
    </row>
    <row r="19" spans="2:10" x14ac:dyDescent="0.2">
      <c r="B19" s="78" t="s">
        <v>154</v>
      </c>
      <c r="C19" s="79"/>
      <c r="D19" s="79"/>
      <c r="E19" s="79"/>
      <c r="F19" s="79"/>
      <c r="G19" s="79"/>
      <c r="H19" s="79"/>
      <c r="I19" s="79"/>
      <c r="J19" s="79"/>
    </row>
    <row r="29" spans="2:10" x14ac:dyDescent="0.2">
      <c r="B29" s="50" t="s">
        <v>129</v>
      </c>
      <c r="C29" s="51"/>
      <c r="D29" s="51"/>
      <c r="E29" s="52"/>
      <c r="F29" s="51"/>
      <c r="G29" s="51"/>
      <c r="H29" s="51"/>
    </row>
    <row r="30" spans="2:10" x14ac:dyDescent="0.2">
      <c r="B30" s="51" t="s">
        <v>155</v>
      </c>
      <c r="C30" s="51" t="s">
        <v>156</v>
      </c>
      <c r="D30" s="51"/>
      <c r="E30" s="52"/>
      <c r="F30" s="51"/>
      <c r="G30" s="51"/>
      <c r="H30" s="52"/>
    </row>
    <row r="31" spans="2:10" x14ac:dyDescent="0.2">
      <c r="B31" s="53" t="s">
        <v>157</v>
      </c>
      <c r="C31" s="51" t="s">
        <v>158</v>
      </c>
      <c r="D31" s="54" t="s">
        <v>159</v>
      </c>
      <c r="E31" s="52"/>
      <c r="F31" s="53"/>
      <c r="G31" s="51"/>
      <c r="H31" s="52"/>
    </row>
    <row r="32" spans="2:10" x14ac:dyDescent="0.2">
      <c r="B32" s="51" t="s">
        <v>160</v>
      </c>
      <c r="C32" s="51"/>
      <c r="D32" s="51"/>
      <c r="E32" s="52"/>
      <c r="F32" s="51"/>
      <c r="G32" s="51"/>
      <c r="H32" s="52"/>
    </row>
    <row r="33" spans="2:8" x14ac:dyDescent="0.2">
      <c r="B33" s="51" t="s">
        <v>161</v>
      </c>
      <c r="C33" s="51"/>
      <c r="D33" s="52"/>
      <c r="E33" s="52"/>
      <c r="F33" s="51"/>
      <c r="G33" s="51"/>
      <c r="H33" s="51"/>
    </row>
    <row r="34" spans="2:8" x14ac:dyDescent="0.2">
      <c r="B34" s="53" t="s">
        <v>162</v>
      </c>
      <c r="C34" s="51"/>
      <c r="D34" s="51"/>
      <c r="E34" s="52"/>
      <c r="F34" s="51"/>
      <c r="G34" s="52"/>
      <c r="H34" s="51"/>
    </row>
    <row r="35" spans="2:8" x14ac:dyDescent="0.2">
      <c r="B35" s="51"/>
      <c r="C35" s="51"/>
      <c r="D35" s="51"/>
      <c r="E35" s="52"/>
      <c r="F35" s="51"/>
      <c r="G35" s="51"/>
      <c r="H35" s="51"/>
    </row>
    <row r="36" spans="2:8" x14ac:dyDescent="0.2">
      <c r="B36" s="51"/>
      <c r="C36" s="51"/>
      <c r="D36" s="51"/>
      <c r="E36" s="52"/>
      <c r="F36" s="51"/>
      <c r="G36" s="51"/>
      <c r="H36" s="51"/>
    </row>
    <row r="37" spans="2:8" x14ac:dyDescent="0.2">
      <c r="B37" s="55" t="s">
        <v>130</v>
      </c>
      <c r="C37" s="55" t="s">
        <v>163</v>
      </c>
      <c r="D37" s="50"/>
      <c r="E37" s="50"/>
      <c r="F37" s="51"/>
      <c r="G37" s="51"/>
      <c r="H37" s="51"/>
    </row>
    <row r="38" spans="2:8" x14ac:dyDescent="0.2">
      <c r="B38" s="56">
        <v>1997</v>
      </c>
      <c r="C38" s="57">
        <v>15.78</v>
      </c>
      <c r="D38" s="50"/>
      <c r="E38" s="50"/>
      <c r="F38" s="51"/>
      <c r="G38" s="51"/>
      <c r="H38" s="51"/>
    </row>
    <row r="39" spans="2:8" x14ac:dyDescent="0.2">
      <c r="B39" s="56">
        <v>1998</v>
      </c>
      <c r="C39" s="57">
        <v>16.23</v>
      </c>
      <c r="D39" s="50"/>
      <c r="E39" s="50"/>
      <c r="F39" s="51"/>
      <c r="G39" s="51"/>
      <c r="H39" s="51"/>
    </row>
    <row r="40" spans="2:8" x14ac:dyDescent="0.2">
      <c r="B40" s="56">
        <v>1999</v>
      </c>
      <c r="C40" s="57">
        <v>16.399999999999999</v>
      </c>
      <c r="D40" s="50"/>
      <c r="E40" s="50"/>
      <c r="F40" s="51"/>
      <c r="G40" s="51"/>
      <c r="H40" s="51"/>
    </row>
    <row r="41" spans="2:8" x14ac:dyDescent="0.2">
      <c r="B41" s="56">
        <v>2000</v>
      </c>
      <c r="C41" s="57">
        <v>17.09</v>
      </c>
      <c r="D41" s="50"/>
      <c r="E41" s="50"/>
      <c r="F41" s="51"/>
      <c r="G41" s="51"/>
      <c r="H41" s="51"/>
    </row>
    <row r="42" spans="2:8" x14ac:dyDescent="0.2">
      <c r="B42" s="56">
        <v>2001</v>
      </c>
      <c r="C42" s="57">
        <v>17.57</v>
      </c>
      <c r="D42" s="50"/>
      <c r="E42" s="50"/>
      <c r="F42" s="51"/>
      <c r="G42" s="51"/>
      <c r="H42" s="51"/>
    </row>
    <row r="43" spans="2:8" x14ac:dyDescent="0.2">
      <c r="B43" s="56">
        <v>2002</v>
      </c>
      <c r="C43" s="58">
        <v>17.97</v>
      </c>
      <c r="D43" s="59"/>
      <c r="E43" s="59"/>
      <c r="F43" s="51"/>
      <c r="G43" s="51"/>
      <c r="H43" s="51"/>
    </row>
    <row r="44" spans="2:8" x14ac:dyDescent="0.2">
      <c r="B44" s="56">
        <v>2003</v>
      </c>
      <c r="C44" s="58">
        <v>18.5</v>
      </c>
      <c r="D44" s="59"/>
      <c r="E44" s="59"/>
      <c r="F44" s="51"/>
      <c r="G44" s="51"/>
      <c r="H44" s="51"/>
    </row>
    <row r="45" spans="2:8" x14ac:dyDescent="0.2">
      <c r="B45" s="56">
        <v>2004</v>
      </c>
      <c r="C45" s="58">
        <v>19.170000000000002</v>
      </c>
      <c r="D45" s="59"/>
      <c r="E45" s="59"/>
      <c r="F45" s="51"/>
      <c r="G45" s="51"/>
      <c r="H45" s="51"/>
    </row>
    <row r="46" spans="2:8" x14ac:dyDescent="0.2">
      <c r="B46" s="56">
        <v>2005</v>
      </c>
      <c r="C46" s="58">
        <v>19.670000000000002</v>
      </c>
      <c r="D46" s="59"/>
      <c r="E46" s="59"/>
      <c r="F46" s="51"/>
      <c r="G46" s="51"/>
      <c r="H46" s="51"/>
    </row>
    <row r="47" spans="2:8" x14ac:dyDescent="0.2">
      <c r="B47" s="56">
        <v>2006</v>
      </c>
      <c r="C47" s="58">
        <v>19.600000000000001</v>
      </c>
      <c r="D47" s="59"/>
      <c r="E47" s="59"/>
      <c r="F47" s="51"/>
      <c r="G47" s="51"/>
      <c r="H47" s="51"/>
    </row>
    <row r="48" spans="2:8" x14ac:dyDescent="0.2">
      <c r="B48" s="56">
        <v>2007</v>
      </c>
      <c r="C48" s="58">
        <v>19.55</v>
      </c>
      <c r="D48" s="59"/>
      <c r="E48" s="59"/>
      <c r="F48" s="51"/>
      <c r="G48" s="51"/>
      <c r="H48" s="51"/>
    </row>
    <row r="49" spans="2:8" x14ac:dyDescent="0.2">
      <c r="B49" s="56">
        <v>2008</v>
      </c>
      <c r="C49" s="58">
        <v>19.5</v>
      </c>
      <c r="D49" s="59"/>
      <c r="E49" s="59"/>
      <c r="F49" s="60">
        <v>2011</v>
      </c>
      <c r="G49" s="51"/>
      <c r="H49" s="50">
        <v>2012</v>
      </c>
    </row>
    <row r="50" spans="2:8" x14ac:dyDescent="0.2">
      <c r="B50" s="56">
        <v>2009</v>
      </c>
      <c r="C50" s="58">
        <v>20.3</v>
      </c>
      <c r="D50" s="52"/>
      <c r="E50" s="59" t="s">
        <v>164</v>
      </c>
      <c r="F50" s="61">
        <v>21.39</v>
      </c>
      <c r="G50" s="52"/>
      <c r="H50" s="62">
        <v>22.68</v>
      </c>
    </row>
    <row r="51" spans="2:8" x14ac:dyDescent="0.2">
      <c r="B51" s="56">
        <v>2010</v>
      </c>
      <c r="C51" s="63">
        <v>21.07</v>
      </c>
      <c r="D51" s="60"/>
      <c r="E51" s="59" t="s">
        <v>165</v>
      </c>
      <c r="F51" s="61">
        <v>21.1</v>
      </c>
      <c r="G51" s="51"/>
      <c r="H51" s="51"/>
    </row>
    <row r="52" spans="2:8" x14ac:dyDescent="0.2">
      <c r="B52" s="56">
        <v>2011</v>
      </c>
      <c r="C52" s="64">
        <v>21.54</v>
      </c>
      <c r="D52" s="60"/>
      <c r="E52" s="59" t="s">
        <v>166</v>
      </c>
      <c r="F52" s="61">
        <v>21.34</v>
      </c>
      <c r="G52" s="51"/>
      <c r="H52" s="51"/>
    </row>
    <row r="53" spans="2:8" x14ac:dyDescent="0.2">
      <c r="B53" s="56">
        <v>2012</v>
      </c>
      <c r="C53" s="64">
        <v>21.45</v>
      </c>
      <c r="D53" s="60"/>
      <c r="E53" s="59" t="s">
        <v>167</v>
      </c>
      <c r="F53" s="61">
        <v>21.25</v>
      </c>
      <c r="G53" s="51"/>
      <c r="H53" s="51"/>
    </row>
    <row r="54" spans="2:8" x14ac:dyDescent="0.2">
      <c r="B54" s="56">
        <v>2013</v>
      </c>
      <c r="C54" s="64">
        <v>21.4</v>
      </c>
      <c r="D54" s="60"/>
      <c r="E54" s="59" t="s">
        <v>168</v>
      </c>
      <c r="F54" s="61">
        <v>21.47</v>
      </c>
      <c r="G54" s="51"/>
      <c r="H54" s="51"/>
    </row>
    <row r="55" spans="2:8" x14ac:dyDescent="0.2">
      <c r="B55" s="56">
        <v>2014</v>
      </c>
      <c r="C55" s="64">
        <v>21.49</v>
      </c>
      <c r="D55" s="60"/>
      <c r="E55" s="59" t="s">
        <v>169</v>
      </c>
      <c r="F55" s="61">
        <v>21.6</v>
      </c>
      <c r="G55" s="51"/>
      <c r="H55" s="51"/>
    </row>
    <row r="56" spans="2:8" x14ac:dyDescent="0.2">
      <c r="B56" s="56">
        <v>2015</v>
      </c>
      <c r="C56" s="64">
        <v>21.76</v>
      </c>
      <c r="D56" s="60"/>
      <c r="E56" s="59" t="s">
        <v>170</v>
      </c>
      <c r="F56" s="61">
        <v>21.8</v>
      </c>
      <c r="G56" s="52"/>
      <c r="H56" s="51"/>
    </row>
    <row r="57" spans="2:8" x14ac:dyDescent="0.2">
      <c r="B57" s="56">
        <v>2016</v>
      </c>
      <c r="C57" s="64">
        <v>22.71</v>
      </c>
      <c r="D57" s="60"/>
      <c r="E57" s="59" t="s">
        <v>171</v>
      </c>
      <c r="F57" s="61">
        <v>21.46</v>
      </c>
      <c r="G57" s="52"/>
      <c r="H57" s="51"/>
    </row>
    <row r="58" spans="2:8" x14ac:dyDescent="0.2">
      <c r="B58" s="56">
        <v>2017</v>
      </c>
      <c r="C58" s="64">
        <v>24.29</v>
      </c>
      <c r="D58" s="60"/>
      <c r="E58" s="59" t="s">
        <v>172</v>
      </c>
      <c r="F58" s="61">
        <v>21.5</v>
      </c>
      <c r="G58" s="51"/>
      <c r="H58" s="51"/>
    </row>
    <row r="59" spans="2:8" x14ac:dyDescent="0.2">
      <c r="B59" s="56">
        <v>2018</v>
      </c>
      <c r="C59" s="64">
        <v>25.46</v>
      </c>
      <c r="D59" s="60"/>
      <c r="E59" s="59" t="s">
        <v>173</v>
      </c>
      <c r="F59" s="61">
        <v>21.49</v>
      </c>
      <c r="G59" s="52"/>
      <c r="H59" s="51"/>
    </row>
    <row r="60" spans="2:8" x14ac:dyDescent="0.2">
      <c r="B60" s="56">
        <v>2019</v>
      </c>
      <c r="C60" s="64">
        <v>25.46</v>
      </c>
      <c r="D60" s="60"/>
      <c r="E60" s="59" t="s">
        <v>174</v>
      </c>
      <c r="F60" s="61">
        <v>21.33</v>
      </c>
      <c r="G60" s="52"/>
    </row>
    <row r="61" spans="2:8" x14ac:dyDescent="0.2">
      <c r="B61" s="56">
        <v>2020</v>
      </c>
      <c r="C61" s="64">
        <v>26.03</v>
      </c>
      <c r="D61" s="60"/>
      <c r="E61" s="59" t="s">
        <v>175</v>
      </c>
      <c r="F61" s="65">
        <v>22.67</v>
      </c>
      <c r="G61" s="51" t="s">
        <v>176</v>
      </c>
    </row>
    <row r="62" spans="2:8" x14ac:dyDescent="0.2">
      <c r="B62" s="56">
        <v>2021</v>
      </c>
      <c r="C62" s="64"/>
      <c r="D62" s="66" t="s">
        <v>177</v>
      </c>
      <c r="E62" s="67"/>
      <c r="F62" s="68">
        <v>21.54</v>
      </c>
      <c r="G62" t="s">
        <v>176</v>
      </c>
    </row>
    <row r="63" spans="2:8" x14ac:dyDescent="0.2">
      <c r="B63" s="56">
        <v>2022</v>
      </c>
      <c r="C63" s="64"/>
      <c r="D63" s="69" t="s">
        <v>178</v>
      </c>
      <c r="E63" s="66"/>
      <c r="F63" s="51"/>
      <c r="G63" s="51"/>
      <c r="H63" s="51"/>
    </row>
    <row r="64" spans="2:8" x14ac:dyDescent="0.2">
      <c r="B64" s="56"/>
      <c r="C64" s="56"/>
      <c r="D64" s="69"/>
      <c r="E64" s="66"/>
      <c r="F64" s="51"/>
      <c r="G64" s="51"/>
      <c r="H64" s="51"/>
    </row>
  </sheetData>
  <hyperlinks>
    <hyperlink ref="D31" r:id="rId1" xr:uid="{BEAC0501-2ADD-4768-9277-E5B626E4EE09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DD93-48F1-4D9B-A60A-77C207595497}">
  <dimension ref="B2:Y57"/>
  <sheetViews>
    <sheetView zoomScale="158" zoomScaleNormal="158" workbookViewId="0">
      <selection activeCell="V13" sqref="V13:V14"/>
    </sheetView>
  </sheetViews>
  <sheetFormatPr baseColWidth="10" defaultColWidth="8.83203125" defaultRowHeight="15" x14ac:dyDescent="0.2"/>
  <cols>
    <col min="2" max="2" width="27.5" bestFit="1" customWidth="1"/>
    <col min="3" max="3" width="16.5" bestFit="1" customWidth="1"/>
    <col min="4" max="4" width="5.5" customWidth="1"/>
    <col min="6" max="6" width="18.5" bestFit="1" customWidth="1"/>
    <col min="11" max="11" width="15.5" customWidth="1"/>
    <col min="13" max="13" width="15" customWidth="1"/>
    <col min="14" max="14" width="17.5" customWidth="1"/>
    <col min="16" max="16" width="13" customWidth="1"/>
    <col min="22" max="22" width="17.5" customWidth="1"/>
  </cols>
  <sheetData>
    <row r="2" spans="2:25" x14ac:dyDescent="0.2">
      <c r="B2" t="s">
        <v>179</v>
      </c>
      <c r="C2">
        <v>2011</v>
      </c>
    </row>
    <row r="3" spans="2:25" ht="38" thickBot="1" x14ac:dyDescent="0.25">
      <c r="B3" s="34" t="s">
        <v>49</v>
      </c>
      <c r="C3" s="81" t="s">
        <v>180</v>
      </c>
      <c r="D3" s="7"/>
      <c r="E3" s="82" t="s">
        <v>181</v>
      </c>
      <c r="F3" s="83" t="s">
        <v>182</v>
      </c>
      <c r="G3" s="84" t="s">
        <v>183</v>
      </c>
      <c r="H3" s="84" t="s">
        <v>184</v>
      </c>
      <c r="I3" s="85" t="s">
        <v>185</v>
      </c>
      <c r="J3" s="86" t="s">
        <v>186</v>
      </c>
      <c r="K3" s="87" t="s">
        <v>187</v>
      </c>
      <c r="L3" s="88" t="s">
        <v>188</v>
      </c>
      <c r="M3" s="82" t="s">
        <v>189</v>
      </c>
      <c r="N3" s="89" t="s">
        <v>190</v>
      </c>
      <c r="O3" s="90" t="s">
        <v>191</v>
      </c>
      <c r="P3" s="91" t="s">
        <v>192</v>
      </c>
      <c r="Q3" s="90" t="s">
        <v>193</v>
      </c>
      <c r="R3" s="89" t="s">
        <v>194</v>
      </c>
      <c r="S3" s="91" t="str">
        <f>"Installed Cost in "&amp;[1]DCFROR!B35&amp;"$"</f>
        <v>Installed Cost in 2011$</v>
      </c>
      <c r="T3" s="91" t="str">
        <f>"Scaled Uninstalled Cost in "&amp;[1]DCFROR!B35&amp;"$"</f>
        <v>Scaled Uninstalled Cost in 2011$</v>
      </c>
      <c r="U3" s="92"/>
      <c r="V3" s="90" t="s">
        <v>195</v>
      </c>
      <c r="W3" s="82" t="s">
        <v>196</v>
      </c>
      <c r="X3" s="91" t="str">
        <f>"CE Index "&amp;[1]DCFROR!B35&amp;""</f>
        <v>CE Index 2011</v>
      </c>
      <c r="Y3" s="90"/>
    </row>
    <row r="4" spans="2:25" x14ac:dyDescent="0.2">
      <c r="B4" s="5" t="s">
        <v>50</v>
      </c>
      <c r="C4" s="28">
        <v>150000</v>
      </c>
      <c r="D4" s="5"/>
      <c r="F4" t="s">
        <v>197</v>
      </c>
      <c r="G4">
        <v>461.54</v>
      </c>
      <c r="H4">
        <v>461.54</v>
      </c>
      <c r="I4" t="s">
        <v>198</v>
      </c>
      <c r="J4">
        <f>H4/G4</f>
        <v>1</v>
      </c>
      <c r="K4" s="21">
        <f>C4</f>
        <v>150000</v>
      </c>
      <c r="L4">
        <v>2020</v>
      </c>
      <c r="M4" t="s">
        <v>199</v>
      </c>
      <c r="N4" s="21">
        <f>C4</f>
        <v>150000</v>
      </c>
      <c r="O4">
        <v>0.6</v>
      </c>
      <c r="P4" s="21">
        <f>N4*J4^O4</f>
        <v>150000</v>
      </c>
      <c r="Q4">
        <v>4.28</v>
      </c>
      <c r="R4">
        <f>IF(M4="I",N4,N4*Q4)</f>
        <v>150000</v>
      </c>
      <c r="S4">
        <f>R4*X4/W4</f>
        <v>147259.91888018054</v>
      </c>
      <c r="V4" t="s">
        <v>200</v>
      </c>
      <c r="W4">
        <f>VLOOKUP(L4,B27:C57,2,FALSE)</f>
        <v>596.20000000000005</v>
      </c>
      <c r="X4">
        <f t="shared" ref="X4:X12" si="0">VLOOKUP($C$2,B27:C57,2,FALSE)</f>
        <v>585.30909090909097</v>
      </c>
    </row>
    <row r="5" spans="2:25" x14ac:dyDescent="0.2">
      <c r="B5" s="5" t="s">
        <v>51</v>
      </c>
      <c r="C5" s="28">
        <v>175000</v>
      </c>
      <c r="D5" s="5"/>
      <c r="G5">
        <v>461.54</v>
      </c>
      <c r="H5">
        <v>461.54</v>
      </c>
      <c r="J5">
        <f t="shared" ref="J5:J17" si="1">H5/G5</f>
        <v>1</v>
      </c>
      <c r="K5" s="21">
        <f t="shared" ref="K5:K17" si="2">C5</f>
        <v>175000</v>
      </c>
      <c r="L5">
        <v>2020</v>
      </c>
      <c r="M5" t="s">
        <v>199</v>
      </c>
      <c r="N5" s="21">
        <f t="shared" ref="N5:N17" si="3">C5</f>
        <v>175000</v>
      </c>
      <c r="O5">
        <v>0.6</v>
      </c>
      <c r="P5" s="21">
        <f t="shared" ref="P5:P17" si="4">N5*J5^O5</f>
        <v>175000</v>
      </c>
      <c r="Q5">
        <v>4.28</v>
      </c>
      <c r="R5">
        <f t="shared" ref="R5:R17" si="5">IF(M5="I",N5,N5*Q5)</f>
        <v>175000</v>
      </c>
      <c r="S5">
        <f t="shared" ref="S5:S17" si="6">R5*X5/W5</f>
        <v>171803.23869354397</v>
      </c>
      <c r="V5" t="s">
        <v>200</v>
      </c>
      <c r="W5">
        <f t="shared" ref="W5:W17" si="7">VLOOKUP(L5,B28:C58,2,FALSE)</f>
        <v>596.20000000000005</v>
      </c>
      <c r="X5">
        <f t="shared" si="0"/>
        <v>585.30909090909097</v>
      </c>
    </row>
    <row r="6" spans="2:25" x14ac:dyDescent="0.2">
      <c r="B6" s="5" t="s">
        <v>52</v>
      </c>
      <c r="C6" s="28">
        <v>220000</v>
      </c>
      <c r="D6" s="5"/>
      <c r="G6">
        <v>461.54</v>
      </c>
      <c r="H6">
        <v>461.54</v>
      </c>
      <c r="J6">
        <f t="shared" si="1"/>
        <v>1</v>
      </c>
      <c r="K6" s="21">
        <f t="shared" si="2"/>
        <v>220000</v>
      </c>
      <c r="L6">
        <v>2020</v>
      </c>
      <c r="M6" t="s">
        <v>199</v>
      </c>
      <c r="N6" s="21">
        <f t="shared" si="3"/>
        <v>220000</v>
      </c>
      <c r="O6">
        <v>0.6</v>
      </c>
      <c r="P6" s="21">
        <f t="shared" si="4"/>
        <v>220000</v>
      </c>
      <c r="Q6">
        <v>4.28</v>
      </c>
      <c r="R6">
        <f t="shared" si="5"/>
        <v>220000</v>
      </c>
      <c r="S6">
        <f t="shared" si="6"/>
        <v>215981.21435759813</v>
      </c>
      <c r="V6" t="s">
        <v>200</v>
      </c>
      <c r="W6">
        <f t="shared" si="7"/>
        <v>596.20000000000005</v>
      </c>
      <c r="X6">
        <f t="shared" si="0"/>
        <v>585.30909090909097</v>
      </c>
    </row>
    <row r="7" spans="2:25" x14ac:dyDescent="0.2">
      <c r="B7" s="5" t="s">
        <v>53</v>
      </c>
      <c r="C7" s="28">
        <v>400000</v>
      </c>
      <c r="D7" s="5"/>
      <c r="G7">
        <v>461.54</v>
      </c>
      <c r="H7">
        <v>461.54</v>
      </c>
      <c r="J7">
        <f t="shared" si="1"/>
        <v>1</v>
      </c>
      <c r="K7" s="21">
        <f t="shared" si="2"/>
        <v>400000</v>
      </c>
      <c r="L7">
        <v>2020</v>
      </c>
      <c r="M7" t="s">
        <v>199</v>
      </c>
      <c r="N7" s="21">
        <f t="shared" si="3"/>
        <v>400000</v>
      </c>
      <c r="O7">
        <v>0.6</v>
      </c>
      <c r="P7" s="21">
        <f t="shared" si="4"/>
        <v>400000</v>
      </c>
      <c r="Q7">
        <v>4.28</v>
      </c>
      <c r="R7">
        <f t="shared" si="5"/>
        <v>400000</v>
      </c>
      <c r="S7">
        <f t="shared" si="6"/>
        <v>392693.11701381474</v>
      </c>
      <c r="V7" t="s">
        <v>200</v>
      </c>
      <c r="W7">
        <f t="shared" si="7"/>
        <v>596.20000000000005</v>
      </c>
      <c r="X7">
        <f t="shared" si="0"/>
        <v>585.30909090909097</v>
      </c>
    </row>
    <row r="8" spans="2:25" x14ac:dyDescent="0.2">
      <c r="B8" s="5" t="s">
        <v>54</v>
      </c>
      <c r="C8" s="28">
        <v>280000</v>
      </c>
      <c r="D8" s="5"/>
      <c r="G8">
        <v>461.54</v>
      </c>
      <c r="H8">
        <v>461.54</v>
      </c>
      <c r="J8">
        <f t="shared" si="1"/>
        <v>1</v>
      </c>
      <c r="K8" s="21">
        <f t="shared" si="2"/>
        <v>280000</v>
      </c>
      <c r="L8">
        <v>2020</v>
      </c>
      <c r="M8" t="s">
        <v>199</v>
      </c>
      <c r="N8" s="21">
        <f t="shared" si="3"/>
        <v>280000</v>
      </c>
      <c r="O8">
        <v>0.6</v>
      </c>
      <c r="P8" s="21">
        <f t="shared" si="4"/>
        <v>280000</v>
      </c>
      <c r="Q8">
        <v>4.28</v>
      </c>
      <c r="R8">
        <f t="shared" si="5"/>
        <v>280000</v>
      </c>
      <c r="S8">
        <f t="shared" si="6"/>
        <v>274885.18190967035</v>
      </c>
      <c r="V8" t="s">
        <v>200</v>
      </c>
      <c r="W8">
        <f t="shared" si="7"/>
        <v>596.20000000000005</v>
      </c>
      <c r="X8">
        <f t="shared" si="0"/>
        <v>585.30909090909097</v>
      </c>
    </row>
    <row r="9" spans="2:25" x14ac:dyDescent="0.2">
      <c r="B9" s="5" t="s">
        <v>55</v>
      </c>
      <c r="C9" s="28">
        <v>35000</v>
      </c>
      <c r="D9" s="5"/>
      <c r="G9">
        <v>461.54</v>
      </c>
      <c r="H9">
        <v>461.54</v>
      </c>
      <c r="J9">
        <f t="shared" si="1"/>
        <v>1</v>
      </c>
      <c r="K9" s="21">
        <f t="shared" si="2"/>
        <v>35000</v>
      </c>
      <c r="L9">
        <v>2020</v>
      </c>
      <c r="M9" t="s">
        <v>199</v>
      </c>
      <c r="N9" s="21">
        <f t="shared" si="3"/>
        <v>35000</v>
      </c>
      <c r="O9">
        <v>0.6</v>
      </c>
      <c r="P9" s="21">
        <f t="shared" si="4"/>
        <v>35000</v>
      </c>
      <c r="Q9">
        <v>4.28</v>
      </c>
      <c r="R9">
        <f t="shared" si="5"/>
        <v>35000</v>
      </c>
      <c r="S9">
        <f t="shared" si="6"/>
        <v>34360.647738708794</v>
      </c>
      <c r="V9" t="s">
        <v>200</v>
      </c>
      <c r="W9">
        <f t="shared" si="7"/>
        <v>596.20000000000005</v>
      </c>
      <c r="X9">
        <f t="shared" si="0"/>
        <v>585.30909090909097</v>
      </c>
    </row>
    <row r="10" spans="2:25" x14ac:dyDescent="0.2">
      <c r="B10" s="5" t="s">
        <v>56</v>
      </c>
      <c r="C10" s="28">
        <v>128000</v>
      </c>
      <c r="D10" s="5"/>
      <c r="G10">
        <v>461.54</v>
      </c>
      <c r="H10">
        <v>461.54</v>
      </c>
      <c r="J10">
        <f t="shared" si="1"/>
        <v>1</v>
      </c>
      <c r="K10" s="21">
        <f t="shared" si="2"/>
        <v>128000</v>
      </c>
      <c r="L10">
        <v>2020</v>
      </c>
      <c r="M10" t="s">
        <v>199</v>
      </c>
      <c r="N10" s="21">
        <f t="shared" si="3"/>
        <v>128000</v>
      </c>
      <c r="O10">
        <v>0.6</v>
      </c>
      <c r="P10" s="21">
        <f t="shared" si="4"/>
        <v>128000</v>
      </c>
      <c r="Q10">
        <v>4.28</v>
      </c>
      <c r="R10">
        <f t="shared" si="5"/>
        <v>128000</v>
      </c>
      <c r="S10">
        <f t="shared" si="6"/>
        <v>125661.79744442072</v>
      </c>
      <c r="V10" t="s">
        <v>200</v>
      </c>
      <c r="W10">
        <f t="shared" si="7"/>
        <v>596.20000000000005</v>
      </c>
      <c r="X10">
        <f t="shared" si="0"/>
        <v>585.30909090909097</v>
      </c>
    </row>
    <row r="11" spans="2:25" x14ac:dyDescent="0.2">
      <c r="B11" s="5" t="s">
        <v>57</v>
      </c>
      <c r="C11" s="28">
        <v>225000</v>
      </c>
      <c r="D11" s="5"/>
      <c r="G11">
        <v>461.54</v>
      </c>
      <c r="H11">
        <v>461.54</v>
      </c>
      <c r="J11">
        <f t="shared" si="1"/>
        <v>1</v>
      </c>
      <c r="K11" s="21">
        <f t="shared" si="2"/>
        <v>225000</v>
      </c>
      <c r="L11">
        <v>2020</v>
      </c>
      <c r="M11" t="s">
        <v>199</v>
      </c>
      <c r="N11" s="21">
        <f t="shared" si="3"/>
        <v>225000</v>
      </c>
      <c r="O11">
        <v>0.6</v>
      </c>
      <c r="P11" s="21">
        <f t="shared" si="4"/>
        <v>225000</v>
      </c>
      <c r="Q11">
        <v>4.28</v>
      </c>
      <c r="R11">
        <f t="shared" si="5"/>
        <v>225000</v>
      </c>
      <c r="S11">
        <f t="shared" si="6"/>
        <v>220889.8783202708</v>
      </c>
      <c r="V11" t="s">
        <v>200</v>
      </c>
      <c r="W11">
        <f t="shared" si="7"/>
        <v>596.20000000000005</v>
      </c>
      <c r="X11">
        <f t="shared" si="0"/>
        <v>585.30909090909097</v>
      </c>
    </row>
    <row r="12" spans="2:25" x14ac:dyDescent="0.2">
      <c r="B12" s="5" t="s">
        <v>58</v>
      </c>
      <c r="C12" s="28">
        <v>550000</v>
      </c>
      <c r="D12" s="5"/>
      <c r="G12">
        <v>461.54</v>
      </c>
      <c r="H12">
        <v>461.54</v>
      </c>
      <c r="J12">
        <f t="shared" si="1"/>
        <v>1</v>
      </c>
      <c r="K12" s="21">
        <f t="shared" si="2"/>
        <v>550000</v>
      </c>
      <c r="L12">
        <v>2020</v>
      </c>
      <c r="M12" t="s">
        <v>199</v>
      </c>
      <c r="N12" s="21">
        <f t="shared" si="3"/>
        <v>550000</v>
      </c>
      <c r="O12">
        <v>0.6</v>
      </c>
      <c r="P12" s="21">
        <f t="shared" si="4"/>
        <v>550000</v>
      </c>
      <c r="Q12">
        <v>4.28</v>
      </c>
      <c r="R12">
        <f t="shared" si="5"/>
        <v>550000</v>
      </c>
      <c r="S12">
        <f t="shared" si="6"/>
        <v>539953.03589399531</v>
      </c>
      <c r="V12" t="s">
        <v>200</v>
      </c>
      <c r="W12">
        <f t="shared" si="7"/>
        <v>596.20000000000005</v>
      </c>
      <c r="X12">
        <f t="shared" si="0"/>
        <v>585.30909090909097</v>
      </c>
    </row>
    <row r="13" spans="2:25" x14ac:dyDescent="0.2">
      <c r="B13" s="5"/>
      <c r="C13" s="28"/>
      <c r="D13" s="5"/>
      <c r="K13" s="21"/>
      <c r="N13" s="21"/>
      <c r="P13" s="21"/>
    </row>
    <row r="14" spans="2:25" ht="16" thickBot="1" x14ac:dyDescent="0.25">
      <c r="B14" s="34" t="s">
        <v>59</v>
      </c>
      <c r="C14" s="35"/>
      <c r="D14" s="34"/>
      <c r="K14" s="21"/>
      <c r="N14" s="21"/>
      <c r="P14" s="21"/>
    </row>
    <row r="15" spans="2:25" x14ac:dyDescent="0.2">
      <c r="B15" s="5" t="s">
        <v>61</v>
      </c>
      <c r="C15" s="28">
        <v>50000</v>
      </c>
      <c r="D15" s="5"/>
      <c r="G15">
        <v>461.54</v>
      </c>
      <c r="H15">
        <v>461.54</v>
      </c>
      <c r="J15">
        <f t="shared" si="1"/>
        <v>1</v>
      </c>
      <c r="K15" s="21">
        <f t="shared" si="2"/>
        <v>50000</v>
      </c>
      <c r="L15">
        <v>2020</v>
      </c>
      <c r="M15" t="s">
        <v>199</v>
      </c>
      <c r="N15" s="21">
        <f t="shared" si="3"/>
        <v>50000</v>
      </c>
      <c r="O15">
        <v>0.6</v>
      </c>
      <c r="P15" s="21">
        <f t="shared" si="4"/>
        <v>50000</v>
      </c>
      <c r="Q15">
        <v>4.28</v>
      </c>
      <c r="R15">
        <f t="shared" si="5"/>
        <v>50000</v>
      </c>
      <c r="S15">
        <f t="shared" si="6"/>
        <v>49086.639626726843</v>
      </c>
      <c r="V15" t="s">
        <v>200</v>
      </c>
      <c r="W15">
        <f t="shared" si="7"/>
        <v>596.20000000000005</v>
      </c>
      <c r="X15">
        <f>VLOOKUP($C$2,B38:C68,2,FALSE)</f>
        <v>585.30909090909097</v>
      </c>
    </row>
    <row r="16" spans="2:25" x14ac:dyDescent="0.2">
      <c r="B16" s="5" t="s">
        <v>62</v>
      </c>
      <c r="C16" s="28">
        <v>350000</v>
      </c>
      <c r="D16" s="5"/>
      <c r="G16">
        <v>461.54</v>
      </c>
      <c r="H16">
        <v>461.54</v>
      </c>
      <c r="J16">
        <f t="shared" si="1"/>
        <v>1</v>
      </c>
      <c r="K16" s="21">
        <f t="shared" si="2"/>
        <v>350000</v>
      </c>
      <c r="L16">
        <v>2020</v>
      </c>
      <c r="M16" t="s">
        <v>199</v>
      </c>
      <c r="N16" s="21">
        <f t="shared" si="3"/>
        <v>350000</v>
      </c>
      <c r="O16">
        <v>0.6</v>
      </c>
      <c r="P16" s="21">
        <f t="shared" si="4"/>
        <v>350000</v>
      </c>
      <c r="Q16">
        <v>4.28</v>
      </c>
      <c r="R16">
        <f t="shared" si="5"/>
        <v>350000</v>
      </c>
      <c r="S16">
        <f t="shared" si="6"/>
        <v>343606.47738708794</v>
      </c>
      <c r="V16" t="s">
        <v>200</v>
      </c>
      <c r="W16">
        <f t="shared" si="7"/>
        <v>596.20000000000005</v>
      </c>
      <c r="X16">
        <f>VLOOKUP($C$2,B39:C69,2,FALSE)</f>
        <v>585.30909090909097</v>
      </c>
    </row>
    <row r="17" spans="2:24" x14ac:dyDescent="0.2">
      <c r="B17" s="5" t="s">
        <v>63</v>
      </c>
      <c r="C17" s="28">
        <v>1000000</v>
      </c>
      <c r="D17" s="5"/>
      <c r="G17">
        <v>461.54</v>
      </c>
      <c r="H17">
        <v>461.54</v>
      </c>
      <c r="J17">
        <f t="shared" si="1"/>
        <v>1</v>
      </c>
      <c r="K17" s="21">
        <f t="shared" si="2"/>
        <v>1000000</v>
      </c>
      <c r="L17">
        <v>2020</v>
      </c>
      <c r="M17" t="s">
        <v>199</v>
      </c>
      <c r="N17" s="21">
        <f t="shared" si="3"/>
        <v>1000000</v>
      </c>
      <c r="O17">
        <v>0.6</v>
      </c>
      <c r="P17" s="21">
        <f t="shared" si="4"/>
        <v>1000000</v>
      </c>
      <c r="Q17">
        <v>4.28</v>
      </c>
      <c r="R17">
        <f t="shared" si="5"/>
        <v>1000000</v>
      </c>
      <c r="S17">
        <f t="shared" si="6"/>
        <v>981732.79253453703</v>
      </c>
      <c r="V17" t="s">
        <v>200</v>
      </c>
      <c r="W17">
        <f t="shared" si="7"/>
        <v>596.20000000000005</v>
      </c>
      <c r="X17">
        <f>VLOOKUP($C$2,B40:C70,2,FALSE)</f>
        <v>585.30909090909097</v>
      </c>
    </row>
    <row r="25" spans="2:24" x14ac:dyDescent="0.2">
      <c r="B25" t="s">
        <v>201</v>
      </c>
    </row>
    <row r="26" spans="2:24" x14ac:dyDescent="0.2">
      <c r="B26" t="s">
        <v>130</v>
      </c>
      <c r="C26" t="s">
        <v>131</v>
      </c>
    </row>
    <row r="27" spans="2:24" x14ac:dyDescent="0.2">
      <c r="B27">
        <v>1990</v>
      </c>
      <c r="C27">
        <v>357.6</v>
      </c>
    </row>
    <row r="28" spans="2:24" x14ac:dyDescent="0.2">
      <c r="B28">
        <v>1991</v>
      </c>
      <c r="C28">
        <v>361.3</v>
      </c>
    </row>
    <row r="29" spans="2:24" x14ac:dyDescent="0.2">
      <c r="B29">
        <v>1992</v>
      </c>
      <c r="C29">
        <v>358.2</v>
      </c>
    </row>
    <row r="30" spans="2:24" x14ac:dyDescent="0.2">
      <c r="B30">
        <v>1993</v>
      </c>
      <c r="C30">
        <v>359.2</v>
      </c>
    </row>
    <row r="31" spans="2:24" x14ac:dyDescent="0.2">
      <c r="B31">
        <v>1994</v>
      </c>
      <c r="C31">
        <v>368.1</v>
      </c>
    </row>
    <row r="32" spans="2:24" x14ac:dyDescent="0.2">
      <c r="B32">
        <v>1995</v>
      </c>
      <c r="C32">
        <v>381.1</v>
      </c>
    </row>
    <row r="33" spans="2:3" x14ac:dyDescent="0.2">
      <c r="B33">
        <v>1996</v>
      </c>
      <c r="C33">
        <v>381.7</v>
      </c>
    </row>
    <row r="34" spans="2:3" x14ac:dyDescent="0.2">
      <c r="B34">
        <v>1997</v>
      </c>
      <c r="C34">
        <v>386.5</v>
      </c>
    </row>
    <row r="35" spans="2:3" x14ac:dyDescent="0.2">
      <c r="B35">
        <v>1998</v>
      </c>
      <c r="C35">
        <v>389.5</v>
      </c>
    </row>
    <row r="36" spans="2:3" x14ac:dyDescent="0.2">
      <c r="B36">
        <v>1999</v>
      </c>
      <c r="C36">
        <v>391.3</v>
      </c>
    </row>
    <row r="37" spans="2:3" x14ac:dyDescent="0.2">
      <c r="B37">
        <v>2000</v>
      </c>
      <c r="C37">
        <v>394.1</v>
      </c>
    </row>
    <row r="38" spans="2:3" x14ac:dyDescent="0.2">
      <c r="B38">
        <v>2001</v>
      </c>
      <c r="C38">
        <v>394.3</v>
      </c>
    </row>
    <row r="39" spans="2:3" x14ac:dyDescent="0.2">
      <c r="B39">
        <v>2002</v>
      </c>
      <c r="C39">
        <v>395.6</v>
      </c>
    </row>
    <row r="40" spans="2:3" x14ac:dyDescent="0.2">
      <c r="B40">
        <v>2003</v>
      </c>
      <c r="C40">
        <v>402</v>
      </c>
    </row>
    <row r="41" spans="2:3" x14ac:dyDescent="0.2">
      <c r="B41">
        <v>2004</v>
      </c>
      <c r="C41">
        <v>444.2</v>
      </c>
    </row>
    <row r="42" spans="2:3" x14ac:dyDescent="0.2">
      <c r="B42">
        <v>2005</v>
      </c>
      <c r="C42">
        <v>468.2</v>
      </c>
    </row>
    <row r="43" spans="2:3" x14ac:dyDescent="0.2">
      <c r="B43">
        <v>2006</v>
      </c>
      <c r="C43">
        <v>499.6</v>
      </c>
    </row>
    <row r="44" spans="2:3" x14ac:dyDescent="0.2">
      <c r="B44">
        <v>2007</v>
      </c>
      <c r="C44">
        <v>525.4</v>
      </c>
    </row>
    <row r="45" spans="2:3" x14ac:dyDescent="0.2">
      <c r="B45">
        <v>2008</v>
      </c>
      <c r="C45">
        <v>575.4</v>
      </c>
    </row>
    <row r="46" spans="2:3" x14ac:dyDescent="0.2">
      <c r="B46">
        <v>2009</v>
      </c>
      <c r="C46">
        <v>521.9</v>
      </c>
    </row>
    <row r="47" spans="2:3" x14ac:dyDescent="0.2">
      <c r="B47">
        <v>2010</v>
      </c>
      <c r="C47">
        <v>550.79999999999995</v>
      </c>
    </row>
    <row r="48" spans="2:3" x14ac:dyDescent="0.2">
      <c r="B48">
        <v>2011</v>
      </c>
      <c r="C48">
        <v>585.30909090909097</v>
      </c>
    </row>
    <row r="49" spans="2:4" x14ac:dyDescent="0.2">
      <c r="B49">
        <v>2012</v>
      </c>
      <c r="C49">
        <v>584.6</v>
      </c>
    </row>
    <row r="50" spans="2:4" x14ac:dyDescent="0.2">
      <c r="B50">
        <v>2013</v>
      </c>
      <c r="C50">
        <v>567.4</v>
      </c>
    </row>
    <row r="51" spans="2:4" x14ac:dyDescent="0.2">
      <c r="B51">
        <v>2014</v>
      </c>
      <c r="C51">
        <v>576.1</v>
      </c>
    </row>
    <row r="52" spans="2:4" x14ac:dyDescent="0.2">
      <c r="B52">
        <v>2015</v>
      </c>
    </row>
    <row r="53" spans="2:4" x14ac:dyDescent="0.2">
      <c r="B53">
        <v>2016</v>
      </c>
    </row>
    <row r="54" spans="2:4" x14ac:dyDescent="0.2">
      <c r="B54">
        <v>2017</v>
      </c>
      <c r="C54">
        <v>567.5</v>
      </c>
      <c r="D54" t="s">
        <v>134</v>
      </c>
    </row>
    <row r="55" spans="2:4" x14ac:dyDescent="0.2">
      <c r="B55">
        <v>2018</v>
      </c>
    </row>
    <row r="56" spans="2:4" x14ac:dyDescent="0.2">
      <c r="B56">
        <v>2019</v>
      </c>
      <c r="C56">
        <v>607.5</v>
      </c>
    </row>
    <row r="57" spans="2:4" x14ac:dyDescent="0.2">
      <c r="B57">
        <v>2020</v>
      </c>
      <c r="C57">
        <v>596.20000000000005</v>
      </c>
      <c r="D5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Assumptions</vt:lpstr>
      <vt:lpstr>Investment cost </vt:lpstr>
      <vt:lpstr>O&amp;M cost </vt:lpstr>
      <vt:lpstr>Sheet7</vt:lpstr>
      <vt:lpstr>Labor Costs</vt:lpstr>
      <vt:lpstr>Equipment Cost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Olafasakin, Olumide O [M E]</dc:creator>
  <cp:keywords/>
  <dc:description/>
  <cp:lastModifiedBy>Mark Mba Wright</cp:lastModifiedBy>
  <cp:revision/>
  <dcterms:created xsi:type="dcterms:W3CDTF">2021-07-22T04:46:57Z</dcterms:created>
  <dcterms:modified xsi:type="dcterms:W3CDTF">2021-08-20T18:50:35Z</dcterms:modified>
  <cp:category/>
  <cp:contentStatus/>
</cp:coreProperties>
</file>