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markmukherjee/Documents/PythonProjects/PortfolioManagement/Trading_Excel_Files/06_Risk_Management/"/>
    </mc:Choice>
  </mc:AlternateContent>
  <xr:revisionPtr revIDLastSave="0" documentId="13_ncr:1_{951D52C8-AAD9-B644-ACC7-63EA39003E99}" xr6:coauthVersionLast="47" xr6:coauthVersionMax="47" xr10:uidLastSave="{00000000-0000-0000-0000-000000000000}"/>
  <bookViews>
    <workbookView xWindow="-62980" yWindow="500" windowWidth="45340" windowHeight="26480" activeTab="4" xr2:uid="{0DF91E54-4567-43B2-A7AE-C0A8AB47608C}"/>
  </bookViews>
  <sheets>
    <sheet name="Note" sheetId="6" r:id="rId1"/>
    <sheet name="Exposure - Margin Call" sheetId="1" r:id="rId2"/>
    <sheet name="Portfolio Construction" sheetId="3" r:id="rId3"/>
    <sheet name="Portfolio Construction Number" sheetId="5" r:id="rId4"/>
    <sheet name="Portfolio Be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5" l="1"/>
  <c r="L4" i="5" l="1"/>
  <c r="L5" i="5"/>
  <c r="U7" i="5"/>
  <c r="U3" i="5"/>
  <c r="V3" i="5"/>
  <c r="U4" i="5"/>
  <c r="V4" i="5"/>
  <c r="C4" i="4"/>
  <c r="C8" i="4" s="1"/>
  <c r="L19" i="4"/>
  <c r="N16" i="4" s="1"/>
  <c r="C19" i="4"/>
  <c r="E16" i="4" s="1"/>
  <c r="I9" i="1"/>
  <c r="H9" i="1" s="1"/>
  <c r="H16" i="1"/>
  <c r="H32" i="1"/>
  <c r="H23" i="1"/>
  <c r="H6" i="1"/>
  <c r="H20" i="1"/>
  <c r="H3" i="1"/>
  <c r="H4" i="1" s="1"/>
  <c r="D6" i="1"/>
  <c r="D9" i="1"/>
  <c r="D10" i="1"/>
  <c r="D11" i="1"/>
  <c r="D12" i="1"/>
  <c r="D13" i="1"/>
  <c r="D14" i="1"/>
  <c r="D15" i="1"/>
  <c r="D16" i="1"/>
  <c r="D17" i="1"/>
  <c r="D18" i="1"/>
  <c r="D19" i="1"/>
  <c r="D20" i="1"/>
  <c r="D21" i="1"/>
  <c r="D22" i="1"/>
  <c r="D23" i="1"/>
  <c r="D24" i="1"/>
  <c r="D25" i="1"/>
  <c r="D26" i="1"/>
  <c r="D27" i="1"/>
  <c r="D8" i="1"/>
  <c r="J18" i="4" l="1"/>
  <c r="N17" i="4"/>
  <c r="C6" i="4"/>
  <c r="C5" i="4"/>
  <c r="J30" i="5"/>
  <c r="U5" i="5"/>
  <c r="C9" i="5" s="1"/>
  <c r="L6" i="5"/>
  <c r="U8" i="5" s="1"/>
  <c r="H11" i="1"/>
  <c r="H14" i="1"/>
  <c r="H27" i="1"/>
  <c r="H10" i="1"/>
  <c r="J20" i="4"/>
  <c r="C22" i="4" s="1"/>
  <c r="E15" i="4"/>
  <c r="E17" i="4"/>
  <c r="H35" i="1"/>
  <c r="N15" i="4"/>
  <c r="J21" i="5"/>
  <c r="J12" i="5"/>
  <c r="F9" i="5"/>
  <c r="E9" i="5"/>
  <c r="U9" i="5"/>
  <c r="O9" i="5" s="1"/>
  <c r="U6" i="5"/>
  <c r="M17" i="4" l="1"/>
  <c r="D16" i="4"/>
  <c r="M16" i="4"/>
  <c r="D17" i="4"/>
  <c r="D15" i="4"/>
  <c r="M15" i="4"/>
  <c r="M19" i="4" s="1"/>
  <c r="M20" i="4" s="1"/>
  <c r="O16" i="4" s="1"/>
  <c r="P16" i="4" s="1"/>
  <c r="R16" i="4" s="1"/>
  <c r="D19" i="4"/>
  <c r="D20" i="4" s="1"/>
  <c r="F16" i="4" s="1"/>
  <c r="G16" i="4" s="1"/>
  <c r="I16" i="4" s="1"/>
  <c r="U11" i="5"/>
  <c r="U10" i="5"/>
  <c r="P9" i="5" s="1"/>
  <c r="N19" i="4"/>
  <c r="E22" i="4"/>
  <c r="L22" i="4"/>
  <c r="N22" i="4" s="1"/>
  <c r="H25" i="1"/>
  <c r="H12" i="1"/>
  <c r="H18" i="1"/>
  <c r="E19" i="4"/>
  <c r="H13" i="1"/>
  <c r="H31" i="1"/>
  <c r="J32" i="1" s="1"/>
  <c r="L32" i="1" s="1"/>
  <c r="H33" i="1"/>
  <c r="H34" i="1" s="1"/>
  <c r="G9" i="5"/>
  <c r="D9" i="5"/>
  <c r="O17" i="4" l="1"/>
  <c r="P17" i="4" s="1"/>
  <c r="R17" i="4" s="1"/>
  <c r="F15" i="4"/>
  <c r="G15" i="4" s="1"/>
  <c r="O15" i="4"/>
  <c r="F17" i="4"/>
  <c r="G17" i="4" s="1"/>
  <c r="I17" i="4" s="1"/>
  <c r="H26" i="1"/>
  <c r="H19" i="1"/>
  <c r="P15" i="4" l="1"/>
  <c r="O19" i="4"/>
  <c r="F19" i="4"/>
  <c r="G19" i="4"/>
  <c r="I15" i="4"/>
  <c r="P19" i="4" l="1"/>
  <c r="R15" i="4"/>
</calcChain>
</file>

<file path=xl/sharedStrings.xml><?xml version="1.0" encoding="utf-8"?>
<sst xmlns="http://schemas.openxmlformats.org/spreadsheetml/2006/main" count="123" uniqueCount="75">
  <si>
    <t>Initial Margin</t>
  </si>
  <si>
    <t>Leverage</t>
  </si>
  <si>
    <t xml:space="preserve"> = Max Gross Exposure</t>
  </si>
  <si>
    <t>Initial capital</t>
  </si>
  <si>
    <t>Maintenance Margin</t>
  </si>
  <si>
    <t>Available Balance</t>
  </si>
  <si>
    <t>Equity</t>
  </si>
  <si>
    <t>Last</t>
  </si>
  <si>
    <t xml:space="preserve">Last </t>
  </si>
  <si>
    <t>shares</t>
  </si>
  <si>
    <t xml:space="preserve">at </t>
  </si>
  <si>
    <t>Margin Call Level</t>
  </si>
  <si>
    <t>Initial Position</t>
  </si>
  <si>
    <t>If Last =</t>
  </si>
  <si>
    <t>Margin Call will happen when equity = maintenance margin</t>
  </si>
  <si>
    <t xml:space="preserve">Maintenance Margin = </t>
  </si>
  <si>
    <t xml:space="preserve">Meaning equity went from </t>
  </si>
  <si>
    <t>to</t>
  </si>
  <si>
    <t>or</t>
  </si>
  <si>
    <t>loss</t>
  </si>
  <si>
    <t>Stock Level for Margin Call</t>
  </si>
  <si>
    <t>Stock Level for 0 equity</t>
  </si>
  <si>
    <t>Max Sector Net Exposure 20%</t>
  </si>
  <si>
    <t>LONG</t>
  </si>
  <si>
    <t>SHORT</t>
  </si>
  <si>
    <t>Hard Stop-Loss on any single position: 7-10%</t>
  </si>
  <si>
    <t>1 day Liquidity</t>
  </si>
  <si>
    <t>Top Down</t>
  </si>
  <si>
    <t>40 to 60% Portfolio Exposure</t>
  </si>
  <si>
    <t>1 day to 3 months</t>
  </si>
  <si>
    <t>Bottom Up</t>
  </si>
  <si>
    <t>Trading / Special Situations / Contrarian Trades</t>
  </si>
  <si>
    <t>Across Asset Classes</t>
  </si>
  <si>
    <t>Stocks</t>
  </si>
  <si>
    <t>Across Asset Classes with focus on Stocks for Special Situations</t>
  </si>
  <si>
    <t>Max Portfolio Net Exposure 50%</t>
  </si>
  <si>
    <t>Max Sector Gross Exposure 30%</t>
  </si>
  <si>
    <t>Max Single Stock Position 10% or 20% with 10% Hedge</t>
  </si>
  <si>
    <t>0 to 40% Portfolio Exposure</t>
  </si>
  <si>
    <t>1 to 3 months / Up to 2 years</t>
  </si>
  <si>
    <t xml:space="preserve"> Up to 1 month for Trading / Deals Specific / Up to 3months</t>
  </si>
  <si>
    <t xml:space="preserve">Longer Time Horizon for Bonds, Commodities and Fx </t>
  </si>
  <si>
    <t>Country Exposure On Macro View and fx Hedging</t>
  </si>
  <si>
    <t>Max Single Position based on ATR + TA + Price Action</t>
  </si>
  <si>
    <t>Capital</t>
  </si>
  <si>
    <t>Gross Exposure</t>
  </si>
  <si>
    <t>Long Exposure</t>
  </si>
  <si>
    <t>Short Exposure</t>
  </si>
  <si>
    <t>Max Sector Gross Exposure</t>
  </si>
  <si>
    <t>Beta</t>
  </si>
  <si>
    <t>Total Beta</t>
  </si>
  <si>
    <t>Ratio</t>
  </si>
  <si>
    <t>% beta / Total beta</t>
  </si>
  <si>
    <t>% Beta / beta long</t>
  </si>
  <si>
    <t>% Position</t>
  </si>
  <si>
    <t>Nb. Of shares</t>
  </si>
  <si>
    <t>Exposure</t>
  </si>
  <si>
    <t>% Beta / beta short</t>
  </si>
  <si>
    <t>Max Long</t>
  </si>
  <si>
    <t>Max Short</t>
  </si>
  <si>
    <t>Max Pair Trade Position 10% Net and 30% Gross</t>
  </si>
  <si>
    <t>Max net</t>
  </si>
  <si>
    <t>Cooling off 5% to Max Drawdown of 10%</t>
  </si>
  <si>
    <t>Definition</t>
  </si>
  <si>
    <t>Process / TO DO LIST</t>
  </si>
  <si>
    <t>TO DO LIST</t>
  </si>
  <si>
    <t>Comments</t>
  </si>
  <si>
    <t>Risk Management Rules</t>
  </si>
  <si>
    <t>Respect hard stop loss.
Have a stop-loss close enough to sleep well but far enough to not get stopped.
Let the winners win.
Cut the losers.
Limit your concentration for any single position, by country, by asset, by global theme, by sector, by industry…
Mind the liquidity.</t>
  </si>
  <si>
    <t>Calculate Beta single name</t>
  </si>
  <si>
    <t>Calculate Beta Portfolio</t>
  </si>
  <si>
    <t>Margin Call calculation</t>
  </si>
  <si>
    <t>Stop-Loss</t>
  </si>
  <si>
    <t>Leverage calculation</t>
  </si>
  <si>
    <t>Concentration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</si>
</sst>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rgb="FF00B0F0"/>
      <name val="Calibri"/>
      <family val="2"/>
      <scheme val="minor"/>
    </font>
    <font>
      <sz val="11"/>
      <color theme="4" tint="-0.249977111117893"/>
      <name val="Calibri"/>
      <family val="2"/>
      <scheme val="minor"/>
    </font>
    <font>
      <sz val="11"/>
      <color theme="7" tint="-0.249977111117893"/>
      <name val="Calibri"/>
      <family val="2"/>
      <scheme val="minor"/>
    </font>
    <font>
      <b/>
      <sz val="14"/>
      <color rgb="FF00B050"/>
      <name val="Calibri"/>
      <family val="2"/>
      <scheme val="minor"/>
    </font>
    <font>
      <b/>
      <sz val="14"/>
      <color rgb="FFFF0000"/>
      <name val="Calibri"/>
      <family val="2"/>
      <scheme val="minor"/>
    </font>
    <font>
      <b/>
      <sz val="14"/>
      <color theme="0"/>
      <name val="Calibri"/>
      <family val="2"/>
      <scheme val="minor"/>
    </font>
    <font>
      <b/>
      <sz val="18"/>
      <color rgb="FF00B050"/>
      <name val="Calibri"/>
      <family val="2"/>
      <scheme val="minor"/>
    </font>
    <font>
      <sz val="11"/>
      <color rgb="FF00B050"/>
      <name val="Calibri"/>
      <family val="2"/>
      <scheme val="minor"/>
    </font>
    <font>
      <b/>
      <sz val="11"/>
      <color rgb="FF00B050"/>
      <name val="Calibri"/>
      <family val="2"/>
      <scheme val="minor"/>
    </font>
    <font>
      <b/>
      <sz val="14"/>
      <color theme="1"/>
      <name val="Calibri"/>
      <family val="2"/>
      <scheme val="minor"/>
    </font>
    <font>
      <sz val="11"/>
      <color rgb="FF7030A0"/>
      <name val="Calibri"/>
      <family val="2"/>
      <scheme val="minor"/>
    </font>
    <font>
      <b/>
      <sz val="14"/>
      <color rgb="FFFFC000"/>
      <name val="Calibri"/>
      <family val="2"/>
      <scheme val="minor"/>
    </font>
    <font>
      <b/>
      <sz val="11"/>
      <color theme="0"/>
      <name val="Calibri"/>
      <family val="2"/>
      <scheme val="minor"/>
    </font>
    <font>
      <u/>
      <sz val="11"/>
      <color theme="10"/>
      <name val="Calibri"/>
      <family val="2"/>
      <scheme val="minor"/>
    </font>
    <font>
      <sz val="12"/>
      <color rgb="FF9C57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EB9C"/>
      </patternFill>
    </fill>
    <fill>
      <patternFill patternType="solid">
        <fgColor theme="7" tint="0.39997558519241921"/>
        <bgColor indexed="65"/>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9" fontId="2"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1" fillId="7" borderId="0" applyNumberFormat="0" applyBorder="0" applyAlignment="0" applyProtection="0"/>
  </cellStyleXfs>
  <cellXfs count="135">
    <xf numFmtId="0" fontId="0" fillId="0" borderId="0" xfId="0"/>
    <xf numFmtId="0" fontId="0" fillId="2" borderId="0" xfId="0" applyFill="1"/>
    <xf numFmtId="0" fontId="0" fillId="2" borderId="0" xfId="0" applyFill="1" applyAlignment="1">
      <alignment horizontal="center"/>
    </xf>
    <xf numFmtId="0" fontId="4" fillId="3" borderId="1" xfId="0" applyFont="1" applyFill="1" applyBorder="1"/>
    <xf numFmtId="0" fontId="0" fillId="2" borderId="4" xfId="0" applyFill="1" applyBorder="1" applyAlignment="1">
      <alignment horizontal="center"/>
    </xf>
    <xf numFmtId="0" fontId="0" fillId="2" borderId="5" xfId="0" applyFill="1" applyBorder="1"/>
    <xf numFmtId="3" fontId="0" fillId="2" borderId="4" xfId="0" applyNumberFormat="1" applyFill="1" applyBorder="1" applyAlignment="1">
      <alignment horizontal="center"/>
    </xf>
    <xf numFmtId="3" fontId="0" fillId="2" borderId="6" xfId="0" applyNumberFormat="1" applyFill="1" applyBorder="1" applyAlignment="1">
      <alignment horizontal="center"/>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3" fontId="0" fillId="2" borderId="5" xfId="0" applyNumberFormat="1" applyFill="1" applyBorder="1" applyAlignment="1">
      <alignment horizontal="center"/>
    </xf>
    <xf numFmtId="3" fontId="0" fillId="2" borderId="7" xfId="0" applyNumberFormat="1" applyFill="1" applyBorder="1" applyAlignment="1">
      <alignment horizontal="center"/>
    </xf>
    <xf numFmtId="0" fontId="5" fillId="2" borderId="0" xfId="0" applyFont="1" applyFill="1" applyAlignment="1">
      <alignment horizontal="center"/>
    </xf>
    <xf numFmtId="0" fontId="0" fillId="2" borderId="2" xfId="0" applyFill="1" applyBorder="1"/>
    <xf numFmtId="0" fontId="0" fillId="2" borderId="9" xfId="0" applyFill="1" applyBorder="1"/>
    <xf numFmtId="0" fontId="0" fillId="2" borderId="3" xfId="0" applyFill="1" applyBorder="1"/>
    <xf numFmtId="0" fontId="0" fillId="2" borderId="10" xfId="0" applyFill="1" applyBorder="1"/>
    <xf numFmtId="0" fontId="0" fillId="2" borderId="0" xfId="0"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3" fontId="0" fillId="2" borderId="0" xfId="0" applyNumberFormat="1" applyFill="1"/>
    <xf numFmtId="3" fontId="0" fillId="2" borderId="9" xfId="0" applyNumberFormat="1" applyFill="1" applyBorder="1"/>
    <xf numFmtId="3" fontId="0" fillId="2" borderId="0" xfId="0" applyNumberFormat="1" applyFill="1" applyBorder="1"/>
    <xf numFmtId="3" fontId="0" fillId="2" borderId="13" xfId="0" applyNumberFormat="1" applyFill="1" applyBorder="1"/>
    <xf numFmtId="3" fontId="0" fillId="2" borderId="16" xfId="0" applyNumberFormat="1" applyFill="1" applyBorder="1"/>
    <xf numFmtId="3" fontId="0" fillId="2" borderId="21" xfId="0" applyNumberFormat="1" applyFill="1" applyBorder="1"/>
    <xf numFmtId="164" fontId="0" fillId="2" borderId="0" xfId="0" applyNumberFormat="1" applyFill="1"/>
    <xf numFmtId="4" fontId="0" fillId="2" borderId="0" xfId="0" applyNumberFormat="1" applyFill="1"/>
    <xf numFmtId="165" fontId="0" fillId="2" borderId="0" xfId="1" applyNumberFormat="1" applyFont="1" applyFill="1"/>
    <xf numFmtId="0" fontId="5" fillId="2" borderId="9"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Border="1" applyAlignment="1">
      <alignment horizontal="center"/>
    </xf>
    <xf numFmtId="0" fontId="5" fillId="2" borderId="11" xfId="0" applyFont="1" applyFill="1" applyBorder="1" applyAlignment="1">
      <alignment horizontal="center"/>
    </xf>
    <xf numFmtId="0" fontId="0" fillId="2" borderId="0" xfId="0" applyFill="1" applyAlignment="1">
      <alignment horizontal="center" vertical="center"/>
    </xf>
    <xf numFmtId="0" fontId="6" fillId="2" borderId="9" xfId="0" applyFont="1" applyFill="1" applyBorder="1"/>
    <xf numFmtId="0" fontId="8" fillId="2" borderId="1" xfId="0" applyFont="1" applyFill="1" applyBorder="1" applyAlignment="1">
      <alignment horizontal="center"/>
    </xf>
    <xf numFmtId="0" fontId="9" fillId="2" borderId="1" xfId="0" applyFont="1" applyFill="1" applyBorder="1" applyAlignment="1">
      <alignment horizontal="center"/>
    </xf>
    <xf numFmtId="0" fontId="12" fillId="2" borderId="9" xfId="0" applyFont="1" applyFill="1" applyBorder="1"/>
    <xf numFmtId="0" fontId="12" fillId="2" borderId="0" xfId="0" applyFont="1" applyFill="1"/>
    <xf numFmtId="0" fontId="12" fillId="2" borderId="0" xfId="0" applyFont="1" applyFill="1" applyAlignment="1">
      <alignment textRotation="90" wrapText="1"/>
    </xf>
    <xf numFmtId="0" fontId="12" fillId="2" borderId="13" xfId="0" applyFont="1" applyFill="1" applyBorder="1"/>
    <xf numFmtId="165" fontId="0" fillId="2" borderId="0" xfId="0" applyNumberFormat="1" applyFill="1"/>
    <xf numFmtId="0" fontId="0" fillId="2" borderId="0" xfId="0" applyFill="1" applyAlignment="1">
      <alignment horizontal="center"/>
    </xf>
    <xf numFmtId="3" fontId="0" fillId="2" borderId="0" xfId="0" applyNumberFormat="1" applyFill="1" applyAlignment="1">
      <alignment horizontal="center"/>
    </xf>
    <xf numFmtId="165" fontId="0" fillId="2" borderId="0" xfId="0" applyNumberFormat="1" applyFill="1" applyAlignment="1">
      <alignment horizontal="center"/>
    </xf>
    <xf numFmtId="166" fontId="0" fillId="2" borderId="0" xfId="0" applyNumberFormat="1" applyFill="1" applyAlignment="1">
      <alignment horizontal="center"/>
    </xf>
    <xf numFmtId="0" fontId="3" fillId="2" borderId="36" xfId="0" applyFont="1" applyFill="1" applyBorder="1" applyAlignment="1">
      <alignment wrapText="1"/>
    </xf>
    <xf numFmtId="0" fontId="0" fillId="2" borderId="38" xfId="0" applyFill="1" applyBorder="1"/>
    <xf numFmtId="0" fontId="3" fillId="2" borderId="40" xfId="0" applyFont="1" applyFill="1" applyBorder="1"/>
    <xf numFmtId="3" fontId="0" fillId="2" borderId="41" xfId="0" applyNumberFormat="1" applyFill="1" applyBorder="1" applyAlignment="1">
      <alignment horizontal="center"/>
    </xf>
    <xf numFmtId="3" fontId="0" fillId="2" borderId="39" xfId="0" applyNumberFormat="1" applyFill="1" applyBorder="1" applyAlignment="1">
      <alignment horizontal="center" vertical="center"/>
    </xf>
    <xf numFmtId="0" fontId="0" fillId="2" borderId="35" xfId="0" applyFill="1" applyBorder="1" applyAlignment="1">
      <alignment horizontal="center"/>
    </xf>
    <xf numFmtId="0" fontId="15" fillId="2" borderId="35" xfId="0" applyFont="1" applyFill="1" applyBorder="1" applyAlignment="1">
      <alignment horizontal="center"/>
    </xf>
    <xf numFmtId="4" fontId="16" fillId="2" borderId="35" xfId="0" applyNumberFormat="1" applyFont="1" applyFill="1" applyBorder="1" applyAlignment="1">
      <alignment horizontal="center"/>
    </xf>
    <xf numFmtId="0" fontId="3" fillId="2" borderId="43" xfId="0" applyFont="1" applyFill="1" applyBorder="1"/>
    <xf numFmtId="0" fontId="3" fillId="2" borderId="44" xfId="0" applyFont="1" applyFill="1" applyBorder="1" applyAlignment="1">
      <alignment horizontal="center"/>
    </xf>
    <xf numFmtId="0" fontId="3" fillId="2" borderId="44" xfId="0" applyFont="1" applyFill="1" applyBorder="1" applyAlignment="1">
      <alignment horizontal="center" wrapText="1"/>
    </xf>
    <xf numFmtId="0" fontId="3" fillId="2" borderId="45" xfId="0" applyFont="1" applyFill="1" applyBorder="1" applyAlignment="1">
      <alignment horizontal="center" wrapText="1"/>
    </xf>
    <xf numFmtId="0" fontId="3" fillId="2" borderId="35" xfId="0" applyFont="1" applyFill="1" applyBorder="1"/>
    <xf numFmtId="165" fontId="15" fillId="2" borderId="35" xfId="1" applyNumberFormat="1" applyFont="1" applyFill="1" applyBorder="1" applyAlignment="1">
      <alignment horizontal="center"/>
    </xf>
    <xf numFmtId="165" fontId="6" fillId="2" borderId="35" xfId="1" applyNumberFormat="1" applyFont="1" applyFill="1" applyBorder="1" applyAlignment="1">
      <alignment horizontal="center"/>
    </xf>
    <xf numFmtId="165" fontId="0" fillId="2" borderId="35" xfId="1" applyNumberFormat="1" applyFont="1" applyFill="1" applyBorder="1" applyAlignment="1">
      <alignment horizontal="center"/>
    </xf>
    <xf numFmtId="3" fontId="0" fillId="2" borderId="35" xfId="1" applyNumberFormat="1" applyFont="1" applyFill="1" applyBorder="1" applyAlignment="1">
      <alignment horizontal="center"/>
    </xf>
    <xf numFmtId="1" fontId="0" fillId="2" borderId="35" xfId="1" applyNumberFormat="1" applyFont="1" applyFill="1" applyBorder="1" applyAlignment="1">
      <alignment horizontal="center"/>
    </xf>
    <xf numFmtId="0" fontId="3" fillId="2" borderId="35" xfId="0" applyFont="1" applyFill="1" applyBorder="1" applyAlignment="1"/>
    <xf numFmtId="1" fontId="0" fillId="2" borderId="35" xfId="0" applyNumberFormat="1" applyFill="1" applyBorder="1" applyAlignment="1">
      <alignment horizontal="center"/>
    </xf>
    <xf numFmtId="0" fontId="0" fillId="2" borderId="35" xfId="0" applyFill="1" applyBorder="1"/>
    <xf numFmtId="3" fontId="16" fillId="3" borderId="35" xfId="0" applyNumberFormat="1" applyFont="1" applyFill="1" applyBorder="1" applyAlignment="1">
      <alignment horizontal="center"/>
    </xf>
    <xf numFmtId="3" fontId="16" fillId="4" borderId="35" xfId="0" applyNumberFormat="1" applyFont="1" applyFill="1" applyBorder="1" applyAlignment="1">
      <alignment horizontal="center"/>
    </xf>
    <xf numFmtId="0" fontId="6" fillId="2" borderId="35" xfId="0" applyFont="1" applyFill="1" applyBorder="1" applyAlignment="1">
      <alignment horizontal="center"/>
    </xf>
    <xf numFmtId="165" fontId="0" fillId="2" borderId="35" xfId="0" applyNumberFormat="1" applyFill="1" applyBorder="1" applyAlignment="1">
      <alignment horizontal="center"/>
    </xf>
    <xf numFmtId="3" fontId="0" fillId="2" borderId="35" xfId="0" applyNumberFormat="1" applyFill="1" applyBorder="1" applyAlignment="1">
      <alignment horizontal="center"/>
    </xf>
    <xf numFmtId="0" fontId="3" fillId="2" borderId="0" xfId="0" applyFont="1" applyFill="1"/>
    <xf numFmtId="0" fontId="0" fillId="0" borderId="0" xfId="0" applyAlignment="1">
      <alignment vertical="center"/>
    </xf>
    <xf numFmtId="0" fontId="0" fillId="2" borderId="0" xfId="0" applyFill="1" applyAlignment="1">
      <alignment vertical="center"/>
    </xf>
    <xf numFmtId="0" fontId="18" fillId="2" borderId="0" xfId="2" applyFill="1"/>
    <xf numFmtId="0" fontId="0" fillId="2" borderId="0" xfId="0" applyFill="1"/>
    <xf numFmtId="0" fontId="0" fillId="2" borderId="0" xfId="0" applyFill="1" applyAlignment="1">
      <alignment horizontal="center"/>
    </xf>
    <xf numFmtId="0" fontId="0" fillId="2" borderId="0" xfId="0" applyFill="1" applyAlignment="1">
      <alignment wrapText="1"/>
    </xf>
    <xf numFmtId="0" fontId="0" fillId="0" borderId="0" xfId="0" applyAlignment="1">
      <alignment wrapText="1"/>
    </xf>
    <xf numFmtId="0" fontId="3" fillId="5" borderId="40" xfId="0" applyFont="1" applyFill="1" applyBorder="1" applyAlignment="1">
      <alignment horizontal="center"/>
    </xf>
    <xf numFmtId="0" fontId="0" fillId="5" borderId="42" xfId="0" applyFill="1" applyBorder="1" applyAlignment="1">
      <alignment horizontal="center"/>
    </xf>
    <xf numFmtId="0" fontId="0" fillId="5" borderId="41" xfId="0" applyFill="1" applyBorder="1" applyAlignment="1">
      <alignment horizontal="center"/>
    </xf>
    <xf numFmtId="0" fontId="3" fillId="5" borderId="42" xfId="0" applyFont="1" applyFill="1" applyBorder="1" applyAlignment="1">
      <alignment horizontal="center"/>
    </xf>
    <xf numFmtId="0" fontId="3" fillId="5" borderId="41" xfId="0" applyFont="1" applyFill="1" applyBorder="1" applyAlignment="1">
      <alignment horizontal="center"/>
    </xf>
    <xf numFmtId="0" fontId="3" fillId="2" borderId="0" xfId="0" applyFont="1" applyFill="1" applyAlignment="1">
      <alignment horizontal="center" vertical="center"/>
    </xf>
    <xf numFmtId="0" fontId="3" fillId="2" borderId="13" xfId="0" applyFont="1" applyFill="1" applyBorder="1" applyAlignment="1">
      <alignment horizontal="center" vertical="center"/>
    </xf>
    <xf numFmtId="0" fontId="17" fillId="3" borderId="29"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42" xfId="0" applyBorder="1" applyAlignment="1">
      <alignment horizontal="center"/>
    </xf>
    <xf numFmtId="0" fontId="0" fillId="0" borderId="41" xfId="0" applyBorder="1" applyAlignment="1">
      <alignment horizontal="center"/>
    </xf>
    <xf numFmtId="0" fontId="0" fillId="2" borderId="0" xfId="0" applyFill="1" applyAlignment="1">
      <alignment vertical="center" wrapText="1"/>
    </xf>
    <xf numFmtId="0" fontId="0" fillId="0" borderId="0" xfId="0"/>
    <xf numFmtId="0" fontId="0" fillId="2" borderId="0" xfId="0" applyFill="1"/>
    <xf numFmtId="0" fontId="0" fillId="2" borderId="0" xfId="0" applyFill="1" applyAlignment="1">
      <alignment horizontal="center"/>
    </xf>
    <xf numFmtId="0" fontId="11" fillId="2" borderId="24" xfId="0" applyFont="1" applyFill="1" applyBorder="1" applyAlignment="1">
      <alignment horizontal="center" vertical="center" textRotation="90"/>
    </xf>
    <xf numFmtId="0" fontId="11" fillId="0" borderId="27" xfId="0" applyFont="1" applyBorder="1" applyAlignment="1">
      <alignment horizontal="center" vertical="center" textRotation="90"/>
    </xf>
    <xf numFmtId="0" fontId="11" fillId="0" borderId="33" xfId="0" applyFont="1" applyBorder="1" applyAlignment="1">
      <alignment horizontal="center" vertical="center" textRotation="90"/>
    </xf>
    <xf numFmtId="0" fontId="11" fillId="2" borderId="25" xfId="0" applyFont="1" applyFill="1" applyBorder="1" applyAlignment="1">
      <alignment horizontal="center" vertical="center" textRotation="90"/>
    </xf>
    <xf numFmtId="0" fontId="11" fillId="0" borderId="28" xfId="0" applyFont="1" applyBorder="1" applyAlignment="1">
      <alignment horizontal="center" vertical="center" textRotation="90"/>
    </xf>
    <xf numFmtId="0" fontId="11" fillId="0" borderId="34" xfId="0" applyFont="1" applyBorder="1" applyAlignment="1">
      <alignment horizontal="center" vertical="center" textRotation="90"/>
    </xf>
    <xf numFmtId="0" fontId="10" fillId="3" borderId="29"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1" xfId="0" applyFont="1" applyFill="1" applyBorder="1" applyAlignment="1">
      <alignment horizontal="center" vertical="center"/>
    </xf>
    <xf numFmtId="0" fontId="13" fillId="0" borderId="0" xfId="0" applyFont="1" applyAlignment="1">
      <alignment vertical="center" textRotation="90" wrapText="1"/>
    </xf>
    <xf numFmtId="0" fontId="7" fillId="2" borderId="9" xfId="0" applyFont="1" applyFill="1" applyBorder="1" applyAlignment="1">
      <alignment horizontal="center"/>
    </xf>
    <xf numFmtId="0" fontId="7" fillId="0" borderId="9" xfId="0" applyFont="1" applyBorder="1" applyAlignment="1">
      <alignment horizontal="center"/>
    </xf>
    <xf numFmtId="0" fontId="13" fillId="0" borderId="13" xfId="0" applyFont="1" applyBorder="1" applyAlignment="1">
      <alignment vertical="center" textRotation="90" wrapText="1"/>
    </xf>
    <xf numFmtId="0" fontId="0" fillId="0" borderId="0" xfId="0" applyAlignment="1">
      <alignment horizontal="center"/>
    </xf>
    <xf numFmtId="0" fontId="11" fillId="2" borderId="23" xfId="0" applyFont="1" applyFill="1" applyBorder="1" applyAlignment="1">
      <alignment horizontal="center" vertical="center" textRotation="90"/>
    </xf>
    <xf numFmtId="0" fontId="11" fillId="0" borderId="26" xfId="0" applyFont="1" applyBorder="1" applyAlignment="1">
      <alignment horizontal="center" vertical="center" textRotation="90"/>
    </xf>
    <xf numFmtId="0" fontId="11" fillId="0" borderId="32" xfId="0" applyFont="1" applyBorder="1" applyAlignment="1">
      <alignment horizontal="center" vertical="center" textRotation="90"/>
    </xf>
    <xf numFmtId="0" fontId="10" fillId="3" borderId="2" xfId="0" applyFont="1" applyFill="1" applyBorder="1" applyAlignment="1">
      <alignment horizontal="center"/>
    </xf>
    <xf numFmtId="0" fontId="10" fillId="3" borderId="9" xfId="0" applyFont="1" applyFill="1" applyBorder="1" applyAlignment="1">
      <alignment horizontal="center"/>
    </xf>
    <xf numFmtId="0" fontId="14" fillId="0" borderId="9" xfId="0" applyFont="1" applyBorder="1" applyAlignment="1">
      <alignment horizontal="center"/>
    </xf>
    <xf numFmtId="0" fontId="14" fillId="0" borderId="3" xfId="0" applyFont="1" applyBorder="1" applyAlignment="1">
      <alignment horizontal="center"/>
    </xf>
    <xf numFmtId="0" fontId="10" fillId="4" borderId="2" xfId="0" applyFont="1" applyFill="1" applyBorder="1" applyAlignment="1">
      <alignment horizontal="center" wrapText="1"/>
    </xf>
    <xf numFmtId="0" fontId="10" fillId="0" borderId="9" xfId="0" applyFont="1" applyBorder="1" applyAlignment="1">
      <alignment horizontal="center" wrapText="1"/>
    </xf>
    <xf numFmtId="0" fontId="10" fillId="0" borderId="3" xfId="0" applyFont="1" applyBorder="1" applyAlignment="1">
      <alignment horizontal="center" wrapText="1"/>
    </xf>
    <xf numFmtId="0" fontId="19" fillId="6" borderId="35" xfId="3" applyBorder="1" applyAlignment="1">
      <alignment horizontal="center"/>
    </xf>
    <xf numFmtId="3" fontId="19" fillId="6" borderId="41" xfId="3" applyNumberFormat="1" applyBorder="1" applyAlignment="1">
      <alignment horizontal="center"/>
    </xf>
    <xf numFmtId="0" fontId="19" fillId="6" borderId="41" xfId="3" applyBorder="1" applyAlignment="1">
      <alignment horizontal="center"/>
    </xf>
    <xf numFmtId="9" fontId="19" fillId="6" borderId="37" xfId="3" applyNumberFormat="1" applyBorder="1" applyAlignment="1">
      <alignment horizontal="center" vertical="center"/>
    </xf>
    <xf numFmtId="166" fontId="1" fillId="7" borderId="35" xfId="4" applyNumberFormat="1" applyBorder="1" applyAlignment="1">
      <alignment horizontal="center"/>
    </xf>
  </cellXfs>
  <cellStyles count="5">
    <cellStyle name="60% - Accent4" xfId="4" builtinId="44"/>
    <cellStyle name="Hyperlink" xfId="2" builtinId="8"/>
    <cellStyle name="Neutral" xfId="3" builtinId="2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5F12-6A92-434C-B1D1-D5B914BC351F}">
  <sheetPr>
    <tabColor rgb="FFFFFF00"/>
  </sheetPr>
  <dimension ref="B1:J24"/>
  <sheetViews>
    <sheetView zoomScale="170" zoomScaleNormal="170" workbookViewId="0">
      <selection activeCell="J28" sqref="J28"/>
    </sheetView>
  </sheetViews>
  <sheetFormatPr baseColWidth="10" defaultColWidth="9.1640625" defaultRowHeight="15" x14ac:dyDescent="0.2"/>
  <cols>
    <col min="1" max="1" width="9.1640625" style="1"/>
    <col min="2" max="10" width="12.83203125" style="1" customWidth="1"/>
    <col min="11" max="16384" width="9.1640625" style="1"/>
  </cols>
  <sheetData>
    <row r="1" spans="2:10" x14ac:dyDescent="0.2">
      <c r="B1" s="95"/>
      <c r="C1" s="95"/>
      <c r="D1" s="95"/>
      <c r="E1" s="95"/>
      <c r="F1" s="95"/>
      <c r="G1" s="95"/>
      <c r="H1" s="95"/>
      <c r="I1" s="95"/>
      <c r="J1" s="95"/>
    </row>
    <row r="2" spans="2:10" ht="16" thickBot="1" x14ac:dyDescent="0.25">
      <c r="B2" s="96"/>
      <c r="C2" s="96"/>
      <c r="D2" s="96"/>
      <c r="E2" s="96"/>
      <c r="F2" s="96"/>
      <c r="G2" s="96"/>
      <c r="H2" s="96"/>
      <c r="I2" s="96"/>
      <c r="J2" s="96"/>
    </row>
    <row r="3" spans="2:10" ht="16" thickBot="1" x14ac:dyDescent="0.25">
      <c r="B3" s="97" t="s">
        <v>67</v>
      </c>
      <c r="C3" s="98"/>
      <c r="D3" s="98"/>
      <c r="E3" s="98"/>
      <c r="F3" s="98"/>
      <c r="G3" s="98"/>
      <c r="H3" s="98"/>
      <c r="I3" s="98"/>
      <c r="J3" s="99"/>
    </row>
    <row r="5" spans="2:10" x14ac:dyDescent="0.2">
      <c r="B5" s="90" t="s">
        <v>63</v>
      </c>
      <c r="C5" s="100"/>
      <c r="D5" s="100"/>
      <c r="E5" s="100"/>
      <c r="F5" s="100"/>
      <c r="G5" s="100"/>
      <c r="H5" s="100"/>
      <c r="I5" s="100"/>
      <c r="J5" s="101"/>
    </row>
    <row r="7" spans="2:10" ht="115.5" customHeight="1" x14ac:dyDescent="0.2">
      <c r="B7" s="102" t="s">
        <v>68</v>
      </c>
      <c r="C7" s="103"/>
      <c r="D7" s="103"/>
      <c r="E7" s="103"/>
      <c r="F7" s="103"/>
      <c r="G7" s="103"/>
      <c r="H7" s="103"/>
      <c r="I7" s="103"/>
      <c r="J7" s="103"/>
    </row>
    <row r="8" spans="2:10" x14ac:dyDescent="0.2">
      <c r="B8" s="104"/>
      <c r="C8" s="103"/>
      <c r="D8" s="103"/>
      <c r="E8" s="103"/>
      <c r="F8" s="103"/>
      <c r="G8" s="103"/>
      <c r="H8" s="103"/>
      <c r="I8" s="103"/>
      <c r="J8" s="103"/>
    </row>
    <row r="9" spans="2:10" x14ac:dyDescent="0.2">
      <c r="B9" s="84"/>
      <c r="C9" s="84"/>
      <c r="D9" s="84"/>
      <c r="E9" s="84"/>
    </row>
    <row r="10" spans="2:10" x14ac:dyDescent="0.2">
      <c r="B10" s="90" t="s">
        <v>64</v>
      </c>
      <c r="C10" s="91"/>
      <c r="D10" s="91"/>
      <c r="E10" s="91"/>
      <c r="F10" s="91"/>
      <c r="G10" s="91"/>
      <c r="H10" s="91"/>
      <c r="I10" s="91"/>
      <c r="J10" s="92"/>
    </row>
    <row r="12" spans="2:10" x14ac:dyDescent="0.2">
      <c r="B12" s="90" t="s">
        <v>65</v>
      </c>
      <c r="C12" s="93"/>
      <c r="D12" s="93"/>
      <c r="E12" s="93"/>
      <c r="F12" s="94"/>
      <c r="G12" s="90" t="s">
        <v>66</v>
      </c>
      <c r="H12" s="93"/>
      <c r="I12" s="93"/>
      <c r="J12" s="94"/>
    </row>
    <row r="14" spans="2:10" ht="15" customHeight="1" x14ac:dyDescent="0.2">
      <c r="B14" s="1" t="s">
        <v>69</v>
      </c>
    </row>
    <row r="15" spans="2:10" ht="15" customHeight="1" x14ac:dyDescent="0.2">
      <c r="B15" s="1" t="s">
        <v>70</v>
      </c>
      <c r="E15" s="85"/>
      <c r="H15" s="85"/>
    </row>
    <row r="16" spans="2:10" ht="15" customHeight="1" x14ac:dyDescent="0.2">
      <c r="B16" s="1" t="s">
        <v>71</v>
      </c>
    </row>
    <row r="17" spans="2:10" ht="15" customHeight="1" x14ac:dyDescent="0.2">
      <c r="B17" s="1" t="s">
        <v>73</v>
      </c>
    </row>
    <row r="18" spans="2:10" ht="15" customHeight="1" x14ac:dyDescent="0.2">
      <c r="B18" s="1" t="s">
        <v>74</v>
      </c>
      <c r="G18" s="88"/>
      <c r="H18" s="89"/>
      <c r="I18" s="89"/>
      <c r="J18" s="89"/>
    </row>
    <row r="19" spans="2:10" ht="15" customHeight="1" x14ac:dyDescent="0.2">
      <c r="B19" s="1" t="s">
        <v>72</v>
      </c>
    </row>
    <row r="22" spans="2:10" x14ac:dyDescent="0.2">
      <c r="B22" s="82"/>
    </row>
    <row r="23" spans="2:10" ht="30" customHeight="1" x14ac:dyDescent="0.2">
      <c r="B23" s="88"/>
      <c r="C23" s="89"/>
      <c r="D23" s="89"/>
      <c r="E23" s="89"/>
      <c r="F23" s="89"/>
      <c r="G23" s="89"/>
      <c r="H23" s="89"/>
      <c r="I23" s="89"/>
      <c r="J23" s="89"/>
    </row>
    <row r="24" spans="2:10" x14ac:dyDescent="0.2">
      <c r="B24" s="83"/>
    </row>
  </sheetData>
  <mergeCells count="10">
    <mergeCell ref="B1:J2"/>
    <mergeCell ref="B3:J3"/>
    <mergeCell ref="B5:J5"/>
    <mergeCell ref="B7:J7"/>
    <mergeCell ref="B8:J8"/>
    <mergeCell ref="G18:J18"/>
    <mergeCell ref="B23:J23"/>
    <mergeCell ref="B10:J10"/>
    <mergeCell ref="B12:F12"/>
    <mergeCell ref="G12: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26C1-1F32-413A-A046-28136A5776F0}">
  <sheetPr codeName="Sheet1"/>
  <dimension ref="A1:M35"/>
  <sheetViews>
    <sheetView zoomScale="160" zoomScaleNormal="160" workbookViewId="0">
      <selection activeCell="Q34" sqref="Q34"/>
    </sheetView>
  </sheetViews>
  <sheetFormatPr baseColWidth="10" defaultColWidth="9.1640625" defaultRowHeight="15" x14ac:dyDescent="0.2"/>
  <cols>
    <col min="1" max="1" width="15.33203125" style="1" customWidth="1"/>
    <col min="2" max="2" width="9.1640625" style="1"/>
    <col min="3" max="3" width="21.1640625" style="2" customWidth="1"/>
    <col min="4" max="4" width="24" style="1" customWidth="1"/>
    <col min="5" max="6" width="9.1640625" style="1"/>
    <col min="7" max="7" width="24.1640625" style="1" customWidth="1"/>
    <col min="8" max="8" width="9.1640625" style="30"/>
    <col min="9" max="16384" width="9.1640625" style="1"/>
  </cols>
  <sheetData>
    <row r="1" spans="1:12" ht="16" thickBot="1" x14ac:dyDescent="0.25"/>
    <row r="2" spans="1:12" ht="20" thickBot="1" x14ac:dyDescent="0.3">
      <c r="A2" s="3" t="s">
        <v>1</v>
      </c>
      <c r="B2" s="12">
        <v>4</v>
      </c>
      <c r="C2" s="2" t="s">
        <v>2</v>
      </c>
      <c r="G2" s="1" t="s">
        <v>3</v>
      </c>
      <c r="H2" s="30">
        <v>25000</v>
      </c>
    </row>
    <row r="3" spans="1:12" x14ac:dyDescent="0.2">
      <c r="G3" s="1" t="s">
        <v>0</v>
      </c>
      <c r="H3" s="38">
        <f>1/B2</f>
        <v>0.25</v>
      </c>
    </row>
    <row r="4" spans="1:12" x14ac:dyDescent="0.2">
      <c r="G4" s="1" t="s">
        <v>4</v>
      </c>
      <c r="H4" s="38">
        <f>H3/2</f>
        <v>0.125</v>
      </c>
    </row>
    <row r="5" spans="1:12" ht="16" thickBot="1" x14ac:dyDescent="0.25"/>
    <row r="6" spans="1:12" ht="32.25" customHeight="1" x14ac:dyDescent="0.25">
      <c r="C6" s="8" t="s">
        <v>0</v>
      </c>
      <c r="D6" s="9" t="str">
        <f>"Max Exposure Based on "&amp;B2&amp;" x leverage"</f>
        <v>Max Exposure Based on 4 x leverage</v>
      </c>
      <c r="G6" s="13" t="s">
        <v>12</v>
      </c>
      <c r="H6" s="31">
        <f>L6*I6</f>
        <v>75000</v>
      </c>
      <c r="I6" s="39">
        <v>1000</v>
      </c>
      <c r="J6" s="14" t="s">
        <v>9</v>
      </c>
      <c r="K6" s="14" t="s">
        <v>10</v>
      </c>
      <c r="L6" s="40">
        <v>75</v>
      </c>
    </row>
    <row r="7" spans="1:12" x14ac:dyDescent="0.2">
      <c r="C7" s="4"/>
      <c r="D7" s="5"/>
      <c r="G7" s="16"/>
      <c r="H7" s="32"/>
      <c r="I7" s="17"/>
      <c r="J7" s="17"/>
      <c r="K7" s="17"/>
      <c r="L7" s="18"/>
    </row>
    <row r="8" spans="1:12" x14ac:dyDescent="0.2">
      <c r="C8" s="6">
        <v>5000</v>
      </c>
      <c r="D8" s="10">
        <f>C8*$B$2</f>
        <v>20000</v>
      </c>
      <c r="G8" s="16"/>
      <c r="H8" s="32"/>
      <c r="I8" s="17"/>
      <c r="J8" s="17"/>
      <c r="K8" s="17"/>
      <c r="L8" s="18"/>
    </row>
    <row r="9" spans="1:12" ht="19" x14ac:dyDescent="0.25">
      <c r="C9" s="6">
        <v>10000</v>
      </c>
      <c r="D9" s="10">
        <f t="shared" ref="D9:D27" si="0">C9*$B$2</f>
        <v>40000</v>
      </c>
      <c r="G9" s="16" t="s">
        <v>7</v>
      </c>
      <c r="H9" s="32">
        <f>L9*I9</f>
        <v>71250</v>
      </c>
      <c r="I9" s="41">
        <f>I6</f>
        <v>1000</v>
      </c>
      <c r="K9" s="17"/>
      <c r="L9" s="42">
        <v>71.25</v>
      </c>
    </row>
    <row r="10" spans="1:12" x14ac:dyDescent="0.2">
      <c r="C10" s="6">
        <v>15000</v>
      </c>
      <c r="D10" s="10">
        <f t="shared" si="0"/>
        <v>60000</v>
      </c>
      <c r="G10" s="16" t="s">
        <v>0</v>
      </c>
      <c r="H10" s="32">
        <f>H6*H3</f>
        <v>18750</v>
      </c>
      <c r="I10" s="17"/>
      <c r="J10" s="17"/>
      <c r="K10" s="17"/>
      <c r="L10" s="18"/>
    </row>
    <row r="11" spans="1:12" x14ac:dyDescent="0.2">
      <c r="C11" s="6">
        <v>20000</v>
      </c>
      <c r="D11" s="10">
        <f t="shared" si="0"/>
        <v>80000</v>
      </c>
      <c r="G11" s="16" t="s">
        <v>4</v>
      </c>
      <c r="H11" s="32">
        <f>H6*H4</f>
        <v>9375</v>
      </c>
      <c r="I11" s="17"/>
      <c r="J11" s="17"/>
      <c r="K11" s="17"/>
      <c r="L11" s="18"/>
    </row>
    <row r="12" spans="1:12" x14ac:dyDescent="0.2">
      <c r="C12" s="6">
        <v>25000</v>
      </c>
      <c r="D12" s="10">
        <f t="shared" si="0"/>
        <v>100000</v>
      </c>
      <c r="G12" s="16" t="s">
        <v>5</v>
      </c>
      <c r="H12" s="32">
        <f>H2-H10</f>
        <v>6250</v>
      </c>
      <c r="I12" s="17"/>
      <c r="J12" s="17"/>
      <c r="K12" s="17"/>
      <c r="L12" s="18"/>
    </row>
    <row r="13" spans="1:12" x14ac:dyDescent="0.2">
      <c r="C13" s="6">
        <v>30000</v>
      </c>
      <c r="D13" s="10">
        <f t="shared" si="0"/>
        <v>120000</v>
      </c>
      <c r="G13" s="16" t="s">
        <v>4</v>
      </c>
      <c r="H13" s="32">
        <f>H11</f>
        <v>9375</v>
      </c>
      <c r="I13" s="17"/>
      <c r="J13" s="17"/>
      <c r="K13" s="17"/>
      <c r="L13" s="18"/>
    </row>
    <row r="14" spans="1:12" ht="16" thickBot="1" x14ac:dyDescent="0.25">
      <c r="C14" s="6">
        <v>35000</v>
      </c>
      <c r="D14" s="10">
        <f t="shared" si="0"/>
        <v>140000</v>
      </c>
      <c r="G14" s="19" t="s">
        <v>6</v>
      </c>
      <c r="H14" s="33">
        <f>H2+(H9-H6)</f>
        <v>21250</v>
      </c>
      <c r="I14" s="20"/>
      <c r="J14" s="20"/>
      <c r="K14" s="20"/>
      <c r="L14" s="21"/>
    </row>
    <row r="15" spans="1:12" ht="16" thickBot="1" x14ac:dyDescent="0.25">
      <c r="C15" s="6">
        <v>40000</v>
      </c>
      <c r="D15" s="10">
        <f t="shared" si="0"/>
        <v>160000</v>
      </c>
    </row>
    <row r="16" spans="1:12" x14ac:dyDescent="0.2">
      <c r="C16" s="6">
        <v>45000</v>
      </c>
      <c r="D16" s="10">
        <f t="shared" si="0"/>
        <v>180000</v>
      </c>
      <c r="G16" s="13" t="s">
        <v>13</v>
      </c>
      <c r="H16" s="31">
        <f>I16*L16</f>
        <v>71250</v>
      </c>
      <c r="I16" s="14">
        <v>1000</v>
      </c>
      <c r="J16" s="14" t="s">
        <v>9</v>
      </c>
      <c r="K16" s="14" t="s">
        <v>10</v>
      </c>
      <c r="L16" s="15">
        <v>71.25</v>
      </c>
    </row>
    <row r="17" spans="3:13" x14ac:dyDescent="0.2">
      <c r="C17" s="6">
        <v>50000</v>
      </c>
      <c r="D17" s="10">
        <f t="shared" si="0"/>
        <v>200000</v>
      </c>
      <c r="G17" s="16"/>
      <c r="H17" s="32"/>
      <c r="I17" s="17"/>
      <c r="J17" s="17"/>
      <c r="K17" s="17"/>
      <c r="L17" s="18"/>
    </row>
    <row r="18" spans="3:13" x14ac:dyDescent="0.2">
      <c r="C18" s="6">
        <v>55000</v>
      </c>
      <c r="D18" s="10">
        <f t="shared" si="0"/>
        <v>220000</v>
      </c>
      <c r="G18" s="16" t="s">
        <v>5</v>
      </c>
      <c r="H18" s="32">
        <f>H2-H10-(H6-H16)</f>
        <v>2500</v>
      </c>
      <c r="I18" s="17"/>
      <c r="J18" s="17"/>
      <c r="K18" s="17"/>
      <c r="L18" s="18"/>
    </row>
    <row r="19" spans="3:13" x14ac:dyDescent="0.2">
      <c r="C19" s="6">
        <v>60000</v>
      </c>
      <c r="D19" s="10">
        <f t="shared" si="0"/>
        <v>240000</v>
      </c>
      <c r="G19" s="16" t="s">
        <v>4</v>
      </c>
      <c r="H19" s="32">
        <f>H13</f>
        <v>9375</v>
      </c>
      <c r="I19" s="17"/>
      <c r="J19" s="17"/>
      <c r="K19" s="17"/>
      <c r="L19" s="18"/>
    </row>
    <row r="20" spans="3:13" ht="16" thickBot="1" x14ac:dyDescent="0.25">
      <c r="C20" s="6">
        <v>65000</v>
      </c>
      <c r="D20" s="10">
        <f t="shared" si="0"/>
        <v>260000</v>
      </c>
      <c r="G20" s="19" t="s">
        <v>6</v>
      </c>
      <c r="H20" s="33">
        <f>H2+(H16-H6)</f>
        <v>21250</v>
      </c>
      <c r="I20" s="20"/>
      <c r="J20" s="20"/>
      <c r="K20" s="20"/>
      <c r="L20" s="21"/>
    </row>
    <row r="21" spans="3:13" ht="16" thickBot="1" x14ac:dyDescent="0.25">
      <c r="C21" s="6">
        <v>70000</v>
      </c>
      <c r="D21" s="10">
        <f t="shared" si="0"/>
        <v>280000</v>
      </c>
    </row>
    <row r="22" spans="3:13" x14ac:dyDescent="0.2">
      <c r="C22" s="6">
        <v>75000</v>
      </c>
      <c r="D22" s="10">
        <f t="shared" si="0"/>
        <v>300000</v>
      </c>
      <c r="G22" s="22" t="s">
        <v>11</v>
      </c>
      <c r="H22" s="34"/>
      <c r="I22" s="23"/>
      <c r="J22" s="23"/>
      <c r="K22" s="23"/>
      <c r="L22" s="24"/>
    </row>
    <row r="23" spans="3:13" x14ac:dyDescent="0.2">
      <c r="C23" s="6">
        <v>80000</v>
      </c>
      <c r="D23" s="10">
        <f t="shared" si="0"/>
        <v>320000</v>
      </c>
      <c r="G23" s="25" t="s">
        <v>8</v>
      </c>
      <c r="H23" s="32">
        <f>I23*L23</f>
        <v>59375</v>
      </c>
      <c r="I23" s="17">
        <v>1000</v>
      </c>
      <c r="J23" s="17" t="s">
        <v>9</v>
      </c>
      <c r="K23" s="17" t="s">
        <v>10</v>
      </c>
      <c r="L23" s="26">
        <v>59.375</v>
      </c>
    </row>
    <row r="24" spans="3:13" x14ac:dyDescent="0.2">
      <c r="C24" s="6">
        <v>85000</v>
      </c>
      <c r="D24" s="10">
        <f t="shared" si="0"/>
        <v>340000</v>
      </c>
      <c r="G24" s="25"/>
      <c r="H24" s="32"/>
      <c r="I24" s="17"/>
      <c r="J24" s="17"/>
      <c r="K24" s="17"/>
      <c r="L24" s="26"/>
    </row>
    <row r="25" spans="3:13" x14ac:dyDescent="0.2">
      <c r="C25" s="6">
        <v>90000</v>
      </c>
      <c r="D25" s="10">
        <f t="shared" si="0"/>
        <v>360000</v>
      </c>
      <c r="G25" s="25" t="s">
        <v>5</v>
      </c>
      <c r="H25" s="32">
        <f>H2-H10-(H9-H23)</f>
        <v>-5625</v>
      </c>
      <c r="I25" s="17"/>
      <c r="J25" s="17"/>
      <c r="K25" s="17"/>
      <c r="L25" s="26"/>
    </row>
    <row r="26" spans="3:13" x14ac:dyDescent="0.2">
      <c r="C26" s="6">
        <v>95000</v>
      </c>
      <c r="D26" s="10">
        <f t="shared" si="0"/>
        <v>380000</v>
      </c>
      <c r="G26" s="25" t="s">
        <v>4</v>
      </c>
      <c r="H26" s="32">
        <f>H13</f>
        <v>9375</v>
      </c>
      <c r="I26" s="17"/>
      <c r="J26" s="17"/>
      <c r="K26" s="17"/>
      <c r="L26" s="26"/>
    </row>
    <row r="27" spans="3:13" ht="16" thickBot="1" x14ac:dyDescent="0.25">
      <c r="C27" s="7">
        <v>100000</v>
      </c>
      <c r="D27" s="11">
        <f t="shared" si="0"/>
        <v>400000</v>
      </c>
      <c r="G27" s="27" t="s">
        <v>6</v>
      </c>
      <c r="H27" s="35">
        <f>H2+(H23-H9)</f>
        <v>13125</v>
      </c>
      <c r="I27" s="28"/>
      <c r="J27" s="28"/>
      <c r="K27" s="28"/>
      <c r="L27" s="29"/>
    </row>
    <row r="30" spans="3:13" x14ac:dyDescent="0.2">
      <c r="G30" s="1" t="s">
        <v>14</v>
      </c>
    </row>
    <row r="31" spans="3:13" x14ac:dyDescent="0.2">
      <c r="G31" s="1" t="s">
        <v>15</v>
      </c>
      <c r="H31" s="30">
        <f>H11</f>
        <v>9375</v>
      </c>
    </row>
    <row r="32" spans="3:13" x14ac:dyDescent="0.2">
      <c r="G32" s="1" t="s">
        <v>16</v>
      </c>
      <c r="H32" s="30">
        <f>H2</f>
        <v>25000</v>
      </c>
      <c r="I32" s="1" t="s">
        <v>17</v>
      </c>
      <c r="J32" s="30">
        <f>H32-H31</f>
        <v>15625</v>
      </c>
      <c r="K32" s="1" t="s">
        <v>18</v>
      </c>
      <c r="L32" s="30">
        <f>J32-H32</f>
        <v>-9375</v>
      </c>
      <c r="M32" s="30" t="s">
        <v>19</v>
      </c>
    </row>
    <row r="33" spans="7:8" x14ac:dyDescent="0.2">
      <c r="H33" s="37">
        <f>(H2-H11)/H6</f>
        <v>0.20833333333333334</v>
      </c>
    </row>
    <row r="34" spans="7:8" x14ac:dyDescent="0.2">
      <c r="G34" s="1" t="s">
        <v>20</v>
      </c>
      <c r="H34" s="1">
        <f>L6-(H33*L6)</f>
        <v>59.375</v>
      </c>
    </row>
    <row r="35" spans="7:8" x14ac:dyDescent="0.2">
      <c r="G35" s="1" t="s">
        <v>21</v>
      </c>
      <c r="H35" s="36">
        <f>L6-((H2/H6)*L6)</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B517-CB38-4EA0-9C63-172C9DCCCBF8}">
  <sheetPr codeName="Sheet2"/>
  <dimension ref="B8:Q36"/>
  <sheetViews>
    <sheetView zoomScale="160" zoomScaleNormal="160" workbookViewId="0">
      <selection activeCell="AC66" sqref="AC66"/>
    </sheetView>
  </sheetViews>
  <sheetFormatPr baseColWidth="10" defaultColWidth="9.1640625" defaultRowHeight="15" x14ac:dyDescent="0.2"/>
  <cols>
    <col min="1" max="1" width="4.6640625" style="1" customWidth="1"/>
    <col min="2" max="8" width="4.1640625" style="43" customWidth="1"/>
    <col min="9" max="9" width="3" style="1" customWidth="1"/>
    <col min="10" max="10" width="6.33203125" style="1" customWidth="1"/>
    <col min="11" max="11" width="45.6640625" style="1" customWidth="1"/>
    <col min="12" max="12" width="9.1640625" style="1"/>
    <col min="13" max="13" width="45.6640625" style="1" customWidth="1"/>
    <col min="14" max="14" width="3" style="1" customWidth="1"/>
    <col min="15" max="17" width="4.1640625" style="43" customWidth="1"/>
    <col min="18" max="18" width="3.83203125" style="1" customWidth="1"/>
    <col min="19" max="16384" width="9.1640625" style="1"/>
  </cols>
  <sheetData>
    <row r="8" spans="2:17" ht="16" thickBot="1" x14ac:dyDescent="0.25"/>
    <row r="9" spans="2:17" ht="20" thickBot="1" x14ac:dyDescent="0.3">
      <c r="B9" s="120" t="s">
        <v>42</v>
      </c>
      <c r="C9" s="106" t="s">
        <v>35</v>
      </c>
      <c r="D9" s="106" t="s">
        <v>22</v>
      </c>
      <c r="E9" s="106" t="s">
        <v>36</v>
      </c>
      <c r="F9" s="106" t="s">
        <v>60</v>
      </c>
      <c r="G9" s="106" t="s">
        <v>37</v>
      </c>
      <c r="H9" s="106" t="s">
        <v>43</v>
      </c>
      <c r="I9" s="47"/>
      <c r="J9" s="47"/>
      <c r="K9" s="45" t="s">
        <v>23</v>
      </c>
      <c r="L9" s="44"/>
      <c r="M9" s="46" t="s">
        <v>24</v>
      </c>
      <c r="N9" s="14"/>
      <c r="O9" s="106" t="s">
        <v>62</v>
      </c>
      <c r="P9" s="106" t="s">
        <v>25</v>
      </c>
      <c r="Q9" s="109" t="s">
        <v>26</v>
      </c>
    </row>
    <row r="10" spans="2:17" ht="16" thickBot="1" x14ac:dyDescent="0.25">
      <c r="B10" s="121"/>
      <c r="C10" s="107"/>
      <c r="D10" s="107"/>
      <c r="E10" s="107"/>
      <c r="F10" s="107"/>
      <c r="G10" s="107"/>
      <c r="H10" s="107"/>
      <c r="I10" s="48"/>
      <c r="J10" s="48"/>
      <c r="O10" s="107"/>
      <c r="P10" s="107"/>
      <c r="Q10" s="110"/>
    </row>
    <row r="11" spans="2:17" ht="20" thickBot="1" x14ac:dyDescent="0.25">
      <c r="B11" s="121"/>
      <c r="C11" s="107"/>
      <c r="D11" s="107"/>
      <c r="E11" s="107"/>
      <c r="F11" s="107"/>
      <c r="G11" s="107"/>
      <c r="H11" s="107"/>
      <c r="I11" s="48"/>
      <c r="J11" s="49"/>
      <c r="K11" s="112" t="s">
        <v>27</v>
      </c>
      <c r="L11" s="113"/>
      <c r="M11" s="114"/>
      <c r="O11" s="107"/>
      <c r="P11" s="107"/>
      <c r="Q11" s="110"/>
    </row>
    <row r="12" spans="2:17" ht="15" customHeight="1" x14ac:dyDescent="0.2">
      <c r="B12" s="121"/>
      <c r="C12" s="107"/>
      <c r="D12" s="107"/>
      <c r="E12" s="107"/>
      <c r="F12" s="107"/>
      <c r="G12" s="107"/>
      <c r="H12" s="107"/>
      <c r="I12" s="48"/>
      <c r="J12" s="115" t="s">
        <v>28</v>
      </c>
      <c r="K12" s="116" t="s">
        <v>39</v>
      </c>
      <c r="L12" s="117"/>
      <c r="M12" s="117"/>
      <c r="O12" s="107"/>
      <c r="P12" s="107"/>
      <c r="Q12" s="110"/>
    </row>
    <row r="13" spans="2:17" x14ac:dyDescent="0.2">
      <c r="B13" s="121"/>
      <c r="C13" s="107"/>
      <c r="D13" s="107"/>
      <c r="E13" s="107"/>
      <c r="F13" s="107"/>
      <c r="G13" s="107"/>
      <c r="H13" s="107"/>
      <c r="I13" s="48"/>
      <c r="J13" s="115"/>
      <c r="K13" s="105" t="s">
        <v>32</v>
      </c>
      <c r="L13" s="105"/>
      <c r="M13" s="105"/>
      <c r="O13" s="107"/>
      <c r="P13" s="107"/>
      <c r="Q13" s="110"/>
    </row>
    <row r="14" spans="2:17" x14ac:dyDescent="0.2">
      <c r="B14" s="121"/>
      <c r="C14" s="107"/>
      <c r="D14" s="107"/>
      <c r="E14" s="107"/>
      <c r="F14" s="107"/>
      <c r="G14" s="107"/>
      <c r="H14" s="107"/>
      <c r="I14" s="48"/>
      <c r="J14" s="115"/>
      <c r="K14" s="105" t="s">
        <v>41</v>
      </c>
      <c r="L14" s="105"/>
      <c r="M14" s="105"/>
      <c r="O14" s="107"/>
      <c r="P14" s="107"/>
      <c r="Q14" s="110"/>
    </row>
    <row r="15" spans="2:17" x14ac:dyDescent="0.2">
      <c r="B15" s="121"/>
      <c r="C15" s="107"/>
      <c r="D15" s="107"/>
      <c r="E15" s="107"/>
      <c r="F15" s="107"/>
      <c r="G15" s="107"/>
      <c r="H15" s="107"/>
      <c r="I15" s="48"/>
      <c r="J15" s="115"/>
      <c r="O15" s="107"/>
      <c r="P15" s="107"/>
      <c r="Q15" s="110"/>
    </row>
    <row r="16" spans="2:17" x14ac:dyDescent="0.2">
      <c r="B16" s="121"/>
      <c r="C16" s="107"/>
      <c r="D16" s="107"/>
      <c r="E16" s="107"/>
      <c r="F16" s="107"/>
      <c r="G16" s="107"/>
      <c r="H16" s="107"/>
      <c r="I16" s="48"/>
      <c r="J16" s="115"/>
      <c r="O16" s="107"/>
      <c r="P16" s="107"/>
      <c r="Q16" s="110"/>
    </row>
    <row r="17" spans="2:17" x14ac:dyDescent="0.2">
      <c r="B17" s="121"/>
      <c r="C17" s="107"/>
      <c r="D17" s="107"/>
      <c r="E17" s="107"/>
      <c r="F17" s="107"/>
      <c r="G17" s="107"/>
      <c r="H17" s="107"/>
      <c r="I17" s="48"/>
      <c r="J17" s="115"/>
      <c r="O17" s="107"/>
      <c r="P17" s="107"/>
      <c r="Q17" s="110"/>
    </row>
    <row r="18" spans="2:17" x14ac:dyDescent="0.2">
      <c r="B18" s="121"/>
      <c r="C18" s="107"/>
      <c r="D18" s="107"/>
      <c r="E18" s="107"/>
      <c r="F18" s="107"/>
      <c r="G18" s="107"/>
      <c r="H18" s="107"/>
      <c r="I18" s="48"/>
      <c r="J18" s="115"/>
      <c r="O18" s="107"/>
      <c r="P18" s="107"/>
      <c r="Q18" s="110"/>
    </row>
    <row r="19" spans="2:17" ht="16" thickBot="1" x14ac:dyDescent="0.25">
      <c r="B19" s="121"/>
      <c r="C19" s="107"/>
      <c r="D19" s="107"/>
      <c r="E19" s="107"/>
      <c r="F19" s="107"/>
      <c r="G19" s="107"/>
      <c r="H19" s="107"/>
      <c r="I19" s="48"/>
      <c r="J19" s="115"/>
      <c r="O19" s="107"/>
      <c r="P19" s="107"/>
      <c r="Q19" s="110"/>
    </row>
    <row r="20" spans="2:17" ht="20" thickBot="1" x14ac:dyDescent="0.25">
      <c r="B20" s="121"/>
      <c r="C20" s="107"/>
      <c r="D20" s="107"/>
      <c r="E20" s="107"/>
      <c r="F20" s="107"/>
      <c r="G20" s="107"/>
      <c r="H20" s="107"/>
      <c r="I20" s="48"/>
      <c r="J20" s="49"/>
      <c r="K20" s="112" t="s">
        <v>30</v>
      </c>
      <c r="L20" s="113"/>
      <c r="M20" s="114"/>
      <c r="O20" s="107"/>
      <c r="P20" s="107"/>
      <c r="Q20" s="110"/>
    </row>
    <row r="21" spans="2:17" x14ac:dyDescent="0.2">
      <c r="B21" s="121"/>
      <c r="C21" s="107"/>
      <c r="D21" s="107"/>
      <c r="E21" s="107"/>
      <c r="F21" s="107"/>
      <c r="G21" s="107"/>
      <c r="H21" s="107"/>
      <c r="I21" s="48"/>
      <c r="J21" s="115" t="s">
        <v>28</v>
      </c>
      <c r="K21" s="116" t="s">
        <v>29</v>
      </c>
      <c r="L21" s="117"/>
      <c r="M21" s="117"/>
      <c r="O21" s="107"/>
      <c r="P21" s="107"/>
      <c r="Q21" s="110"/>
    </row>
    <row r="22" spans="2:17" x14ac:dyDescent="0.2">
      <c r="B22" s="121"/>
      <c r="C22" s="107"/>
      <c r="D22" s="107"/>
      <c r="E22" s="107"/>
      <c r="F22" s="107"/>
      <c r="G22" s="107"/>
      <c r="H22" s="107"/>
      <c r="I22" s="48"/>
      <c r="J22" s="115"/>
      <c r="L22" s="1" t="s">
        <v>33</v>
      </c>
      <c r="O22" s="107"/>
      <c r="P22" s="107"/>
      <c r="Q22" s="110"/>
    </row>
    <row r="23" spans="2:17" x14ac:dyDescent="0.2">
      <c r="B23" s="121"/>
      <c r="C23" s="107"/>
      <c r="D23" s="107"/>
      <c r="E23" s="107"/>
      <c r="F23" s="107"/>
      <c r="G23" s="107"/>
      <c r="H23" s="107"/>
      <c r="I23" s="48"/>
      <c r="J23" s="115"/>
      <c r="O23" s="107"/>
      <c r="P23" s="107"/>
      <c r="Q23" s="110"/>
    </row>
    <row r="24" spans="2:17" x14ac:dyDescent="0.2">
      <c r="B24" s="121"/>
      <c r="C24" s="107"/>
      <c r="D24" s="107"/>
      <c r="E24" s="107"/>
      <c r="F24" s="107"/>
      <c r="G24" s="107"/>
      <c r="H24" s="107"/>
      <c r="I24" s="48"/>
      <c r="J24" s="115"/>
      <c r="O24" s="107"/>
      <c r="P24" s="107"/>
      <c r="Q24" s="110"/>
    </row>
    <row r="25" spans="2:17" x14ac:dyDescent="0.2">
      <c r="B25" s="121"/>
      <c r="C25" s="107"/>
      <c r="D25" s="107"/>
      <c r="E25" s="107"/>
      <c r="F25" s="107"/>
      <c r="G25" s="107"/>
      <c r="H25" s="107"/>
      <c r="I25" s="48"/>
      <c r="J25" s="115"/>
      <c r="O25" s="107"/>
      <c r="P25" s="107"/>
      <c r="Q25" s="110"/>
    </row>
    <row r="26" spans="2:17" x14ac:dyDescent="0.2">
      <c r="B26" s="121"/>
      <c r="C26" s="107"/>
      <c r="D26" s="107"/>
      <c r="E26" s="107"/>
      <c r="F26" s="107"/>
      <c r="G26" s="107"/>
      <c r="H26" s="107"/>
      <c r="I26" s="48"/>
      <c r="J26" s="115"/>
      <c r="O26" s="107"/>
      <c r="P26" s="107"/>
      <c r="Q26" s="110"/>
    </row>
    <row r="27" spans="2:17" x14ac:dyDescent="0.2">
      <c r="B27" s="121"/>
      <c r="C27" s="107"/>
      <c r="D27" s="107"/>
      <c r="E27" s="107"/>
      <c r="F27" s="107"/>
      <c r="G27" s="107"/>
      <c r="H27" s="107"/>
      <c r="I27" s="48"/>
      <c r="J27" s="115"/>
      <c r="O27" s="107"/>
      <c r="P27" s="107"/>
      <c r="Q27" s="110"/>
    </row>
    <row r="28" spans="2:17" ht="16" thickBot="1" x14ac:dyDescent="0.25">
      <c r="B28" s="121"/>
      <c r="C28" s="107"/>
      <c r="D28" s="107"/>
      <c r="E28" s="107"/>
      <c r="F28" s="107"/>
      <c r="G28" s="107"/>
      <c r="H28" s="107"/>
      <c r="I28" s="48"/>
      <c r="J28" s="115"/>
      <c r="O28" s="107"/>
      <c r="P28" s="107"/>
      <c r="Q28" s="110"/>
    </row>
    <row r="29" spans="2:17" ht="20" thickBot="1" x14ac:dyDescent="0.25">
      <c r="B29" s="121"/>
      <c r="C29" s="107"/>
      <c r="D29" s="107"/>
      <c r="E29" s="107"/>
      <c r="F29" s="107"/>
      <c r="G29" s="107"/>
      <c r="H29" s="107"/>
      <c r="I29" s="48"/>
      <c r="J29" s="48"/>
      <c r="K29" s="112" t="s">
        <v>31</v>
      </c>
      <c r="L29" s="113"/>
      <c r="M29" s="114"/>
      <c r="O29" s="107"/>
      <c r="P29" s="107"/>
      <c r="Q29" s="110"/>
    </row>
    <row r="30" spans="2:17" x14ac:dyDescent="0.2">
      <c r="B30" s="121"/>
      <c r="C30" s="107"/>
      <c r="D30" s="107"/>
      <c r="E30" s="107"/>
      <c r="F30" s="107"/>
      <c r="G30" s="107"/>
      <c r="H30" s="107"/>
      <c r="I30" s="48"/>
      <c r="J30" s="115" t="s">
        <v>38</v>
      </c>
      <c r="K30" s="116" t="s">
        <v>40</v>
      </c>
      <c r="L30" s="117"/>
      <c r="M30" s="117"/>
      <c r="O30" s="107"/>
      <c r="P30" s="107"/>
      <c r="Q30" s="110"/>
    </row>
    <row r="31" spans="2:17" x14ac:dyDescent="0.2">
      <c r="B31" s="121"/>
      <c r="C31" s="107"/>
      <c r="D31" s="107"/>
      <c r="E31" s="107"/>
      <c r="F31" s="107"/>
      <c r="G31" s="107"/>
      <c r="H31" s="107"/>
      <c r="I31" s="48"/>
      <c r="J31" s="115"/>
      <c r="K31" s="105" t="s">
        <v>34</v>
      </c>
      <c r="L31" s="119"/>
      <c r="M31" s="119"/>
      <c r="O31" s="107"/>
      <c r="P31" s="107"/>
      <c r="Q31" s="110"/>
    </row>
    <row r="32" spans="2:17" x14ac:dyDescent="0.2">
      <c r="B32" s="121"/>
      <c r="C32" s="107"/>
      <c r="D32" s="107"/>
      <c r="E32" s="107"/>
      <c r="F32" s="107"/>
      <c r="G32" s="107"/>
      <c r="H32" s="107"/>
      <c r="I32" s="48"/>
      <c r="J32" s="115"/>
      <c r="O32" s="107"/>
      <c r="P32" s="107"/>
      <c r="Q32" s="110"/>
    </row>
    <row r="33" spans="2:17" x14ac:dyDescent="0.2">
      <c r="B33" s="121"/>
      <c r="C33" s="107"/>
      <c r="D33" s="107"/>
      <c r="E33" s="107"/>
      <c r="F33" s="107"/>
      <c r="G33" s="107"/>
      <c r="H33" s="107"/>
      <c r="I33" s="48"/>
      <c r="J33" s="115"/>
      <c r="O33" s="107"/>
      <c r="P33" s="107"/>
      <c r="Q33" s="110"/>
    </row>
    <row r="34" spans="2:17" x14ac:dyDescent="0.2">
      <c r="B34" s="121"/>
      <c r="C34" s="107"/>
      <c r="D34" s="107"/>
      <c r="E34" s="107"/>
      <c r="F34" s="107"/>
      <c r="G34" s="107"/>
      <c r="H34" s="107"/>
      <c r="I34" s="48"/>
      <c r="J34" s="115"/>
      <c r="O34" s="107"/>
      <c r="P34" s="107"/>
      <c r="Q34" s="110"/>
    </row>
    <row r="35" spans="2:17" x14ac:dyDescent="0.2">
      <c r="B35" s="121"/>
      <c r="C35" s="107"/>
      <c r="D35" s="107"/>
      <c r="E35" s="107"/>
      <c r="F35" s="107"/>
      <c r="G35" s="107"/>
      <c r="H35" s="107"/>
      <c r="I35" s="48"/>
      <c r="J35" s="115"/>
      <c r="O35" s="107"/>
      <c r="P35" s="107"/>
      <c r="Q35" s="110"/>
    </row>
    <row r="36" spans="2:17" ht="16" thickBot="1" x14ac:dyDescent="0.25">
      <c r="B36" s="122"/>
      <c r="C36" s="108"/>
      <c r="D36" s="108"/>
      <c r="E36" s="108"/>
      <c r="F36" s="108"/>
      <c r="G36" s="108"/>
      <c r="H36" s="108"/>
      <c r="I36" s="50"/>
      <c r="J36" s="118"/>
      <c r="K36" s="20"/>
      <c r="L36" s="20"/>
      <c r="M36" s="20"/>
      <c r="N36" s="20"/>
      <c r="O36" s="108"/>
      <c r="P36" s="108"/>
      <c r="Q36" s="111"/>
    </row>
  </sheetData>
  <mergeCells count="22">
    <mergeCell ref="B9:B36"/>
    <mergeCell ref="C9:C36"/>
    <mergeCell ref="D9:D36"/>
    <mergeCell ref="E9:E36"/>
    <mergeCell ref="G9:G36"/>
    <mergeCell ref="F9:F36"/>
    <mergeCell ref="K14:M14"/>
    <mergeCell ref="H9:H36"/>
    <mergeCell ref="P9:P36"/>
    <mergeCell ref="Q9:Q36"/>
    <mergeCell ref="K11:M11"/>
    <mergeCell ref="J12:J19"/>
    <mergeCell ref="K12:M12"/>
    <mergeCell ref="K20:M20"/>
    <mergeCell ref="J21:J28"/>
    <mergeCell ref="K21:M21"/>
    <mergeCell ref="K29:M29"/>
    <mergeCell ref="J30:J36"/>
    <mergeCell ref="O9:O36"/>
    <mergeCell ref="K30:M30"/>
    <mergeCell ref="K13:M13"/>
    <mergeCell ref="K31:M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21C5F-6F3C-483D-9620-5046CDF69426}">
  <dimension ref="B1:V36"/>
  <sheetViews>
    <sheetView zoomScale="150" zoomScaleNormal="150" workbookViewId="0">
      <selection activeCell="L6" sqref="L6"/>
    </sheetView>
  </sheetViews>
  <sheetFormatPr baseColWidth="10" defaultColWidth="9.1640625" defaultRowHeight="15" x14ac:dyDescent="0.2"/>
  <cols>
    <col min="1" max="1" width="3.83203125" style="1" customWidth="1"/>
    <col min="2" max="8" width="4.1640625" style="43" customWidth="1"/>
    <col min="9" max="9" width="3" style="1" customWidth="1"/>
    <col min="10" max="10" width="6.33203125" style="1" customWidth="1"/>
    <col min="11" max="11" width="45.6640625" style="1" customWidth="1"/>
    <col min="12" max="12" width="9.1640625" style="1"/>
    <col min="13" max="13" width="45.6640625" style="1" customWidth="1"/>
    <col min="14" max="14" width="3" style="1" customWidth="1"/>
    <col min="15" max="17" width="4.1640625" style="43" customWidth="1"/>
    <col min="18" max="18" width="4.33203125" style="1" customWidth="1"/>
    <col min="19" max="16384" width="9.1640625" style="1"/>
  </cols>
  <sheetData>
    <row r="1" spans="2:22" x14ac:dyDescent="0.2">
      <c r="K1" s="1" t="s">
        <v>44</v>
      </c>
      <c r="L1" s="53">
        <v>25000</v>
      </c>
    </row>
    <row r="2" spans="2:22" x14ac:dyDescent="0.2">
      <c r="K2" s="1" t="s">
        <v>1</v>
      </c>
      <c r="L2" s="53">
        <v>4</v>
      </c>
    </row>
    <row r="3" spans="2:22" x14ac:dyDescent="0.2">
      <c r="K3" s="1" t="s">
        <v>45</v>
      </c>
      <c r="L3" s="53">
        <f>L2*L1</f>
        <v>100000</v>
      </c>
      <c r="U3" s="30">
        <f>0.4*L3</f>
        <v>40000</v>
      </c>
      <c r="V3" s="30">
        <f>0.6*L3</f>
        <v>60000</v>
      </c>
    </row>
    <row r="4" spans="2:22" x14ac:dyDescent="0.2">
      <c r="K4" s="1" t="s">
        <v>58</v>
      </c>
      <c r="L4" s="53">
        <f>L3/2</f>
        <v>50000</v>
      </c>
      <c r="U4" s="30">
        <f>0*L3</f>
        <v>0</v>
      </c>
      <c r="V4" s="30">
        <f>0.4*L3</f>
        <v>40000</v>
      </c>
    </row>
    <row r="5" spans="2:22" x14ac:dyDescent="0.2">
      <c r="K5" s="1" t="s">
        <v>59</v>
      </c>
      <c r="L5" s="53">
        <f>L3/2</f>
        <v>50000</v>
      </c>
      <c r="U5" s="1">
        <f>0.5*L4</f>
        <v>25000</v>
      </c>
    </row>
    <row r="6" spans="2:22" x14ac:dyDescent="0.2">
      <c r="K6" s="1" t="s">
        <v>61</v>
      </c>
      <c r="L6" s="53">
        <f>L4*0.3</f>
        <v>15000</v>
      </c>
      <c r="U6" s="1">
        <f>0.2*L4</f>
        <v>10000</v>
      </c>
    </row>
    <row r="7" spans="2:22" x14ac:dyDescent="0.2">
      <c r="U7" s="1">
        <f>0.3*L3</f>
        <v>30000</v>
      </c>
    </row>
    <row r="8" spans="2:22" ht="16" thickBot="1" x14ac:dyDescent="0.25">
      <c r="U8" s="1">
        <f>L6*0.1</f>
        <v>1500</v>
      </c>
    </row>
    <row r="9" spans="2:22" ht="19.5" customHeight="1" thickBot="1" x14ac:dyDescent="0.3">
      <c r="B9" s="120" t="s">
        <v>42</v>
      </c>
      <c r="C9" s="106" t="str">
        <f>"Max Portfolio Net Exposure "&amp;U5</f>
        <v>Max Portfolio Net Exposure 25000</v>
      </c>
      <c r="D9" s="106" t="str">
        <f>"Max Sector Net Exposure "&amp;U6</f>
        <v>Max Sector Net Exposure 10000</v>
      </c>
      <c r="E9" s="106" t="str">
        <f>"Max Sector Gross Exposure "&amp;U7</f>
        <v>Max Sector Gross Exposure 30000</v>
      </c>
      <c r="F9" s="106" t="str">
        <f>"Max Pair Trade Position "&amp;U8&amp; " net and "&amp;U7&amp;" Gross"</f>
        <v>Max Pair Trade Position 1500 net and 30000 Gross</v>
      </c>
      <c r="G9" s="106" t="str">
        <f>"Max Single Stock Position "&amp;U8&amp;" or "&amp; U6&amp;" with "&amp;U8&amp;" Hedge"</f>
        <v>Max Single Stock Position 1500 or 10000 with 1500 Hedge</v>
      </c>
      <c r="H9" s="106" t="s">
        <v>43</v>
      </c>
      <c r="I9" s="47"/>
      <c r="J9" s="47"/>
      <c r="K9" s="45" t="s">
        <v>23</v>
      </c>
      <c r="L9" s="44"/>
      <c r="M9" s="46" t="s">
        <v>24</v>
      </c>
      <c r="N9" s="14"/>
      <c r="O9" s="106" t="str">
        <f>"Cooling off "&amp;U9&amp;" to Max Drawdown of "&amp;U8</f>
        <v>Cooling off 2500 to Max Drawdown of 1500</v>
      </c>
      <c r="P9" s="106" t="str">
        <f>"Hard Stop-Loss on any single position: "&amp;U10&amp;" to"&amp;U11</f>
        <v>Hard Stop-Loss on any single position: 105 to150</v>
      </c>
      <c r="Q9" s="109" t="s">
        <v>26</v>
      </c>
      <c r="U9" s="1">
        <f>L4*0.05</f>
        <v>2500</v>
      </c>
    </row>
    <row r="10" spans="2:22" ht="16" thickBot="1" x14ac:dyDescent="0.25">
      <c r="B10" s="121"/>
      <c r="C10" s="107"/>
      <c r="D10" s="107"/>
      <c r="E10" s="107"/>
      <c r="F10" s="107"/>
      <c r="G10" s="107"/>
      <c r="H10" s="107"/>
      <c r="I10" s="48"/>
      <c r="J10" s="48"/>
      <c r="O10" s="107"/>
      <c r="P10" s="107"/>
      <c r="Q10" s="110"/>
      <c r="U10" s="1">
        <f>0.07*U8</f>
        <v>105.00000000000001</v>
      </c>
    </row>
    <row r="11" spans="2:22" ht="20" thickBot="1" x14ac:dyDescent="0.25">
      <c r="B11" s="121"/>
      <c r="C11" s="107"/>
      <c r="D11" s="107"/>
      <c r="E11" s="107"/>
      <c r="F11" s="107"/>
      <c r="G11" s="107"/>
      <c r="H11" s="107"/>
      <c r="I11" s="48"/>
      <c r="J11" s="49"/>
      <c r="K11" s="112" t="s">
        <v>27</v>
      </c>
      <c r="L11" s="113"/>
      <c r="M11" s="114"/>
      <c r="O11" s="107"/>
      <c r="P11" s="107"/>
      <c r="Q11" s="110"/>
      <c r="U11" s="1">
        <f>0.1*U8</f>
        <v>150</v>
      </c>
    </row>
    <row r="12" spans="2:22" ht="15" customHeight="1" x14ac:dyDescent="0.2">
      <c r="B12" s="121"/>
      <c r="C12" s="107"/>
      <c r="D12" s="107"/>
      <c r="E12" s="107"/>
      <c r="F12" s="107"/>
      <c r="G12" s="107"/>
      <c r="H12" s="107"/>
      <c r="I12" s="48"/>
      <c r="J12" s="115" t="str">
        <f>U3&amp;" to "&amp;V3&amp;" Portfolio Exposure"</f>
        <v>40000 to 60000 Portfolio Exposure</v>
      </c>
      <c r="K12" s="116" t="s">
        <v>39</v>
      </c>
      <c r="L12" s="117"/>
      <c r="M12" s="117"/>
      <c r="O12" s="107"/>
      <c r="P12" s="107"/>
      <c r="Q12" s="110"/>
    </row>
    <row r="13" spans="2:22" x14ac:dyDescent="0.2">
      <c r="B13" s="121"/>
      <c r="C13" s="107"/>
      <c r="D13" s="107"/>
      <c r="E13" s="107"/>
      <c r="F13" s="107"/>
      <c r="G13" s="107"/>
      <c r="H13" s="107"/>
      <c r="I13" s="48"/>
      <c r="J13" s="115"/>
      <c r="K13" s="105" t="s">
        <v>32</v>
      </c>
      <c r="L13" s="105"/>
      <c r="M13" s="105"/>
      <c r="O13" s="107"/>
      <c r="P13" s="107"/>
      <c r="Q13" s="110"/>
    </row>
    <row r="14" spans="2:22" x14ac:dyDescent="0.2">
      <c r="B14" s="121"/>
      <c r="C14" s="107"/>
      <c r="D14" s="107"/>
      <c r="E14" s="107"/>
      <c r="F14" s="107"/>
      <c r="G14" s="107"/>
      <c r="H14" s="107"/>
      <c r="I14" s="48"/>
      <c r="J14" s="115"/>
      <c r="K14" s="105" t="s">
        <v>41</v>
      </c>
      <c r="L14" s="105"/>
      <c r="M14" s="105"/>
      <c r="O14" s="107"/>
      <c r="P14" s="107"/>
      <c r="Q14" s="110"/>
    </row>
    <row r="15" spans="2:22" x14ac:dyDescent="0.2">
      <c r="B15" s="121"/>
      <c r="C15" s="107"/>
      <c r="D15" s="107"/>
      <c r="E15" s="107"/>
      <c r="F15" s="107"/>
      <c r="G15" s="107"/>
      <c r="H15" s="107"/>
      <c r="I15" s="48"/>
      <c r="J15" s="115"/>
      <c r="O15" s="107"/>
      <c r="P15" s="107"/>
      <c r="Q15" s="110"/>
    </row>
    <row r="16" spans="2:22" x14ac:dyDescent="0.2">
      <c r="B16" s="121"/>
      <c r="C16" s="107"/>
      <c r="D16" s="107"/>
      <c r="E16" s="107"/>
      <c r="F16" s="107"/>
      <c r="G16" s="107"/>
      <c r="H16" s="107"/>
      <c r="I16" s="48"/>
      <c r="J16" s="115"/>
      <c r="O16" s="107"/>
      <c r="P16" s="107"/>
      <c r="Q16" s="110"/>
    </row>
    <row r="17" spans="2:17" x14ac:dyDescent="0.2">
      <c r="B17" s="121"/>
      <c r="C17" s="107"/>
      <c r="D17" s="107"/>
      <c r="E17" s="107"/>
      <c r="F17" s="107"/>
      <c r="G17" s="107"/>
      <c r="H17" s="107"/>
      <c r="I17" s="48"/>
      <c r="J17" s="115"/>
      <c r="O17" s="107"/>
      <c r="P17" s="107"/>
      <c r="Q17" s="110"/>
    </row>
    <row r="18" spans="2:17" x14ac:dyDescent="0.2">
      <c r="B18" s="121"/>
      <c r="C18" s="107"/>
      <c r="D18" s="107"/>
      <c r="E18" s="107"/>
      <c r="F18" s="107"/>
      <c r="G18" s="107"/>
      <c r="H18" s="107"/>
      <c r="I18" s="48"/>
      <c r="J18" s="115"/>
      <c r="O18" s="107"/>
      <c r="P18" s="107"/>
      <c r="Q18" s="110"/>
    </row>
    <row r="19" spans="2:17" ht="22.5" customHeight="1" thickBot="1" x14ac:dyDescent="0.25">
      <c r="B19" s="121"/>
      <c r="C19" s="107"/>
      <c r="D19" s="107"/>
      <c r="E19" s="107"/>
      <c r="F19" s="107"/>
      <c r="G19" s="107"/>
      <c r="H19" s="107"/>
      <c r="I19" s="48"/>
      <c r="J19" s="115"/>
      <c r="O19" s="107"/>
      <c r="P19" s="107"/>
      <c r="Q19" s="110"/>
    </row>
    <row r="20" spans="2:17" ht="20" thickBot="1" x14ac:dyDescent="0.25">
      <c r="B20" s="121"/>
      <c r="C20" s="107"/>
      <c r="D20" s="107"/>
      <c r="E20" s="107"/>
      <c r="F20" s="107"/>
      <c r="G20" s="107"/>
      <c r="H20" s="107"/>
      <c r="I20" s="48"/>
      <c r="J20" s="49"/>
      <c r="K20" s="112" t="s">
        <v>30</v>
      </c>
      <c r="L20" s="113"/>
      <c r="M20" s="114"/>
      <c r="O20" s="107"/>
      <c r="P20" s="107"/>
      <c r="Q20" s="110"/>
    </row>
    <row r="21" spans="2:17" ht="15" customHeight="1" x14ac:dyDescent="0.2">
      <c r="B21" s="121"/>
      <c r="C21" s="107"/>
      <c r="D21" s="107"/>
      <c r="E21" s="107"/>
      <c r="F21" s="107"/>
      <c r="G21" s="107"/>
      <c r="H21" s="107"/>
      <c r="I21" s="48"/>
      <c r="J21" s="115" t="str">
        <f>U3&amp;" to "&amp;V3&amp;" Portfolio Exposure"</f>
        <v>40000 to 60000 Portfolio Exposure</v>
      </c>
      <c r="K21" s="116" t="s">
        <v>29</v>
      </c>
      <c r="L21" s="117"/>
      <c r="M21" s="117"/>
      <c r="O21" s="107"/>
      <c r="P21" s="107"/>
      <c r="Q21" s="110"/>
    </row>
    <row r="22" spans="2:17" x14ac:dyDescent="0.2">
      <c r="B22" s="121"/>
      <c r="C22" s="107"/>
      <c r="D22" s="107"/>
      <c r="E22" s="107"/>
      <c r="F22" s="107"/>
      <c r="G22" s="107"/>
      <c r="H22" s="107"/>
      <c r="I22" s="48"/>
      <c r="J22" s="115"/>
      <c r="L22" s="1" t="s">
        <v>33</v>
      </c>
      <c r="O22" s="107"/>
      <c r="P22" s="107"/>
      <c r="Q22" s="110"/>
    </row>
    <row r="23" spans="2:17" x14ac:dyDescent="0.2">
      <c r="B23" s="121"/>
      <c r="C23" s="107"/>
      <c r="D23" s="107"/>
      <c r="E23" s="107"/>
      <c r="F23" s="107"/>
      <c r="G23" s="107"/>
      <c r="H23" s="107"/>
      <c r="I23" s="48"/>
      <c r="J23" s="115"/>
      <c r="O23" s="107"/>
      <c r="P23" s="107"/>
      <c r="Q23" s="110"/>
    </row>
    <row r="24" spans="2:17" x14ac:dyDescent="0.2">
      <c r="B24" s="121"/>
      <c r="C24" s="107"/>
      <c r="D24" s="107"/>
      <c r="E24" s="107"/>
      <c r="F24" s="107"/>
      <c r="G24" s="107"/>
      <c r="H24" s="107"/>
      <c r="I24" s="48"/>
      <c r="J24" s="115"/>
      <c r="O24" s="107"/>
      <c r="P24" s="107"/>
      <c r="Q24" s="110"/>
    </row>
    <row r="25" spans="2:17" x14ac:dyDescent="0.2">
      <c r="B25" s="121"/>
      <c r="C25" s="107"/>
      <c r="D25" s="107"/>
      <c r="E25" s="107"/>
      <c r="F25" s="107"/>
      <c r="G25" s="107"/>
      <c r="H25" s="107"/>
      <c r="I25" s="48"/>
      <c r="J25" s="115"/>
      <c r="O25" s="107"/>
      <c r="P25" s="107"/>
      <c r="Q25" s="110"/>
    </row>
    <row r="26" spans="2:17" x14ac:dyDescent="0.2">
      <c r="B26" s="121"/>
      <c r="C26" s="107"/>
      <c r="D26" s="107"/>
      <c r="E26" s="107"/>
      <c r="F26" s="107"/>
      <c r="G26" s="107"/>
      <c r="H26" s="107"/>
      <c r="I26" s="48"/>
      <c r="J26" s="115"/>
      <c r="O26" s="107"/>
      <c r="P26" s="107"/>
      <c r="Q26" s="110"/>
    </row>
    <row r="27" spans="2:17" x14ac:dyDescent="0.2">
      <c r="B27" s="121"/>
      <c r="C27" s="107"/>
      <c r="D27" s="107"/>
      <c r="E27" s="107"/>
      <c r="F27" s="107"/>
      <c r="G27" s="107"/>
      <c r="H27" s="107"/>
      <c r="I27" s="48"/>
      <c r="J27" s="115"/>
      <c r="O27" s="107"/>
      <c r="P27" s="107"/>
      <c r="Q27" s="110"/>
    </row>
    <row r="28" spans="2:17" ht="25.5" customHeight="1" thickBot="1" x14ac:dyDescent="0.25">
      <c r="B28" s="121"/>
      <c r="C28" s="107"/>
      <c r="D28" s="107"/>
      <c r="E28" s="107"/>
      <c r="F28" s="107"/>
      <c r="G28" s="107"/>
      <c r="H28" s="107"/>
      <c r="I28" s="48"/>
      <c r="J28" s="115"/>
      <c r="O28" s="107"/>
      <c r="P28" s="107"/>
      <c r="Q28" s="110"/>
    </row>
    <row r="29" spans="2:17" ht="20" thickBot="1" x14ac:dyDescent="0.25">
      <c r="B29" s="121"/>
      <c r="C29" s="107"/>
      <c r="D29" s="107"/>
      <c r="E29" s="107"/>
      <c r="F29" s="107"/>
      <c r="G29" s="107"/>
      <c r="H29" s="107"/>
      <c r="I29" s="48"/>
      <c r="J29" s="48"/>
      <c r="K29" s="112" t="s">
        <v>31</v>
      </c>
      <c r="L29" s="113"/>
      <c r="M29" s="114"/>
      <c r="O29" s="107"/>
      <c r="P29" s="107"/>
      <c r="Q29" s="110"/>
    </row>
    <row r="30" spans="2:17" x14ac:dyDescent="0.2">
      <c r="B30" s="121"/>
      <c r="C30" s="107"/>
      <c r="D30" s="107"/>
      <c r="E30" s="107"/>
      <c r="F30" s="107"/>
      <c r="G30" s="107"/>
      <c r="H30" s="107"/>
      <c r="I30" s="48"/>
      <c r="J30" s="115" t="str">
        <f>U4&amp;" to "&amp;V4&amp;" Portfolio Exposure"</f>
        <v>0 to 40000 Portfolio Exposure</v>
      </c>
      <c r="K30" s="116" t="s">
        <v>40</v>
      </c>
      <c r="L30" s="117"/>
      <c r="M30" s="117"/>
      <c r="O30" s="107"/>
      <c r="P30" s="107"/>
      <c r="Q30" s="110"/>
    </row>
    <row r="31" spans="2:17" x14ac:dyDescent="0.2">
      <c r="B31" s="121"/>
      <c r="C31" s="107"/>
      <c r="D31" s="107"/>
      <c r="E31" s="107"/>
      <c r="F31" s="107"/>
      <c r="G31" s="107"/>
      <c r="H31" s="107"/>
      <c r="I31" s="48"/>
      <c r="J31" s="115"/>
      <c r="K31" s="105" t="s">
        <v>34</v>
      </c>
      <c r="L31" s="119"/>
      <c r="M31" s="119"/>
      <c r="O31" s="107"/>
      <c r="P31" s="107"/>
      <c r="Q31" s="110"/>
    </row>
    <row r="32" spans="2:17" x14ac:dyDescent="0.2">
      <c r="B32" s="121"/>
      <c r="C32" s="107"/>
      <c r="D32" s="107"/>
      <c r="E32" s="107"/>
      <c r="F32" s="107"/>
      <c r="G32" s="107"/>
      <c r="H32" s="107"/>
      <c r="I32" s="48"/>
      <c r="J32" s="115"/>
      <c r="O32" s="107"/>
      <c r="P32" s="107"/>
      <c r="Q32" s="110"/>
    </row>
    <row r="33" spans="2:17" x14ac:dyDescent="0.2">
      <c r="B33" s="121"/>
      <c r="C33" s="107"/>
      <c r="D33" s="107"/>
      <c r="E33" s="107"/>
      <c r="F33" s="107"/>
      <c r="G33" s="107"/>
      <c r="H33" s="107"/>
      <c r="I33" s="48"/>
      <c r="J33" s="115"/>
      <c r="O33" s="107"/>
      <c r="P33" s="107"/>
      <c r="Q33" s="110"/>
    </row>
    <row r="34" spans="2:17" x14ac:dyDescent="0.2">
      <c r="B34" s="121"/>
      <c r="C34" s="107"/>
      <c r="D34" s="107"/>
      <c r="E34" s="107"/>
      <c r="F34" s="107"/>
      <c r="G34" s="107"/>
      <c r="H34" s="107"/>
      <c r="I34" s="48"/>
      <c r="J34" s="115"/>
      <c r="O34" s="107"/>
      <c r="P34" s="107"/>
      <c r="Q34" s="110"/>
    </row>
    <row r="35" spans="2:17" x14ac:dyDescent="0.2">
      <c r="B35" s="121"/>
      <c r="C35" s="107"/>
      <c r="D35" s="107"/>
      <c r="E35" s="107"/>
      <c r="F35" s="107"/>
      <c r="G35" s="107"/>
      <c r="H35" s="107"/>
      <c r="I35" s="48"/>
      <c r="J35" s="115"/>
      <c r="O35" s="107"/>
      <c r="P35" s="107"/>
      <c r="Q35" s="110"/>
    </row>
    <row r="36" spans="2:17" ht="16" thickBot="1" x14ac:dyDescent="0.25">
      <c r="B36" s="122"/>
      <c r="C36" s="108"/>
      <c r="D36" s="108"/>
      <c r="E36" s="108"/>
      <c r="F36" s="108"/>
      <c r="G36" s="108"/>
      <c r="H36" s="108"/>
      <c r="I36" s="50"/>
      <c r="J36" s="118"/>
      <c r="K36" s="20"/>
      <c r="L36" s="20"/>
      <c r="M36" s="20"/>
      <c r="N36" s="20"/>
      <c r="O36" s="108"/>
      <c r="P36" s="108"/>
      <c r="Q36" s="111"/>
    </row>
  </sheetData>
  <mergeCells count="22">
    <mergeCell ref="B9:B36"/>
    <mergeCell ref="C9:C36"/>
    <mergeCell ref="D9:D36"/>
    <mergeCell ref="E9:E36"/>
    <mergeCell ref="G9:G36"/>
    <mergeCell ref="F9:F36"/>
    <mergeCell ref="O9:O36"/>
    <mergeCell ref="P9:P36"/>
    <mergeCell ref="Q9:Q36"/>
    <mergeCell ref="K11:M11"/>
    <mergeCell ref="J12:J19"/>
    <mergeCell ref="K12:M12"/>
    <mergeCell ref="K13:M13"/>
    <mergeCell ref="K14:M14"/>
    <mergeCell ref="K20:M20"/>
    <mergeCell ref="J21:J28"/>
    <mergeCell ref="H9:H36"/>
    <mergeCell ref="K21:M21"/>
    <mergeCell ref="K29:M29"/>
    <mergeCell ref="J30:J36"/>
    <mergeCell ref="K30:M30"/>
    <mergeCell ref="K31:M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F991-AD89-4202-9C0B-FA34AA321E4E}">
  <sheetPr codeName="Sheet4"/>
  <dimension ref="B2:R22"/>
  <sheetViews>
    <sheetView tabSelected="1" zoomScale="140" zoomScaleNormal="140" workbookViewId="0">
      <selection activeCell="P17" sqref="P17"/>
    </sheetView>
  </sheetViews>
  <sheetFormatPr baseColWidth="10" defaultColWidth="9.1640625" defaultRowHeight="15" x14ac:dyDescent="0.2"/>
  <cols>
    <col min="1" max="1" width="4.33203125" style="1" customWidth="1"/>
    <col min="2" max="2" width="19.6640625" style="1" customWidth="1"/>
    <col min="3" max="3" width="12.83203125" style="52" customWidth="1"/>
    <col min="4" max="9" width="12.83203125" style="1" customWidth="1"/>
    <col min="10" max="10" width="14" style="1" customWidth="1"/>
    <col min="11" max="11" width="19.6640625" style="1" customWidth="1"/>
    <col min="12" max="18" width="12.83203125" style="1" customWidth="1"/>
    <col min="19" max="16384" width="9.1640625" style="1"/>
  </cols>
  <sheetData>
    <row r="2" spans="2:18" ht="16" x14ac:dyDescent="0.2">
      <c r="B2" s="58" t="s">
        <v>44</v>
      </c>
      <c r="C2" s="131">
        <v>25000</v>
      </c>
    </row>
    <row r="3" spans="2:18" ht="16" x14ac:dyDescent="0.2">
      <c r="B3" s="58" t="s">
        <v>1</v>
      </c>
      <c r="C3" s="132">
        <v>4</v>
      </c>
    </row>
    <row r="4" spans="2:18" x14ac:dyDescent="0.2">
      <c r="B4" s="58" t="s">
        <v>45</v>
      </c>
      <c r="C4" s="59">
        <f>C3*C2</f>
        <v>100000</v>
      </c>
    </row>
    <row r="5" spans="2:18" x14ac:dyDescent="0.2">
      <c r="B5" s="58" t="s">
        <v>46</v>
      </c>
      <c r="C5" s="59">
        <f>C4/2</f>
        <v>50000</v>
      </c>
    </row>
    <row r="6" spans="2:18" x14ac:dyDescent="0.2">
      <c r="B6" s="58" t="s">
        <v>47</v>
      </c>
      <c r="C6" s="59">
        <f>C4/2</f>
        <v>50000</v>
      </c>
    </row>
    <row r="7" spans="2:18" ht="32.25" customHeight="1" x14ac:dyDescent="0.2">
      <c r="B7" s="56" t="s">
        <v>48</v>
      </c>
      <c r="C7" s="133">
        <v>0.3</v>
      </c>
    </row>
    <row r="8" spans="2:18" x14ac:dyDescent="0.2">
      <c r="B8" s="57"/>
      <c r="C8" s="60">
        <f>C7*C4</f>
        <v>30000</v>
      </c>
    </row>
    <row r="10" spans="2:18" x14ac:dyDescent="0.2">
      <c r="G10" s="51"/>
      <c r="H10" s="51"/>
      <c r="I10" s="51"/>
    </row>
    <row r="11" spans="2:18" ht="16" thickBot="1" x14ac:dyDescent="0.25">
      <c r="E11" s="51"/>
    </row>
    <row r="12" spans="2:18" ht="19" x14ac:dyDescent="0.25">
      <c r="B12" s="123" t="s">
        <v>23</v>
      </c>
      <c r="C12" s="124"/>
      <c r="D12" s="124"/>
      <c r="E12" s="124"/>
      <c r="F12" s="124"/>
      <c r="G12" s="124"/>
      <c r="H12" s="125"/>
      <c r="I12" s="126"/>
      <c r="K12" s="127" t="s">
        <v>24</v>
      </c>
      <c r="L12" s="128"/>
      <c r="M12" s="128"/>
      <c r="N12" s="128"/>
      <c r="O12" s="128"/>
      <c r="P12" s="128"/>
      <c r="Q12" s="128"/>
      <c r="R12" s="129"/>
    </row>
    <row r="13" spans="2:18" ht="33" thickBot="1" x14ac:dyDescent="0.25">
      <c r="B13" s="64" t="s">
        <v>33</v>
      </c>
      <c r="C13" s="65" t="s">
        <v>49</v>
      </c>
      <c r="D13" s="66" t="s">
        <v>52</v>
      </c>
      <c r="E13" s="66" t="s">
        <v>53</v>
      </c>
      <c r="F13" s="66" t="s">
        <v>54</v>
      </c>
      <c r="G13" s="65" t="s">
        <v>44</v>
      </c>
      <c r="H13" s="65" t="s">
        <v>8</v>
      </c>
      <c r="I13" s="67" t="s">
        <v>55</v>
      </c>
      <c r="J13" s="52"/>
      <c r="K13" s="64" t="s">
        <v>33</v>
      </c>
      <c r="L13" s="65" t="s">
        <v>49</v>
      </c>
      <c r="M13" s="66" t="s">
        <v>52</v>
      </c>
      <c r="N13" s="66" t="s">
        <v>57</v>
      </c>
      <c r="O13" s="66" t="s">
        <v>54</v>
      </c>
      <c r="P13" s="65" t="s">
        <v>44</v>
      </c>
      <c r="Q13" s="65" t="s">
        <v>8</v>
      </c>
      <c r="R13" s="67" t="s">
        <v>55</v>
      </c>
    </row>
    <row r="14" spans="2:18" x14ac:dyDescent="0.2">
      <c r="D14" s="52"/>
      <c r="E14" s="52"/>
      <c r="F14" s="52"/>
      <c r="G14" s="52"/>
      <c r="H14" s="52"/>
      <c r="I14" s="52"/>
      <c r="J14" s="52"/>
      <c r="K14" s="52"/>
      <c r="L14" s="52"/>
      <c r="M14" s="52"/>
      <c r="N14" s="52"/>
      <c r="O14" s="52"/>
      <c r="P14" s="52"/>
      <c r="Q14" s="52"/>
      <c r="R14" s="52"/>
    </row>
    <row r="15" spans="2:18" ht="16" x14ac:dyDescent="0.2">
      <c r="B15" s="68"/>
      <c r="C15" s="130">
        <v>1.25</v>
      </c>
      <c r="D15" s="69">
        <f>C15/$J$18</f>
        <v>0.31328320802005011</v>
      </c>
      <c r="E15" s="70">
        <f>C15/$C$19</f>
        <v>0.49407114624505927</v>
      </c>
      <c r="F15" s="71">
        <f>(1-(E15*$D$20)/$E$22)/(COUNT($C$15:$C$17)-1)*$E$22</f>
        <v>0.18512684874240928</v>
      </c>
      <c r="G15" s="72">
        <f>$C$8*F15</f>
        <v>5553.8054622722784</v>
      </c>
      <c r="H15" s="134">
        <v>377.55</v>
      </c>
      <c r="I15" s="73">
        <f>G15/H15</f>
        <v>14.710119089583573</v>
      </c>
      <c r="J15" s="52"/>
      <c r="K15" s="74"/>
      <c r="L15" s="130">
        <v>1</v>
      </c>
      <c r="M15" s="69">
        <f>L15/$J$18</f>
        <v>0.25062656641604009</v>
      </c>
      <c r="N15" s="70">
        <f>L15/$L$19</f>
        <v>0.68493150684931503</v>
      </c>
      <c r="O15" s="71">
        <f>(1-N15*$M$20/$N$22)/(COUNT($L$15:$L$17)-1)*$N$22</f>
        <v>0.1997802725993065</v>
      </c>
      <c r="P15" s="72">
        <f>$C$8*O15</f>
        <v>5993.408177979195</v>
      </c>
      <c r="Q15" s="134">
        <v>387.55</v>
      </c>
      <c r="R15" s="75">
        <f>P15/Q15</f>
        <v>15.464864347772403</v>
      </c>
    </row>
    <row r="16" spans="2:18" s="86" customFormat="1" ht="16" x14ac:dyDescent="0.2">
      <c r="B16" s="68"/>
      <c r="C16" s="130">
        <v>1.28</v>
      </c>
      <c r="D16" s="69">
        <f>C16/$J$18</f>
        <v>0.32080200501253131</v>
      </c>
      <c r="E16" s="70">
        <f>C16/$C$19</f>
        <v>0.50592885375494068</v>
      </c>
      <c r="F16" s="71">
        <f>(1-(E16*$D$20)/$E$22)/(COUNT($C$15:$C$17)-1)*$E$22</f>
        <v>0.18078793822500905</v>
      </c>
      <c r="G16" s="72">
        <f t="shared" ref="G16" si="0">$C$8*F16</f>
        <v>5423.6381467502715</v>
      </c>
      <c r="H16" s="134">
        <v>448.7</v>
      </c>
      <c r="I16" s="73">
        <f t="shared" ref="I16" si="1">G16/H16</f>
        <v>12.087448510698175</v>
      </c>
      <c r="J16" s="87" t="s">
        <v>50</v>
      </c>
      <c r="K16" s="74"/>
      <c r="L16" s="130">
        <v>0.46</v>
      </c>
      <c r="M16" s="69">
        <f>L16/$J$18</f>
        <v>0.11528822055137844</v>
      </c>
      <c r="N16" s="70">
        <f>L16/$L$19</f>
        <v>0.31506849315068497</v>
      </c>
      <c r="O16" s="71">
        <f>(1-N16*$M$20/$N$22)/(COUNT($L$15:$L$17)-1)*$N$22</f>
        <v>0.43430494043327494</v>
      </c>
      <c r="P16" s="72">
        <f t="shared" ref="P16" si="2">$C$8*O16</f>
        <v>13029.148212998249</v>
      </c>
      <c r="Q16" s="134">
        <v>44</v>
      </c>
      <c r="R16" s="75">
        <f t="shared" ref="R16" si="3">P16/Q16</f>
        <v>296.1170048408693</v>
      </c>
    </row>
    <row r="17" spans="2:18" ht="16" x14ac:dyDescent="0.2">
      <c r="B17" s="68"/>
      <c r="C17" s="130"/>
      <c r="D17" s="69">
        <f>C17/$J$18</f>
        <v>0</v>
      </c>
      <c r="E17" s="70">
        <f>C17/$C$19</f>
        <v>0</v>
      </c>
      <c r="F17" s="71">
        <f>(1-(E17*$D$20)/$E$22)/(COUNT($C$15:$C$17)-1)*$E$22</f>
        <v>0.36591478696741847</v>
      </c>
      <c r="G17" s="72">
        <f t="shared" ref="G17" si="4">$C$8*F17</f>
        <v>10977.443609022554</v>
      </c>
      <c r="H17" s="134"/>
      <c r="I17" s="73" t="e">
        <f t="shared" ref="I17" si="5">G17/H17</f>
        <v>#DIV/0!</v>
      </c>
      <c r="J17" s="52" t="s">
        <v>50</v>
      </c>
      <c r="K17" s="74"/>
      <c r="L17" s="130"/>
      <c r="M17" s="69">
        <f>L17/$J$18</f>
        <v>0</v>
      </c>
      <c r="N17" s="70">
        <f>L17/$L$19</f>
        <v>0</v>
      </c>
      <c r="O17" s="71">
        <f>(1-N17*$M$20/$N$22)/(COUNT($L$15:$L$17)-1)*$N$22</f>
        <v>0.63408521303258147</v>
      </c>
      <c r="P17" s="72">
        <f t="shared" ref="P17" si="6">$C$8*O17</f>
        <v>19022.556390977443</v>
      </c>
      <c r="Q17" s="134"/>
      <c r="R17" s="75" t="e">
        <f t="shared" ref="R17" si="7">P17/Q17</f>
        <v>#DIV/0!</v>
      </c>
    </row>
    <row r="18" spans="2:18" x14ac:dyDescent="0.2">
      <c r="D18" s="52"/>
      <c r="E18" s="52"/>
      <c r="F18" s="52"/>
      <c r="G18" s="53"/>
      <c r="H18" s="52"/>
      <c r="I18" s="52"/>
      <c r="J18" s="62">
        <f>L19+C19</f>
        <v>3.99</v>
      </c>
      <c r="K18" s="52"/>
      <c r="L18" s="52"/>
      <c r="M18" s="52"/>
      <c r="N18" s="52"/>
      <c r="O18" s="52"/>
      <c r="P18" s="53"/>
      <c r="Q18" s="52"/>
      <c r="R18" s="52"/>
    </row>
    <row r="19" spans="2:18" x14ac:dyDescent="0.2">
      <c r="C19" s="79">
        <f>SUM(C15:C17)</f>
        <v>2.5300000000000002</v>
      </c>
      <c r="D19" s="80">
        <f>SUM(D15:D17)</f>
        <v>0.63408521303258136</v>
      </c>
      <c r="E19" s="80">
        <f>SUM(E15:E17)</f>
        <v>1</v>
      </c>
      <c r="F19" s="71">
        <f>SUM(F15:F17)</f>
        <v>0.73182957393483683</v>
      </c>
      <c r="G19" s="81">
        <f>SUM(G15:G17)</f>
        <v>21954.887218045104</v>
      </c>
      <c r="H19" s="55"/>
      <c r="I19" s="55"/>
      <c r="J19" s="61" t="s">
        <v>51</v>
      </c>
      <c r="K19" s="52"/>
      <c r="L19" s="79">
        <f>SUM(L15:L17)</f>
        <v>1.46</v>
      </c>
      <c r="M19" s="80">
        <f>SUM(M15:M17)</f>
        <v>0.36591478696741853</v>
      </c>
      <c r="N19" s="80">
        <f>SUM(N15:N17)</f>
        <v>1</v>
      </c>
      <c r="O19" s="80">
        <f>SUM(O15:O17)</f>
        <v>1.2681704260651629</v>
      </c>
      <c r="P19" s="81">
        <f>SUM(P15:P17)</f>
        <v>38045.112781954886</v>
      </c>
      <c r="Q19" s="54"/>
    </row>
    <row r="20" spans="2:18" ht="19" x14ac:dyDescent="0.25">
      <c r="D20" s="80">
        <f>1-D19</f>
        <v>0.36591478696741864</v>
      </c>
      <c r="E20" s="52"/>
      <c r="F20" s="52"/>
      <c r="G20" s="52"/>
      <c r="H20" s="52"/>
      <c r="I20" s="52"/>
      <c r="J20" s="63">
        <f>C19/L19</f>
        <v>1.7328767123287674</v>
      </c>
      <c r="K20" s="52"/>
      <c r="L20" s="52"/>
      <c r="M20" s="80">
        <f>1-M19</f>
        <v>0.63408521303258147</v>
      </c>
      <c r="N20" s="52"/>
      <c r="O20" s="52"/>
      <c r="P20" s="52"/>
      <c r="Q20" s="52"/>
      <c r="R20" s="52"/>
    </row>
    <row r="22" spans="2:18" ht="19" x14ac:dyDescent="0.25">
      <c r="B22" s="76" t="s">
        <v>56</v>
      </c>
      <c r="C22" s="77">
        <f>C8/(1+J20)</f>
        <v>10977.443609022554</v>
      </c>
      <c r="D22" s="76"/>
      <c r="E22" s="71">
        <f>C22/C8</f>
        <v>0.36591478696741847</v>
      </c>
      <c r="K22" s="76" t="s">
        <v>56</v>
      </c>
      <c r="L22" s="78">
        <f>C22*J20</f>
        <v>19022.556390977443</v>
      </c>
      <c r="M22" s="76"/>
      <c r="N22" s="71">
        <f>L22/C8</f>
        <v>0.63408521303258147</v>
      </c>
    </row>
  </sheetData>
  <mergeCells count="2">
    <mergeCell ref="B12:I12"/>
    <mergeCell ref="K12: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Exposure - Margin Call</vt:lpstr>
      <vt:lpstr>Portfolio Construction</vt:lpstr>
      <vt:lpstr>Portfolio Construction Number</vt:lpstr>
      <vt:lpstr>Portfolio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g.dupont</dc:creator>
  <cp:lastModifiedBy>Mark Mukherjee</cp:lastModifiedBy>
  <dcterms:created xsi:type="dcterms:W3CDTF">2019-09-05T11:35:05Z</dcterms:created>
  <dcterms:modified xsi:type="dcterms:W3CDTF">2022-07-06T11:02:36Z</dcterms:modified>
</cp:coreProperties>
</file>