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735399\Desktop\R Repos\2022-midterm-forecasts\"/>
    </mc:Choice>
  </mc:AlternateContent>
  <bookViews>
    <workbookView xWindow="0" yWindow="0" windowWidth="28800" windowHeight="12170" activeTab="1"/>
  </bookViews>
  <sheets>
    <sheet name="AZ GOV" sheetId="1" r:id="rId1"/>
    <sheet name="House" sheetId="2" r:id="rId2"/>
    <sheet name="Sheet3" sheetId="3" r:id="rId3"/>
  </sheets>
  <definedNames>
    <definedName name="solver_adj" localSheetId="0" hidden="1">'AZ GOV'!$I$29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'AZ GOV'!$I$30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0.5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3" i="2" l="1"/>
  <c r="F9" i="1" l="1"/>
  <c r="F10" i="1"/>
  <c r="G10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AA47" i="2" l="1"/>
  <c r="D1" i="3" l="1"/>
  <c r="C1" i="3"/>
  <c r="B1" i="3"/>
  <c r="Y14" i="2" l="1"/>
  <c r="Y13" i="2"/>
  <c r="Y12" i="2"/>
  <c r="Y11" i="2"/>
  <c r="Y10" i="2"/>
  <c r="J205" i="2"/>
  <c r="G16" i="1"/>
  <c r="G9" i="1"/>
  <c r="H9" i="1"/>
  <c r="I9" i="1" s="1"/>
  <c r="H10" i="1"/>
  <c r="I10" i="1" s="1"/>
  <c r="G11" i="1"/>
  <c r="H11" i="1"/>
  <c r="I11" i="1" s="1"/>
  <c r="G12" i="1"/>
  <c r="H12" i="1"/>
  <c r="I12" i="1" s="1"/>
  <c r="G13" i="1"/>
  <c r="H13" i="1"/>
  <c r="I13" i="1" s="1"/>
  <c r="G14" i="1"/>
  <c r="H14" i="1"/>
  <c r="I14" i="1" s="1"/>
  <c r="G15" i="1"/>
  <c r="H15" i="1"/>
  <c r="I15" i="1" s="1"/>
  <c r="H16" i="1"/>
  <c r="I16" i="1" s="1"/>
  <c r="G17" i="1"/>
  <c r="H17" i="1"/>
  <c r="I17" i="1" s="1"/>
  <c r="G18" i="1"/>
  <c r="H18" i="1"/>
  <c r="I18" i="1" s="1"/>
  <c r="G19" i="1"/>
  <c r="H19" i="1"/>
  <c r="I19" i="1" s="1"/>
  <c r="G20" i="1"/>
  <c r="H20" i="1"/>
  <c r="I20" i="1" s="1"/>
  <c r="G21" i="1"/>
  <c r="H21" i="1"/>
  <c r="I21" i="1" s="1"/>
  <c r="G22" i="1"/>
  <c r="H22" i="1"/>
  <c r="I22" i="1" s="1"/>
  <c r="G23" i="1"/>
  <c r="H23" i="1"/>
  <c r="I23" i="1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I25" i="1"/>
  <c r="H203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K194" i="2" s="1"/>
  <c r="I195" i="2"/>
  <c r="I196" i="2"/>
  <c r="I197" i="2"/>
  <c r="I198" i="2"/>
  <c r="I199" i="2"/>
  <c r="I200" i="2"/>
  <c r="I201" i="2"/>
  <c r="I202" i="2"/>
  <c r="I203" i="2"/>
  <c r="K203" i="2" s="1"/>
  <c r="I204" i="2"/>
  <c r="I205" i="2"/>
  <c r="K205" i="2" s="1"/>
  <c r="I206" i="2"/>
  <c r="I207" i="2"/>
  <c r="I208" i="2"/>
  <c r="I209" i="2"/>
  <c r="I210" i="2"/>
  <c r="I211" i="2"/>
  <c r="I212" i="2"/>
  <c r="I213" i="2"/>
  <c r="I214" i="2"/>
  <c r="K214" i="2" s="1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H258" i="2"/>
  <c r="M258" i="2" s="1"/>
  <c r="N258" i="2" s="1"/>
  <c r="O258" i="2" s="1"/>
  <c r="P258" i="2" s="1"/>
  <c r="Q258" i="2" s="1"/>
  <c r="H259" i="2"/>
  <c r="M259" i="2" s="1"/>
  <c r="N259" i="2" s="1"/>
  <c r="O259" i="2" s="1"/>
  <c r="P259" i="2" s="1"/>
  <c r="Q259" i="2" s="1"/>
  <c r="H260" i="2"/>
  <c r="M260" i="2" s="1"/>
  <c r="N260" i="2" s="1"/>
  <c r="O260" i="2" s="1"/>
  <c r="P260" i="2" s="1"/>
  <c r="Q260" i="2" s="1"/>
  <c r="H261" i="2"/>
  <c r="M261" i="2" s="1"/>
  <c r="N261" i="2" s="1"/>
  <c r="O261" i="2" s="1"/>
  <c r="P261" i="2" s="1"/>
  <c r="Q261" i="2" s="1"/>
  <c r="H262" i="2"/>
  <c r="M262" i="2" s="1"/>
  <c r="N262" i="2" s="1"/>
  <c r="O262" i="2" s="1"/>
  <c r="P262" i="2" s="1"/>
  <c r="Q262" i="2" s="1"/>
  <c r="H263" i="2"/>
  <c r="M263" i="2" s="1"/>
  <c r="N263" i="2" s="1"/>
  <c r="O263" i="2" s="1"/>
  <c r="P263" i="2" s="1"/>
  <c r="Q263" i="2" s="1"/>
  <c r="H264" i="2"/>
  <c r="M264" i="2" s="1"/>
  <c r="N264" i="2" s="1"/>
  <c r="O264" i="2" s="1"/>
  <c r="P264" i="2" s="1"/>
  <c r="Q264" i="2" s="1"/>
  <c r="H265" i="2"/>
  <c r="M265" i="2" s="1"/>
  <c r="N265" i="2" s="1"/>
  <c r="O265" i="2" s="1"/>
  <c r="P265" i="2" s="1"/>
  <c r="Q265" i="2" s="1"/>
  <c r="H266" i="2"/>
  <c r="M266" i="2" s="1"/>
  <c r="N266" i="2" s="1"/>
  <c r="O266" i="2" s="1"/>
  <c r="P266" i="2" s="1"/>
  <c r="Q266" i="2" s="1"/>
  <c r="H267" i="2"/>
  <c r="M267" i="2" s="1"/>
  <c r="N267" i="2" s="1"/>
  <c r="O267" i="2" s="1"/>
  <c r="P267" i="2" s="1"/>
  <c r="Q267" i="2" s="1"/>
  <c r="H268" i="2"/>
  <c r="M268" i="2" s="1"/>
  <c r="N268" i="2" s="1"/>
  <c r="O268" i="2" s="1"/>
  <c r="P268" i="2" s="1"/>
  <c r="Q268" i="2" s="1"/>
  <c r="H269" i="2"/>
  <c r="M269" i="2" s="1"/>
  <c r="N269" i="2" s="1"/>
  <c r="O269" i="2" s="1"/>
  <c r="P269" i="2" s="1"/>
  <c r="Q269" i="2" s="1"/>
  <c r="H270" i="2"/>
  <c r="M270" i="2" s="1"/>
  <c r="N270" i="2" s="1"/>
  <c r="O270" i="2" s="1"/>
  <c r="P270" i="2" s="1"/>
  <c r="Q270" i="2" s="1"/>
  <c r="H271" i="2"/>
  <c r="M271" i="2" s="1"/>
  <c r="N271" i="2" s="1"/>
  <c r="O271" i="2" s="1"/>
  <c r="P271" i="2" s="1"/>
  <c r="Q271" i="2" s="1"/>
  <c r="H272" i="2"/>
  <c r="M272" i="2" s="1"/>
  <c r="N272" i="2" s="1"/>
  <c r="O272" i="2" s="1"/>
  <c r="P272" i="2" s="1"/>
  <c r="Q272" i="2" s="1"/>
  <c r="H273" i="2"/>
  <c r="M273" i="2" s="1"/>
  <c r="N273" i="2" s="1"/>
  <c r="O273" i="2" s="1"/>
  <c r="P273" i="2" s="1"/>
  <c r="Q273" i="2" s="1"/>
  <c r="H274" i="2"/>
  <c r="M274" i="2" s="1"/>
  <c r="N274" i="2" s="1"/>
  <c r="O274" i="2" s="1"/>
  <c r="P274" i="2" s="1"/>
  <c r="Q274" i="2" s="1"/>
  <c r="H275" i="2"/>
  <c r="H276" i="2"/>
  <c r="M276" i="2" s="1"/>
  <c r="N276" i="2" s="1"/>
  <c r="O276" i="2" s="1"/>
  <c r="P276" i="2" s="1"/>
  <c r="Q276" i="2" s="1"/>
  <c r="H277" i="2"/>
  <c r="M277" i="2" s="1"/>
  <c r="N277" i="2" s="1"/>
  <c r="O277" i="2" s="1"/>
  <c r="P277" i="2" s="1"/>
  <c r="Q277" i="2" s="1"/>
  <c r="H278" i="2"/>
  <c r="M278" i="2" s="1"/>
  <c r="N278" i="2" s="1"/>
  <c r="O278" i="2" s="1"/>
  <c r="P278" i="2" s="1"/>
  <c r="Q278" i="2" s="1"/>
  <c r="H279" i="2"/>
  <c r="M279" i="2" s="1"/>
  <c r="N279" i="2" s="1"/>
  <c r="O279" i="2" s="1"/>
  <c r="P279" i="2" s="1"/>
  <c r="Q279" i="2" s="1"/>
  <c r="H280" i="2"/>
  <c r="M280" i="2" s="1"/>
  <c r="N280" i="2" s="1"/>
  <c r="O280" i="2" s="1"/>
  <c r="P280" i="2" s="1"/>
  <c r="Q280" i="2" s="1"/>
  <c r="H281" i="2"/>
  <c r="M281" i="2" s="1"/>
  <c r="N281" i="2" s="1"/>
  <c r="O281" i="2" s="1"/>
  <c r="P281" i="2" s="1"/>
  <c r="Q281" i="2" s="1"/>
  <c r="H282" i="2"/>
  <c r="M282" i="2" s="1"/>
  <c r="N282" i="2" s="1"/>
  <c r="O282" i="2" s="1"/>
  <c r="P282" i="2" s="1"/>
  <c r="Q282" i="2" s="1"/>
  <c r="H283" i="2"/>
  <c r="M283" i="2" s="1"/>
  <c r="N283" i="2" s="1"/>
  <c r="O283" i="2" s="1"/>
  <c r="P283" i="2" s="1"/>
  <c r="Q283" i="2" s="1"/>
  <c r="H284" i="2"/>
  <c r="M284" i="2" s="1"/>
  <c r="N284" i="2" s="1"/>
  <c r="O284" i="2" s="1"/>
  <c r="P284" i="2" s="1"/>
  <c r="Q284" i="2" s="1"/>
  <c r="H285" i="2"/>
  <c r="M285" i="2" s="1"/>
  <c r="N285" i="2" s="1"/>
  <c r="O285" i="2" s="1"/>
  <c r="P285" i="2" s="1"/>
  <c r="Q285" i="2" s="1"/>
  <c r="H286" i="2"/>
  <c r="M286" i="2" s="1"/>
  <c r="N286" i="2" s="1"/>
  <c r="O286" i="2" s="1"/>
  <c r="P286" i="2" s="1"/>
  <c r="Q286" i="2" s="1"/>
  <c r="H287" i="2"/>
  <c r="M287" i="2" s="1"/>
  <c r="N287" i="2" s="1"/>
  <c r="O287" i="2" s="1"/>
  <c r="P287" i="2" s="1"/>
  <c r="Q287" i="2" s="1"/>
  <c r="H288" i="2"/>
  <c r="M288" i="2" s="1"/>
  <c r="N288" i="2" s="1"/>
  <c r="O288" i="2" s="1"/>
  <c r="P288" i="2" s="1"/>
  <c r="Q288" i="2" s="1"/>
  <c r="H289" i="2"/>
  <c r="M289" i="2" s="1"/>
  <c r="N289" i="2" s="1"/>
  <c r="O289" i="2" s="1"/>
  <c r="P289" i="2" s="1"/>
  <c r="Q289" i="2" s="1"/>
  <c r="H290" i="2"/>
  <c r="M290" i="2" s="1"/>
  <c r="N290" i="2" s="1"/>
  <c r="O290" i="2" s="1"/>
  <c r="P290" i="2" s="1"/>
  <c r="Q290" i="2" s="1"/>
  <c r="H291" i="2"/>
  <c r="M291" i="2" s="1"/>
  <c r="N291" i="2" s="1"/>
  <c r="O291" i="2" s="1"/>
  <c r="P291" i="2" s="1"/>
  <c r="Q291" i="2" s="1"/>
  <c r="H292" i="2"/>
  <c r="M292" i="2" s="1"/>
  <c r="N292" i="2" s="1"/>
  <c r="O292" i="2" s="1"/>
  <c r="P292" i="2" s="1"/>
  <c r="Q292" i="2" s="1"/>
  <c r="H293" i="2"/>
  <c r="M293" i="2" s="1"/>
  <c r="N293" i="2" s="1"/>
  <c r="O293" i="2" s="1"/>
  <c r="P293" i="2" s="1"/>
  <c r="Q293" i="2" s="1"/>
  <c r="H294" i="2"/>
  <c r="M294" i="2" s="1"/>
  <c r="N294" i="2" s="1"/>
  <c r="O294" i="2" s="1"/>
  <c r="P294" i="2" s="1"/>
  <c r="Q294" i="2" s="1"/>
  <c r="H295" i="2"/>
  <c r="M295" i="2" s="1"/>
  <c r="N295" i="2" s="1"/>
  <c r="O295" i="2" s="1"/>
  <c r="P295" i="2" s="1"/>
  <c r="Q295" i="2" s="1"/>
  <c r="H296" i="2"/>
  <c r="M296" i="2" s="1"/>
  <c r="N296" i="2" s="1"/>
  <c r="O296" i="2" s="1"/>
  <c r="P296" i="2" s="1"/>
  <c r="Q296" i="2" s="1"/>
  <c r="H297" i="2"/>
  <c r="M297" i="2" s="1"/>
  <c r="N297" i="2" s="1"/>
  <c r="O297" i="2" s="1"/>
  <c r="P297" i="2" s="1"/>
  <c r="Q297" i="2" s="1"/>
  <c r="H298" i="2"/>
  <c r="M298" i="2" s="1"/>
  <c r="N298" i="2" s="1"/>
  <c r="O298" i="2" s="1"/>
  <c r="P298" i="2" s="1"/>
  <c r="Q298" i="2" s="1"/>
  <c r="H299" i="2"/>
  <c r="M299" i="2" s="1"/>
  <c r="N299" i="2" s="1"/>
  <c r="O299" i="2" s="1"/>
  <c r="P299" i="2" s="1"/>
  <c r="Q299" i="2" s="1"/>
  <c r="H300" i="2"/>
  <c r="M300" i="2" s="1"/>
  <c r="N300" i="2" s="1"/>
  <c r="O300" i="2" s="1"/>
  <c r="P300" i="2" s="1"/>
  <c r="Q300" i="2" s="1"/>
  <c r="H301" i="2"/>
  <c r="M301" i="2" s="1"/>
  <c r="N301" i="2" s="1"/>
  <c r="O301" i="2" s="1"/>
  <c r="P301" i="2" s="1"/>
  <c r="Q301" i="2" s="1"/>
  <c r="H302" i="2"/>
  <c r="M302" i="2" s="1"/>
  <c r="N302" i="2" s="1"/>
  <c r="O302" i="2" s="1"/>
  <c r="P302" i="2" s="1"/>
  <c r="Q302" i="2" s="1"/>
  <c r="H303" i="2"/>
  <c r="M303" i="2" s="1"/>
  <c r="N303" i="2" s="1"/>
  <c r="O303" i="2" s="1"/>
  <c r="P303" i="2" s="1"/>
  <c r="Q303" i="2" s="1"/>
  <c r="H304" i="2"/>
  <c r="M304" i="2" s="1"/>
  <c r="N304" i="2" s="1"/>
  <c r="O304" i="2" s="1"/>
  <c r="P304" i="2" s="1"/>
  <c r="Q304" i="2" s="1"/>
  <c r="H305" i="2"/>
  <c r="M305" i="2" s="1"/>
  <c r="N305" i="2" s="1"/>
  <c r="O305" i="2" s="1"/>
  <c r="P305" i="2" s="1"/>
  <c r="Q305" i="2" s="1"/>
  <c r="H306" i="2"/>
  <c r="M306" i="2" s="1"/>
  <c r="N306" i="2" s="1"/>
  <c r="O306" i="2" s="1"/>
  <c r="P306" i="2" s="1"/>
  <c r="Q306" i="2" s="1"/>
  <c r="H307" i="2"/>
  <c r="M307" i="2" s="1"/>
  <c r="N307" i="2" s="1"/>
  <c r="O307" i="2" s="1"/>
  <c r="P307" i="2" s="1"/>
  <c r="Q307" i="2" s="1"/>
  <c r="H308" i="2"/>
  <c r="M308" i="2" s="1"/>
  <c r="N308" i="2" s="1"/>
  <c r="O308" i="2" s="1"/>
  <c r="P308" i="2" s="1"/>
  <c r="Q308" i="2" s="1"/>
  <c r="H309" i="2"/>
  <c r="M309" i="2" s="1"/>
  <c r="N309" i="2" s="1"/>
  <c r="O309" i="2" s="1"/>
  <c r="P309" i="2" s="1"/>
  <c r="Q309" i="2" s="1"/>
  <c r="H310" i="2"/>
  <c r="M310" i="2" s="1"/>
  <c r="N310" i="2" s="1"/>
  <c r="O310" i="2" s="1"/>
  <c r="P310" i="2" s="1"/>
  <c r="Q310" i="2" s="1"/>
  <c r="H311" i="2"/>
  <c r="M311" i="2" s="1"/>
  <c r="N311" i="2" s="1"/>
  <c r="O311" i="2" s="1"/>
  <c r="P311" i="2" s="1"/>
  <c r="Q311" i="2" s="1"/>
  <c r="H312" i="2"/>
  <c r="M312" i="2" s="1"/>
  <c r="N312" i="2" s="1"/>
  <c r="O312" i="2" s="1"/>
  <c r="P312" i="2" s="1"/>
  <c r="Q312" i="2" s="1"/>
  <c r="H313" i="2"/>
  <c r="M313" i="2" s="1"/>
  <c r="N313" i="2" s="1"/>
  <c r="O313" i="2" s="1"/>
  <c r="P313" i="2" s="1"/>
  <c r="Q313" i="2" s="1"/>
  <c r="H314" i="2"/>
  <c r="M314" i="2" s="1"/>
  <c r="N314" i="2" s="1"/>
  <c r="O314" i="2" s="1"/>
  <c r="P314" i="2" s="1"/>
  <c r="Q314" i="2" s="1"/>
  <c r="H315" i="2"/>
  <c r="M315" i="2" s="1"/>
  <c r="N315" i="2" s="1"/>
  <c r="O315" i="2" s="1"/>
  <c r="P315" i="2" s="1"/>
  <c r="Q315" i="2" s="1"/>
  <c r="H316" i="2"/>
  <c r="M316" i="2" s="1"/>
  <c r="N316" i="2" s="1"/>
  <c r="O316" i="2" s="1"/>
  <c r="P316" i="2" s="1"/>
  <c r="Q316" i="2" s="1"/>
  <c r="H317" i="2"/>
  <c r="M317" i="2" s="1"/>
  <c r="N317" i="2" s="1"/>
  <c r="O317" i="2" s="1"/>
  <c r="P317" i="2" s="1"/>
  <c r="Q317" i="2" s="1"/>
  <c r="H318" i="2"/>
  <c r="M318" i="2" s="1"/>
  <c r="N318" i="2" s="1"/>
  <c r="O318" i="2" s="1"/>
  <c r="P318" i="2" s="1"/>
  <c r="Q318" i="2" s="1"/>
  <c r="H319" i="2"/>
  <c r="M319" i="2" s="1"/>
  <c r="N319" i="2" s="1"/>
  <c r="O319" i="2" s="1"/>
  <c r="P319" i="2" s="1"/>
  <c r="Q319" i="2" s="1"/>
  <c r="H320" i="2"/>
  <c r="M320" i="2" s="1"/>
  <c r="N320" i="2" s="1"/>
  <c r="O320" i="2" s="1"/>
  <c r="P320" i="2" s="1"/>
  <c r="Q320" i="2" s="1"/>
  <c r="H321" i="2"/>
  <c r="M321" i="2" s="1"/>
  <c r="N321" i="2" s="1"/>
  <c r="O321" i="2" s="1"/>
  <c r="P321" i="2" s="1"/>
  <c r="Q321" i="2" s="1"/>
  <c r="H322" i="2"/>
  <c r="M322" i="2" s="1"/>
  <c r="N322" i="2" s="1"/>
  <c r="O322" i="2" s="1"/>
  <c r="P322" i="2" s="1"/>
  <c r="Q322" i="2" s="1"/>
  <c r="H323" i="2"/>
  <c r="M323" i="2" s="1"/>
  <c r="N323" i="2" s="1"/>
  <c r="O323" i="2" s="1"/>
  <c r="P323" i="2" s="1"/>
  <c r="Q323" i="2" s="1"/>
  <c r="H324" i="2"/>
  <c r="M324" i="2" s="1"/>
  <c r="N324" i="2" s="1"/>
  <c r="O324" i="2" s="1"/>
  <c r="P324" i="2" s="1"/>
  <c r="Q324" i="2" s="1"/>
  <c r="H325" i="2"/>
  <c r="M325" i="2" s="1"/>
  <c r="N325" i="2" s="1"/>
  <c r="O325" i="2" s="1"/>
  <c r="P325" i="2" s="1"/>
  <c r="Q325" i="2" s="1"/>
  <c r="H326" i="2"/>
  <c r="M326" i="2" s="1"/>
  <c r="N326" i="2" s="1"/>
  <c r="O326" i="2" s="1"/>
  <c r="P326" i="2" s="1"/>
  <c r="Q326" i="2" s="1"/>
  <c r="H327" i="2"/>
  <c r="M327" i="2" s="1"/>
  <c r="N327" i="2" s="1"/>
  <c r="O327" i="2" s="1"/>
  <c r="P327" i="2" s="1"/>
  <c r="Q327" i="2" s="1"/>
  <c r="H328" i="2"/>
  <c r="M328" i="2" s="1"/>
  <c r="N328" i="2" s="1"/>
  <c r="O328" i="2" s="1"/>
  <c r="P328" i="2" s="1"/>
  <c r="Q328" i="2" s="1"/>
  <c r="H329" i="2"/>
  <c r="M329" i="2" s="1"/>
  <c r="N329" i="2" s="1"/>
  <c r="O329" i="2" s="1"/>
  <c r="P329" i="2" s="1"/>
  <c r="Q329" i="2" s="1"/>
  <c r="H330" i="2"/>
  <c r="M330" i="2" s="1"/>
  <c r="N330" i="2" s="1"/>
  <c r="O330" i="2" s="1"/>
  <c r="P330" i="2" s="1"/>
  <c r="Q330" i="2" s="1"/>
  <c r="H331" i="2"/>
  <c r="M331" i="2" s="1"/>
  <c r="N331" i="2" s="1"/>
  <c r="O331" i="2" s="1"/>
  <c r="P331" i="2" s="1"/>
  <c r="Q331" i="2" s="1"/>
  <c r="H332" i="2"/>
  <c r="M332" i="2" s="1"/>
  <c r="N332" i="2" s="1"/>
  <c r="O332" i="2" s="1"/>
  <c r="P332" i="2" s="1"/>
  <c r="Q332" i="2" s="1"/>
  <c r="H333" i="2"/>
  <c r="M333" i="2" s="1"/>
  <c r="N333" i="2" s="1"/>
  <c r="O333" i="2" s="1"/>
  <c r="P333" i="2" s="1"/>
  <c r="Q333" i="2" s="1"/>
  <c r="H334" i="2"/>
  <c r="M334" i="2" s="1"/>
  <c r="N334" i="2" s="1"/>
  <c r="O334" i="2" s="1"/>
  <c r="P334" i="2" s="1"/>
  <c r="Q334" i="2" s="1"/>
  <c r="H335" i="2"/>
  <c r="M335" i="2" s="1"/>
  <c r="N335" i="2" s="1"/>
  <c r="O335" i="2" s="1"/>
  <c r="P335" i="2" s="1"/>
  <c r="Q335" i="2" s="1"/>
  <c r="H336" i="2"/>
  <c r="M336" i="2" s="1"/>
  <c r="N336" i="2" s="1"/>
  <c r="O336" i="2" s="1"/>
  <c r="P336" i="2" s="1"/>
  <c r="Q336" i="2" s="1"/>
  <c r="H337" i="2"/>
  <c r="M337" i="2" s="1"/>
  <c r="N337" i="2" s="1"/>
  <c r="O337" i="2" s="1"/>
  <c r="P337" i="2" s="1"/>
  <c r="Q337" i="2" s="1"/>
  <c r="H338" i="2"/>
  <c r="M338" i="2" s="1"/>
  <c r="N338" i="2" s="1"/>
  <c r="O338" i="2" s="1"/>
  <c r="P338" i="2" s="1"/>
  <c r="Q338" i="2" s="1"/>
  <c r="H339" i="2"/>
  <c r="M339" i="2" s="1"/>
  <c r="N339" i="2" s="1"/>
  <c r="O339" i="2" s="1"/>
  <c r="P339" i="2" s="1"/>
  <c r="Q339" i="2" s="1"/>
  <c r="H340" i="2"/>
  <c r="M340" i="2" s="1"/>
  <c r="N340" i="2" s="1"/>
  <c r="O340" i="2" s="1"/>
  <c r="P340" i="2" s="1"/>
  <c r="Q340" i="2" s="1"/>
  <c r="H341" i="2"/>
  <c r="M341" i="2" s="1"/>
  <c r="N341" i="2" s="1"/>
  <c r="O341" i="2" s="1"/>
  <c r="P341" i="2" s="1"/>
  <c r="Q341" i="2" s="1"/>
  <c r="H342" i="2"/>
  <c r="M342" i="2" s="1"/>
  <c r="N342" i="2" s="1"/>
  <c r="O342" i="2" s="1"/>
  <c r="P342" i="2" s="1"/>
  <c r="Q342" i="2" s="1"/>
  <c r="H343" i="2"/>
  <c r="M343" i="2" s="1"/>
  <c r="N343" i="2" s="1"/>
  <c r="O343" i="2" s="1"/>
  <c r="P343" i="2" s="1"/>
  <c r="Q343" i="2" s="1"/>
  <c r="H344" i="2"/>
  <c r="M344" i="2" s="1"/>
  <c r="N344" i="2" s="1"/>
  <c r="O344" i="2" s="1"/>
  <c r="P344" i="2" s="1"/>
  <c r="Q344" i="2" s="1"/>
  <c r="H345" i="2"/>
  <c r="M345" i="2" s="1"/>
  <c r="N345" i="2" s="1"/>
  <c r="O345" i="2" s="1"/>
  <c r="P345" i="2" s="1"/>
  <c r="Q345" i="2" s="1"/>
  <c r="H346" i="2"/>
  <c r="M346" i="2" s="1"/>
  <c r="N346" i="2" s="1"/>
  <c r="O346" i="2" s="1"/>
  <c r="P346" i="2" s="1"/>
  <c r="Q346" i="2" s="1"/>
  <c r="H347" i="2"/>
  <c r="M347" i="2" s="1"/>
  <c r="N347" i="2" s="1"/>
  <c r="O347" i="2" s="1"/>
  <c r="P347" i="2" s="1"/>
  <c r="Q347" i="2" s="1"/>
  <c r="H348" i="2"/>
  <c r="M348" i="2" s="1"/>
  <c r="N348" i="2" s="1"/>
  <c r="O348" i="2" s="1"/>
  <c r="P348" i="2" s="1"/>
  <c r="Q348" i="2" s="1"/>
  <c r="H349" i="2"/>
  <c r="M349" i="2" s="1"/>
  <c r="N349" i="2" s="1"/>
  <c r="O349" i="2" s="1"/>
  <c r="P349" i="2" s="1"/>
  <c r="Q349" i="2" s="1"/>
  <c r="H350" i="2"/>
  <c r="M350" i="2" s="1"/>
  <c r="N350" i="2" s="1"/>
  <c r="O350" i="2" s="1"/>
  <c r="P350" i="2" s="1"/>
  <c r="Q350" i="2" s="1"/>
  <c r="H351" i="2"/>
  <c r="M351" i="2" s="1"/>
  <c r="N351" i="2" s="1"/>
  <c r="O351" i="2" s="1"/>
  <c r="P351" i="2" s="1"/>
  <c r="Q351" i="2" s="1"/>
  <c r="H352" i="2"/>
  <c r="M352" i="2" s="1"/>
  <c r="N352" i="2" s="1"/>
  <c r="O352" i="2" s="1"/>
  <c r="P352" i="2" s="1"/>
  <c r="Q352" i="2" s="1"/>
  <c r="H353" i="2"/>
  <c r="M353" i="2" s="1"/>
  <c r="N353" i="2" s="1"/>
  <c r="O353" i="2" s="1"/>
  <c r="P353" i="2" s="1"/>
  <c r="Q353" i="2" s="1"/>
  <c r="H354" i="2"/>
  <c r="M354" i="2" s="1"/>
  <c r="N354" i="2" s="1"/>
  <c r="O354" i="2" s="1"/>
  <c r="P354" i="2" s="1"/>
  <c r="Q354" i="2" s="1"/>
  <c r="H355" i="2"/>
  <c r="M355" i="2" s="1"/>
  <c r="N355" i="2" s="1"/>
  <c r="O355" i="2" s="1"/>
  <c r="P355" i="2" s="1"/>
  <c r="Q355" i="2" s="1"/>
  <c r="H356" i="2"/>
  <c r="M356" i="2" s="1"/>
  <c r="N356" i="2" s="1"/>
  <c r="O356" i="2" s="1"/>
  <c r="P356" i="2" s="1"/>
  <c r="Q356" i="2" s="1"/>
  <c r="H357" i="2"/>
  <c r="M357" i="2" s="1"/>
  <c r="N357" i="2" s="1"/>
  <c r="O357" i="2" s="1"/>
  <c r="P357" i="2" s="1"/>
  <c r="Q357" i="2" s="1"/>
  <c r="H358" i="2"/>
  <c r="M358" i="2" s="1"/>
  <c r="N358" i="2" s="1"/>
  <c r="O358" i="2" s="1"/>
  <c r="P358" i="2" s="1"/>
  <c r="Q358" i="2" s="1"/>
  <c r="H359" i="2"/>
  <c r="M359" i="2" s="1"/>
  <c r="N359" i="2" s="1"/>
  <c r="O359" i="2" s="1"/>
  <c r="P359" i="2" s="1"/>
  <c r="Q359" i="2" s="1"/>
  <c r="H360" i="2"/>
  <c r="M360" i="2" s="1"/>
  <c r="N360" i="2" s="1"/>
  <c r="O360" i="2" s="1"/>
  <c r="P360" i="2" s="1"/>
  <c r="Q360" i="2" s="1"/>
  <c r="H361" i="2"/>
  <c r="M361" i="2" s="1"/>
  <c r="N361" i="2" s="1"/>
  <c r="O361" i="2" s="1"/>
  <c r="P361" i="2" s="1"/>
  <c r="Q361" i="2" s="1"/>
  <c r="H362" i="2"/>
  <c r="M362" i="2" s="1"/>
  <c r="N362" i="2" s="1"/>
  <c r="O362" i="2" s="1"/>
  <c r="P362" i="2" s="1"/>
  <c r="Q362" i="2" s="1"/>
  <c r="H363" i="2"/>
  <c r="M363" i="2" s="1"/>
  <c r="N363" i="2" s="1"/>
  <c r="O363" i="2" s="1"/>
  <c r="P363" i="2" s="1"/>
  <c r="Q363" i="2" s="1"/>
  <c r="H364" i="2"/>
  <c r="M364" i="2" s="1"/>
  <c r="N364" i="2" s="1"/>
  <c r="O364" i="2" s="1"/>
  <c r="P364" i="2" s="1"/>
  <c r="Q364" i="2" s="1"/>
  <c r="H365" i="2"/>
  <c r="M365" i="2" s="1"/>
  <c r="N365" i="2" s="1"/>
  <c r="O365" i="2" s="1"/>
  <c r="P365" i="2" s="1"/>
  <c r="Q365" i="2" s="1"/>
  <c r="H366" i="2"/>
  <c r="M366" i="2" s="1"/>
  <c r="N366" i="2" s="1"/>
  <c r="O366" i="2" s="1"/>
  <c r="P366" i="2" s="1"/>
  <c r="Q366" i="2" s="1"/>
  <c r="H367" i="2"/>
  <c r="M367" i="2" s="1"/>
  <c r="N367" i="2" s="1"/>
  <c r="O367" i="2" s="1"/>
  <c r="P367" i="2" s="1"/>
  <c r="Q367" i="2" s="1"/>
  <c r="H368" i="2"/>
  <c r="M368" i="2" s="1"/>
  <c r="N368" i="2" s="1"/>
  <c r="O368" i="2" s="1"/>
  <c r="P368" i="2" s="1"/>
  <c r="Q368" i="2" s="1"/>
  <c r="H369" i="2"/>
  <c r="M369" i="2" s="1"/>
  <c r="N369" i="2" s="1"/>
  <c r="O369" i="2" s="1"/>
  <c r="P369" i="2" s="1"/>
  <c r="Q369" i="2" s="1"/>
  <c r="H370" i="2"/>
  <c r="M370" i="2" s="1"/>
  <c r="N370" i="2" s="1"/>
  <c r="O370" i="2" s="1"/>
  <c r="P370" i="2" s="1"/>
  <c r="Q370" i="2" s="1"/>
  <c r="H371" i="2"/>
  <c r="M371" i="2" s="1"/>
  <c r="N371" i="2" s="1"/>
  <c r="O371" i="2" s="1"/>
  <c r="P371" i="2" s="1"/>
  <c r="Q371" i="2" s="1"/>
  <c r="H372" i="2"/>
  <c r="M372" i="2" s="1"/>
  <c r="N372" i="2" s="1"/>
  <c r="O372" i="2" s="1"/>
  <c r="P372" i="2" s="1"/>
  <c r="Q372" i="2" s="1"/>
  <c r="H373" i="2"/>
  <c r="M373" i="2" s="1"/>
  <c r="N373" i="2" s="1"/>
  <c r="O373" i="2" s="1"/>
  <c r="P373" i="2" s="1"/>
  <c r="Q373" i="2" s="1"/>
  <c r="H374" i="2"/>
  <c r="M374" i="2" s="1"/>
  <c r="N374" i="2" s="1"/>
  <c r="O374" i="2" s="1"/>
  <c r="P374" i="2" s="1"/>
  <c r="Q374" i="2" s="1"/>
  <c r="H375" i="2"/>
  <c r="M375" i="2" s="1"/>
  <c r="N375" i="2" s="1"/>
  <c r="O375" i="2" s="1"/>
  <c r="P375" i="2" s="1"/>
  <c r="Q375" i="2" s="1"/>
  <c r="H376" i="2"/>
  <c r="M376" i="2" s="1"/>
  <c r="N376" i="2" s="1"/>
  <c r="O376" i="2" s="1"/>
  <c r="P376" i="2" s="1"/>
  <c r="Q376" i="2" s="1"/>
  <c r="H377" i="2"/>
  <c r="M377" i="2" s="1"/>
  <c r="N377" i="2" s="1"/>
  <c r="O377" i="2" s="1"/>
  <c r="P377" i="2" s="1"/>
  <c r="Q377" i="2" s="1"/>
  <c r="H378" i="2"/>
  <c r="M378" i="2" s="1"/>
  <c r="N378" i="2" s="1"/>
  <c r="O378" i="2" s="1"/>
  <c r="P378" i="2" s="1"/>
  <c r="Q378" i="2" s="1"/>
  <c r="H379" i="2"/>
  <c r="M379" i="2" s="1"/>
  <c r="N379" i="2" s="1"/>
  <c r="O379" i="2" s="1"/>
  <c r="P379" i="2" s="1"/>
  <c r="Q379" i="2" s="1"/>
  <c r="H380" i="2"/>
  <c r="M380" i="2" s="1"/>
  <c r="N380" i="2" s="1"/>
  <c r="O380" i="2" s="1"/>
  <c r="P380" i="2" s="1"/>
  <c r="Q380" i="2" s="1"/>
  <c r="H381" i="2"/>
  <c r="M381" i="2" s="1"/>
  <c r="N381" i="2" s="1"/>
  <c r="O381" i="2" s="1"/>
  <c r="P381" i="2" s="1"/>
  <c r="Q381" i="2" s="1"/>
  <c r="H382" i="2"/>
  <c r="M382" i="2" s="1"/>
  <c r="N382" i="2" s="1"/>
  <c r="O382" i="2" s="1"/>
  <c r="P382" i="2" s="1"/>
  <c r="Q382" i="2" s="1"/>
  <c r="H383" i="2"/>
  <c r="M383" i="2" s="1"/>
  <c r="N383" i="2" s="1"/>
  <c r="O383" i="2" s="1"/>
  <c r="P383" i="2" s="1"/>
  <c r="Q383" i="2" s="1"/>
  <c r="H384" i="2"/>
  <c r="M384" i="2" s="1"/>
  <c r="N384" i="2" s="1"/>
  <c r="O384" i="2" s="1"/>
  <c r="P384" i="2" s="1"/>
  <c r="Q384" i="2" s="1"/>
  <c r="H385" i="2"/>
  <c r="M385" i="2" s="1"/>
  <c r="N385" i="2" s="1"/>
  <c r="O385" i="2" s="1"/>
  <c r="P385" i="2" s="1"/>
  <c r="Q385" i="2" s="1"/>
  <c r="H386" i="2"/>
  <c r="M386" i="2" s="1"/>
  <c r="N386" i="2" s="1"/>
  <c r="O386" i="2" s="1"/>
  <c r="P386" i="2" s="1"/>
  <c r="Q386" i="2" s="1"/>
  <c r="H387" i="2"/>
  <c r="M387" i="2" s="1"/>
  <c r="N387" i="2" s="1"/>
  <c r="O387" i="2" s="1"/>
  <c r="P387" i="2" s="1"/>
  <c r="Q387" i="2" s="1"/>
  <c r="H388" i="2"/>
  <c r="M388" i="2" s="1"/>
  <c r="N388" i="2" s="1"/>
  <c r="O388" i="2" s="1"/>
  <c r="P388" i="2" s="1"/>
  <c r="Q388" i="2" s="1"/>
  <c r="H389" i="2"/>
  <c r="M389" i="2" s="1"/>
  <c r="N389" i="2" s="1"/>
  <c r="O389" i="2" s="1"/>
  <c r="P389" i="2" s="1"/>
  <c r="Q389" i="2" s="1"/>
  <c r="H390" i="2"/>
  <c r="M390" i="2" s="1"/>
  <c r="N390" i="2" s="1"/>
  <c r="O390" i="2" s="1"/>
  <c r="P390" i="2" s="1"/>
  <c r="Q390" i="2" s="1"/>
  <c r="H391" i="2"/>
  <c r="M391" i="2" s="1"/>
  <c r="N391" i="2" s="1"/>
  <c r="O391" i="2" s="1"/>
  <c r="P391" i="2" s="1"/>
  <c r="Q391" i="2" s="1"/>
  <c r="H392" i="2"/>
  <c r="M392" i="2" s="1"/>
  <c r="N392" i="2" s="1"/>
  <c r="O392" i="2" s="1"/>
  <c r="P392" i="2" s="1"/>
  <c r="Q392" i="2" s="1"/>
  <c r="H393" i="2"/>
  <c r="M393" i="2" s="1"/>
  <c r="N393" i="2" s="1"/>
  <c r="O393" i="2" s="1"/>
  <c r="P393" i="2" s="1"/>
  <c r="Q393" i="2" s="1"/>
  <c r="H394" i="2"/>
  <c r="M394" i="2" s="1"/>
  <c r="N394" i="2" s="1"/>
  <c r="O394" i="2" s="1"/>
  <c r="P394" i="2" s="1"/>
  <c r="Q394" i="2" s="1"/>
  <c r="H395" i="2"/>
  <c r="M395" i="2" s="1"/>
  <c r="N395" i="2" s="1"/>
  <c r="O395" i="2" s="1"/>
  <c r="P395" i="2" s="1"/>
  <c r="Q395" i="2" s="1"/>
  <c r="H396" i="2"/>
  <c r="M396" i="2" s="1"/>
  <c r="N396" i="2" s="1"/>
  <c r="O396" i="2" s="1"/>
  <c r="P396" i="2" s="1"/>
  <c r="Q396" i="2" s="1"/>
  <c r="H397" i="2"/>
  <c r="M397" i="2" s="1"/>
  <c r="N397" i="2" s="1"/>
  <c r="O397" i="2" s="1"/>
  <c r="P397" i="2" s="1"/>
  <c r="Q397" i="2" s="1"/>
  <c r="H398" i="2"/>
  <c r="M398" i="2" s="1"/>
  <c r="N398" i="2" s="1"/>
  <c r="O398" i="2" s="1"/>
  <c r="P398" i="2" s="1"/>
  <c r="Q398" i="2" s="1"/>
  <c r="H399" i="2"/>
  <c r="M399" i="2" s="1"/>
  <c r="N399" i="2" s="1"/>
  <c r="O399" i="2" s="1"/>
  <c r="P399" i="2" s="1"/>
  <c r="Q399" i="2" s="1"/>
  <c r="H400" i="2"/>
  <c r="M400" i="2" s="1"/>
  <c r="N400" i="2" s="1"/>
  <c r="O400" i="2" s="1"/>
  <c r="P400" i="2" s="1"/>
  <c r="Q400" i="2" s="1"/>
  <c r="H401" i="2"/>
  <c r="M401" i="2" s="1"/>
  <c r="N401" i="2" s="1"/>
  <c r="O401" i="2" s="1"/>
  <c r="P401" i="2" s="1"/>
  <c r="Q401" i="2" s="1"/>
  <c r="H402" i="2"/>
  <c r="M402" i="2" s="1"/>
  <c r="N402" i="2" s="1"/>
  <c r="O402" i="2" s="1"/>
  <c r="P402" i="2" s="1"/>
  <c r="Q402" i="2" s="1"/>
  <c r="H403" i="2"/>
  <c r="M403" i="2" s="1"/>
  <c r="N403" i="2" s="1"/>
  <c r="O403" i="2" s="1"/>
  <c r="P403" i="2" s="1"/>
  <c r="Q403" i="2" s="1"/>
  <c r="H404" i="2"/>
  <c r="M404" i="2" s="1"/>
  <c r="N404" i="2" s="1"/>
  <c r="O404" i="2" s="1"/>
  <c r="P404" i="2" s="1"/>
  <c r="Q404" i="2" s="1"/>
  <c r="H405" i="2"/>
  <c r="M405" i="2" s="1"/>
  <c r="N405" i="2" s="1"/>
  <c r="O405" i="2" s="1"/>
  <c r="P405" i="2" s="1"/>
  <c r="Q405" i="2" s="1"/>
  <c r="H406" i="2"/>
  <c r="M406" i="2" s="1"/>
  <c r="N406" i="2" s="1"/>
  <c r="O406" i="2" s="1"/>
  <c r="P406" i="2" s="1"/>
  <c r="Q406" i="2" s="1"/>
  <c r="H407" i="2"/>
  <c r="M407" i="2" s="1"/>
  <c r="N407" i="2" s="1"/>
  <c r="O407" i="2" s="1"/>
  <c r="P407" i="2" s="1"/>
  <c r="Q407" i="2" s="1"/>
  <c r="H408" i="2"/>
  <c r="M408" i="2" s="1"/>
  <c r="N408" i="2" s="1"/>
  <c r="O408" i="2" s="1"/>
  <c r="P408" i="2" s="1"/>
  <c r="Q408" i="2" s="1"/>
  <c r="H409" i="2"/>
  <c r="M409" i="2" s="1"/>
  <c r="N409" i="2" s="1"/>
  <c r="O409" i="2" s="1"/>
  <c r="P409" i="2" s="1"/>
  <c r="Q409" i="2" s="1"/>
  <c r="H410" i="2"/>
  <c r="M410" i="2" s="1"/>
  <c r="N410" i="2" s="1"/>
  <c r="O410" i="2" s="1"/>
  <c r="P410" i="2" s="1"/>
  <c r="Q410" i="2" s="1"/>
  <c r="H411" i="2"/>
  <c r="M411" i="2" s="1"/>
  <c r="N411" i="2" s="1"/>
  <c r="O411" i="2" s="1"/>
  <c r="P411" i="2" s="1"/>
  <c r="Q411" i="2" s="1"/>
  <c r="H412" i="2"/>
  <c r="M412" i="2" s="1"/>
  <c r="N412" i="2" s="1"/>
  <c r="O412" i="2" s="1"/>
  <c r="P412" i="2" s="1"/>
  <c r="Q412" i="2" s="1"/>
  <c r="H413" i="2"/>
  <c r="M413" i="2" s="1"/>
  <c r="N413" i="2" s="1"/>
  <c r="O413" i="2" s="1"/>
  <c r="P413" i="2" s="1"/>
  <c r="Q413" i="2" s="1"/>
  <c r="H414" i="2"/>
  <c r="M414" i="2" s="1"/>
  <c r="N414" i="2" s="1"/>
  <c r="O414" i="2" s="1"/>
  <c r="P414" i="2" s="1"/>
  <c r="Q414" i="2" s="1"/>
  <c r="H415" i="2"/>
  <c r="M415" i="2" s="1"/>
  <c r="N415" i="2" s="1"/>
  <c r="O415" i="2" s="1"/>
  <c r="P415" i="2" s="1"/>
  <c r="Q415" i="2" s="1"/>
  <c r="H416" i="2"/>
  <c r="M416" i="2" s="1"/>
  <c r="N416" i="2" s="1"/>
  <c r="O416" i="2" s="1"/>
  <c r="P416" i="2" s="1"/>
  <c r="Q416" i="2" s="1"/>
  <c r="H417" i="2"/>
  <c r="M417" i="2" s="1"/>
  <c r="N417" i="2" s="1"/>
  <c r="O417" i="2" s="1"/>
  <c r="P417" i="2" s="1"/>
  <c r="Q417" i="2" s="1"/>
  <c r="H418" i="2"/>
  <c r="M418" i="2" s="1"/>
  <c r="N418" i="2" s="1"/>
  <c r="O418" i="2" s="1"/>
  <c r="P418" i="2" s="1"/>
  <c r="Q418" i="2" s="1"/>
  <c r="H419" i="2"/>
  <c r="M419" i="2" s="1"/>
  <c r="N419" i="2" s="1"/>
  <c r="O419" i="2" s="1"/>
  <c r="P419" i="2" s="1"/>
  <c r="Q419" i="2" s="1"/>
  <c r="H420" i="2"/>
  <c r="M420" i="2" s="1"/>
  <c r="N420" i="2" s="1"/>
  <c r="O420" i="2" s="1"/>
  <c r="P420" i="2" s="1"/>
  <c r="Q420" i="2" s="1"/>
  <c r="H421" i="2"/>
  <c r="M421" i="2" s="1"/>
  <c r="N421" i="2" s="1"/>
  <c r="O421" i="2" s="1"/>
  <c r="P421" i="2" s="1"/>
  <c r="Q421" i="2" s="1"/>
  <c r="H422" i="2"/>
  <c r="M422" i="2" s="1"/>
  <c r="N422" i="2" s="1"/>
  <c r="O422" i="2" s="1"/>
  <c r="P422" i="2" s="1"/>
  <c r="Q422" i="2" s="1"/>
  <c r="H423" i="2"/>
  <c r="M423" i="2" s="1"/>
  <c r="N423" i="2" s="1"/>
  <c r="O423" i="2" s="1"/>
  <c r="P423" i="2" s="1"/>
  <c r="Q423" i="2" s="1"/>
  <c r="H424" i="2"/>
  <c r="M424" i="2" s="1"/>
  <c r="N424" i="2" s="1"/>
  <c r="O424" i="2" s="1"/>
  <c r="P424" i="2" s="1"/>
  <c r="Q424" i="2" s="1"/>
  <c r="H425" i="2"/>
  <c r="M425" i="2" s="1"/>
  <c r="N425" i="2" s="1"/>
  <c r="O425" i="2" s="1"/>
  <c r="P425" i="2" s="1"/>
  <c r="Q425" i="2" s="1"/>
  <c r="H426" i="2"/>
  <c r="M426" i="2" s="1"/>
  <c r="N426" i="2" s="1"/>
  <c r="O426" i="2" s="1"/>
  <c r="P426" i="2" s="1"/>
  <c r="Q426" i="2" s="1"/>
  <c r="H427" i="2"/>
  <c r="M427" i="2" s="1"/>
  <c r="N427" i="2" s="1"/>
  <c r="O427" i="2" s="1"/>
  <c r="P427" i="2" s="1"/>
  <c r="Q427" i="2" s="1"/>
  <c r="H428" i="2"/>
  <c r="M428" i="2" s="1"/>
  <c r="N428" i="2" s="1"/>
  <c r="O428" i="2" s="1"/>
  <c r="P428" i="2" s="1"/>
  <c r="Q428" i="2" s="1"/>
  <c r="H429" i="2"/>
  <c r="M429" i="2" s="1"/>
  <c r="N429" i="2" s="1"/>
  <c r="O429" i="2" s="1"/>
  <c r="P429" i="2" s="1"/>
  <c r="Q429" i="2" s="1"/>
  <c r="H430" i="2"/>
  <c r="M430" i="2" s="1"/>
  <c r="N430" i="2" s="1"/>
  <c r="O430" i="2" s="1"/>
  <c r="P430" i="2" s="1"/>
  <c r="Q430" i="2" s="1"/>
  <c r="H431" i="2"/>
  <c r="M431" i="2" s="1"/>
  <c r="N431" i="2" s="1"/>
  <c r="O431" i="2" s="1"/>
  <c r="P431" i="2" s="1"/>
  <c r="Q431" i="2" s="1"/>
  <c r="H432" i="2"/>
  <c r="M432" i="2" s="1"/>
  <c r="N432" i="2" s="1"/>
  <c r="O432" i="2" s="1"/>
  <c r="P432" i="2" s="1"/>
  <c r="Q432" i="2" s="1"/>
  <c r="H433" i="2"/>
  <c r="M433" i="2" s="1"/>
  <c r="N433" i="2" s="1"/>
  <c r="O433" i="2" s="1"/>
  <c r="P433" i="2" s="1"/>
  <c r="Q433" i="2" s="1"/>
  <c r="H434" i="2"/>
  <c r="M434" i="2" s="1"/>
  <c r="N434" i="2" s="1"/>
  <c r="O434" i="2" s="1"/>
  <c r="P434" i="2" s="1"/>
  <c r="Q434" i="2" s="1"/>
  <c r="H435" i="2"/>
  <c r="M435" i="2" s="1"/>
  <c r="N435" i="2" s="1"/>
  <c r="O435" i="2" s="1"/>
  <c r="P435" i="2" s="1"/>
  <c r="Q435" i="2" s="1"/>
  <c r="H436" i="2"/>
  <c r="M436" i="2" s="1"/>
  <c r="N436" i="2" s="1"/>
  <c r="O436" i="2" s="1"/>
  <c r="P436" i="2" s="1"/>
  <c r="Q436" i="2" s="1"/>
  <c r="H437" i="2"/>
  <c r="M437" i="2" s="1"/>
  <c r="N437" i="2" s="1"/>
  <c r="O437" i="2" s="1"/>
  <c r="P437" i="2" s="1"/>
  <c r="Q437" i="2" s="1"/>
  <c r="H438" i="2"/>
  <c r="M438" i="2" s="1"/>
  <c r="N438" i="2" s="1"/>
  <c r="O438" i="2" s="1"/>
  <c r="P438" i="2" s="1"/>
  <c r="Q438" i="2" s="1"/>
  <c r="H439" i="2"/>
  <c r="M439" i="2" s="1"/>
  <c r="N439" i="2" s="1"/>
  <c r="O439" i="2" s="1"/>
  <c r="P439" i="2" s="1"/>
  <c r="Q439" i="2" s="1"/>
  <c r="H440" i="2"/>
  <c r="M440" i="2" s="1"/>
  <c r="N440" i="2" s="1"/>
  <c r="O440" i="2" s="1"/>
  <c r="P440" i="2" s="1"/>
  <c r="Q440" i="2" s="1"/>
  <c r="H441" i="2"/>
  <c r="M441" i="2" s="1"/>
  <c r="N441" i="2" s="1"/>
  <c r="O441" i="2" s="1"/>
  <c r="P441" i="2" s="1"/>
  <c r="Q441" i="2" s="1"/>
  <c r="H442" i="2"/>
  <c r="M442" i="2" s="1"/>
  <c r="N442" i="2" s="1"/>
  <c r="O442" i="2" s="1"/>
  <c r="P442" i="2" s="1"/>
  <c r="Q442" i="2" s="1"/>
  <c r="H443" i="2"/>
  <c r="M443" i="2" s="1"/>
  <c r="N443" i="2" s="1"/>
  <c r="O443" i="2" s="1"/>
  <c r="P443" i="2" s="1"/>
  <c r="Q443" i="2" s="1"/>
  <c r="H444" i="2"/>
  <c r="M444" i="2" s="1"/>
  <c r="N444" i="2" s="1"/>
  <c r="O444" i="2" s="1"/>
  <c r="P444" i="2" s="1"/>
  <c r="Q444" i="2" s="1"/>
  <c r="H257" i="2"/>
  <c r="M257" i="2" s="1"/>
  <c r="N257" i="2" s="1"/>
  <c r="O257" i="2" s="1"/>
  <c r="P257" i="2" s="1"/>
  <c r="Q257" i="2" s="1"/>
  <c r="H234" i="2"/>
  <c r="H235" i="2"/>
  <c r="H236" i="2"/>
  <c r="H237" i="2"/>
  <c r="H238" i="2"/>
  <c r="H239" i="2"/>
  <c r="M239" i="2" s="1"/>
  <c r="N239" i="2" s="1"/>
  <c r="O239" i="2" s="1"/>
  <c r="P239" i="2" s="1"/>
  <c r="Q239" i="2" s="1"/>
  <c r="H240" i="2"/>
  <c r="M240" i="2" s="1"/>
  <c r="N240" i="2" s="1"/>
  <c r="O240" i="2" s="1"/>
  <c r="P240" i="2" s="1"/>
  <c r="Q240" i="2" s="1"/>
  <c r="H241" i="2"/>
  <c r="M241" i="2" s="1"/>
  <c r="N241" i="2" s="1"/>
  <c r="O241" i="2" s="1"/>
  <c r="P241" i="2" s="1"/>
  <c r="Q241" i="2" s="1"/>
  <c r="H242" i="2"/>
  <c r="M242" i="2" s="1"/>
  <c r="N242" i="2" s="1"/>
  <c r="O242" i="2" s="1"/>
  <c r="P242" i="2" s="1"/>
  <c r="Q242" i="2" s="1"/>
  <c r="H243" i="2"/>
  <c r="M243" i="2" s="1"/>
  <c r="N243" i="2" s="1"/>
  <c r="O243" i="2" s="1"/>
  <c r="P243" i="2" s="1"/>
  <c r="Q243" i="2" s="1"/>
  <c r="H244" i="2"/>
  <c r="M244" i="2" s="1"/>
  <c r="N244" i="2" s="1"/>
  <c r="O244" i="2" s="1"/>
  <c r="P244" i="2" s="1"/>
  <c r="Q244" i="2" s="1"/>
  <c r="H245" i="2"/>
  <c r="M245" i="2" s="1"/>
  <c r="N245" i="2" s="1"/>
  <c r="O245" i="2" s="1"/>
  <c r="P245" i="2" s="1"/>
  <c r="Q245" i="2" s="1"/>
  <c r="H246" i="2"/>
  <c r="M246" i="2" s="1"/>
  <c r="N246" i="2" s="1"/>
  <c r="O246" i="2" s="1"/>
  <c r="P246" i="2" s="1"/>
  <c r="Q246" i="2" s="1"/>
  <c r="H247" i="2"/>
  <c r="H248" i="2"/>
  <c r="H249" i="2"/>
  <c r="M249" i="2" s="1"/>
  <c r="N249" i="2" s="1"/>
  <c r="O249" i="2" s="1"/>
  <c r="P249" i="2" s="1"/>
  <c r="Q249" i="2" s="1"/>
  <c r="H250" i="2"/>
  <c r="M250" i="2" s="1"/>
  <c r="N250" i="2" s="1"/>
  <c r="O250" i="2" s="1"/>
  <c r="P250" i="2" s="1"/>
  <c r="Q250" i="2" s="1"/>
  <c r="H251" i="2"/>
  <c r="M251" i="2" s="1"/>
  <c r="N251" i="2" s="1"/>
  <c r="O251" i="2" s="1"/>
  <c r="P251" i="2" s="1"/>
  <c r="Q251" i="2" s="1"/>
  <c r="H252" i="2"/>
  <c r="H253" i="2"/>
  <c r="M253" i="2" s="1"/>
  <c r="N253" i="2" s="1"/>
  <c r="O253" i="2" s="1"/>
  <c r="P253" i="2" s="1"/>
  <c r="Q253" i="2" s="1"/>
  <c r="H254" i="2"/>
  <c r="M254" i="2" s="1"/>
  <c r="N254" i="2" s="1"/>
  <c r="O254" i="2" s="1"/>
  <c r="P254" i="2" s="1"/>
  <c r="Q254" i="2" s="1"/>
  <c r="H255" i="2"/>
  <c r="H256" i="2"/>
  <c r="M256" i="2" s="1"/>
  <c r="N256" i="2" s="1"/>
  <c r="O256" i="2" s="1"/>
  <c r="P256" i="2" s="1"/>
  <c r="Q256" i="2" s="1"/>
  <c r="H233" i="2"/>
  <c r="H10" i="2"/>
  <c r="M10" i="2" s="1"/>
  <c r="N10" i="2" s="1"/>
  <c r="O10" i="2" s="1"/>
  <c r="P10" i="2" s="1"/>
  <c r="Q10" i="2" s="1"/>
  <c r="H11" i="2"/>
  <c r="M11" i="2" s="1"/>
  <c r="N11" i="2" s="1"/>
  <c r="O11" i="2" s="1"/>
  <c r="P11" i="2" s="1"/>
  <c r="Q11" i="2" s="1"/>
  <c r="H12" i="2"/>
  <c r="M12" i="2" s="1"/>
  <c r="N12" i="2" s="1"/>
  <c r="O12" i="2" s="1"/>
  <c r="P12" i="2" s="1"/>
  <c r="Q12" i="2" s="1"/>
  <c r="H13" i="2"/>
  <c r="M13" i="2" s="1"/>
  <c r="N13" i="2" s="1"/>
  <c r="O13" i="2" s="1"/>
  <c r="P13" i="2" s="1"/>
  <c r="Q13" i="2" s="1"/>
  <c r="H14" i="2"/>
  <c r="M14" i="2" s="1"/>
  <c r="N14" i="2" s="1"/>
  <c r="O14" i="2" s="1"/>
  <c r="P14" i="2" s="1"/>
  <c r="Q14" i="2" s="1"/>
  <c r="H15" i="2"/>
  <c r="H16" i="2"/>
  <c r="M16" i="2" s="1"/>
  <c r="N16" i="2" s="1"/>
  <c r="O16" i="2" s="1"/>
  <c r="P16" i="2" s="1"/>
  <c r="Q16" i="2" s="1"/>
  <c r="H17" i="2"/>
  <c r="M17" i="2" s="1"/>
  <c r="N17" i="2" s="1"/>
  <c r="O17" i="2" s="1"/>
  <c r="P17" i="2" s="1"/>
  <c r="Q17" i="2" s="1"/>
  <c r="H18" i="2"/>
  <c r="M18" i="2" s="1"/>
  <c r="N18" i="2" s="1"/>
  <c r="O18" i="2" s="1"/>
  <c r="P18" i="2" s="1"/>
  <c r="Q18" i="2" s="1"/>
  <c r="H19" i="2"/>
  <c r="M19" i="2" s="1"/>
  <c r="N19" i="2" s="1"/>
  <c r="O19" i="2" s="1"/>
  <c r="P19" i="2" s="1"/>
  <c r="Q19" i="2" s="1"/>
  <c r="H20" i="2"/>
  <c r="M20" i="2" s="1"/>
  <c r="N20" i="2" s="1"/>
  <c r="O20" i="2" s="1"/>
  <c r="P20" i="2" s="1"/>
  <c r="Q20" i="2" s="1"/>
  <c r="H21" i="2"/>
  <c r="M21" i="2" s="1"/>
  <c r="N21" i="2" s="1"/>
  <c r="O21" i="2" s="1"/>
  <c r="P21" i="2" s="1"/>
  <c r="Q21" i="2" s="1"/>
  <c r="H22" i="2"/>
  <c r="H23" i="2"/>
  <c r="H24" i="2"/>
  <c r="M24" i="2" s="1"/>
  <c r="N24" i="2" s="1"/>
  <c r="O24" i="2" s="1"/>
  <c r="P24" i="2" s="1"/>
  <c r="Q24" i="2" s="1"/>
  <c r="H25" i="2"/>
  <c r="M25" i="2" s="1"/>
  <c r="N25" i="2" s="1"/>
  <c r="O25" i="2" s="1"/>
  <c r="P25" i="2" s="1"/>
  <c r="Q25" i="2" s="1"/>
  <c r="H26" i="2"/>
  <c r="M26" i="2" s="1"/>
  <c r="N26" i="2" s="1"/>
  <c r="O26" i="2" s="1"/>
  <c r="P26" i="2" s="1"/>
  <c r="Q26" i="2" s="1"/>
  <c r="H27" i="2"/>
  <c r="H28" i="2"/>
  <c r="M28" i="2" s="1"/>
  <c r="N28" i="2" s="1"/>
  <c r="O28" i="2" s="1"/>
  <c r="P28" i="2" s="1"/>
  <c r="Q28" i="2" s="1"/>
  <c r="H29" i="2"/>
  <c r="M29" i="2" s="1"/>
  <c r="N29" i="2" s="1"/>
  <c r="O29" i="2" s="1"/>
  <c r="P29" i="2" s="1"/>
  <c r="Q29" i="2" s="1"/>
  <c r="H30" i="2"/>
  <c r="M30" i="2" s="1"/>
  <c r="N30" i="2" s="1"/>
  <c r="O30" i="2" s="1"/>
  <c r="P30" i="2" s="1"/>
  <c r="Q30" i="2" s="1"/>
  <c r="H31" i="2"/>
  <c r="H32" i="2"/>
  <c r="M32" i="2" s="1"/>
  <c r="N32" i="2" s="1"/>
  <c r="O32" i="2" s="1"/>
  <c r="P32" i="2" s="1"/>
  <c r="Q32" i="2" s="1"/>
  <c r="H33" i="2"/>
  <c r="H34" i="2"/>
  <c r="M34" i="2" s="1"/>
  <c r="N34" i="2" s="1"/>
  <c r="O34" i="2" s="1"/>
  <c r="P34" i="2" s="1"/>
  <c r="Q34" i="2" s="1"/>
  <c r="H35" i="2"/>
  <c r="M35" i="2" s="1"/>
  <c r="N35" i="2" s="1"/>
  <c r="O35" i="2" s="1"/>
  <c r="P35" i="2" s="1"/>
  <c r="Q35" i="2" s="1"/>
  <c r="H36" i="2"/>
  <c r="H37" i="2"/>
  <c r="H38" i="2"/>
  <c r="M38" i="2" s="1"/>
  <c r="N38" i="2" s="1"/>
  <c r="O38" i="2" s="1"/>
  <c r="P38" i="2" s="1"/>
  <c r="Q38" i="2" s="1"/>
  <c r="H39" i="2"/>
  <c r="H40" i="2"/>
  <c r="H41" i="2"/>
  <c r="M41" i="2" s="1"/>
  <c r="N41" i="2" s="1"/>
  <c r="O41" i="2" s="1"/>
  <c r="P41" i="2" s="1"/>
  <c r="Q41" i="2" s="1"/>
  <c r="H42" i="2"/>
  <c r="M42" i="2" s="1"/>
  <c r="N42" i="2" s="1"/>
  <c r="O42" i="2" s="1"/>
  <c r="P42" i="2" s="1"/>
  <c r="Q42" i="2" s="1"/>
  <c r="H43" i="2"/>
  <c r="M43" i="2" s="1"/>
  <c r="N43" i="2" s="1"/>
  <c r="O43" i="2" s="1"/>
  <c r="P43" i="2" s="1"/>
  <c r="Q43" i="2" s="1"/>
  <c r="H44" i="2"/>
  <c r="M44" i="2" s="1"/>
  <c r="N44" i="2" s="1"/>
  <c r="O44" i="2" s="1"/>
  <c r="P44" i="2" s="1"/>
  <c r="Q44" i="2" s="1"/>
  <c r="H45" i="2"/>
  <c r="H46" i="2"/>
  <c r="M46" i="2" s="1"/>
  <c r="N46" i="2" s="1"/>
  <c r="O46" i="2" s="1"/>
  <c r="P46" i="2" s="1"/>
  <c r="Q46" i="2" s="1"/>
  <c r="H47" i="2"/>
  <c r="M47" i="2" s="1"/>
  <c r="N47" i="2" s="1"/>
  <c r="O47" i="2" s="1"/>
  <c r="P47" i="2" s="1"/>
  <c r="Q47" i="2" s="1"/>
  <c r="H48" i="2"/>
  <c r="M48" i="2" s="1"/>
  <c r="N48" i="2" s="1"/>
  <c r="O48" i="2" s="1"/>
  <c r="P48" i="2" s="1"/>
  <c r="Q48" i="2" s="1"/>
  <c r="H49" i="2"/>
  <c r="M49" i="2" s="1"/>
  <c r="N49" i="2" s="1"/>
  <c r="O49" i="2" s="1"/>
  <c r="P49" i="2" s="1"/>
  <c r="Q49" i="2" s="1"/>
  <c r="H50" i="2"/>
  <c r="M50" i="2" s="1"/>
  <c r="N50" i="2" s="1"/>
  <c r="O50" i="2" s="1"/>
  <c r="P50" i="2" s="1"/>
  <c r="Q50" i="2" s="1"/>
  <c r="H51" i="2"/>
  <c r="M51" i="2" s="1"/>
  <c r="N51" i="2" s="1"/>
  <c r="O51" i="2" s="1"/>
  <c r="P51" i="2" s="1"/>
  <c r="Q51" i="2" s="1"/>
  <c r="H52" i="2"/>
  <c r="M52" i="2" s="1"/>
  <c r="N52" i="2" s="1"/>
  <c r="O52" i="2" s="1"/>
  <c r="P52" i="2" s="1"/>
  <c r="Q52" i="2" s="1"/>
  <c r="H53" i="2"/>
  <c r="M53" i="2" s="1"/>
  <c r="N53" i="2" s="1"/>
  <c r="O53" i="2" s="1"/>
  <c r="P53" i="2" s="1"/>
  <c r="Q53" i="2" s="1"/>
  <c r="H54" i="2"/>
  <c r="M54" i="2" s="1"/>
  <c r="N54" i="2" s="1"/>
  <c r="O54" i="2" s="1"/>
  <c r="P54" i="2" s="1"/>
  <c r="Q54" i="2" s="1"/>
  <c r="H55" i="2"/>
  <c r="M55" i="2" s="1"/>
  <c r="N55" i="2" s="1"/>
  <c r="O55" i="2" s="1"/>
  <c r="P55" i="2" s="1"/>
  <c r="Q55" i="2" s="1"/>
  <c r="H56" i="2"/>
  <c r="M56" i="2" s="1"/>
  <c r="N56" i="2" s="1"/>
  <c r="O56" i="2" s="1"/>
  <c r="P56" i="2" s="1"/>
  <c r="Q56" i="2" s="1"/>
  <c r="H57" i="2"/>
  <c r="M57" i="2" s="1"/>
  <c r="N57" i="2" s="1"/>
  <c r="O57" i="2" s="1"/>
  <c r="P57" i="2" s="1"/>
  <c r="Q57" i="2" s="1"/>
  <c r="H58" i="2"/>
  <c r="M58" i="2" s="1"/>
  <c r="N58" i="2" s="1"/>
  <c r="O58" i="2" s="1"/>
  <c r="P58" i="2" s="1"/>
  <c r="Q58" i="2" s="1"/>
  <c r="H59" i="2"/>
  <c r="M59" i="2" s="1"/>
  <c r="N59" i="2" s="1"/>
  <c r="O59" i="2" s="1"/>
  <c r="P59" i="2" s="1"/>
  <c r="Q59" i="2" s="1"/>
  <c r="H60" i="2"/>
  <c r="M60" i="2" s="1"/>
  <c r="N60" i="2" s="1"/>
  <c r="O60" i="2" s="1"/>
  <c r="P60" i="2" s="1"/>
  <c r="Q60" i="2" s="1"/>
  <c r="H61" i="2"/>
  <c r="M61" i="2" s="1"/>
  <c r="N61" i="2" s="1"/>
  <c r="O61" i="2" s="1"/>
  <c r="P61" i="2" s="1"/>
  <c r="Q61" i="2" s="1"/>
  <c r="H62" i="2"/>
  <c r="M62" i="2" s="1"/>
  <c r="N62" i="2" s="1"/>
  <c r="O62" i="2" s="1"/>
  <c r="P62" i="2" s="1"/>
  <c r="Q62" i="2" s="1"/>
  <c r="H63" i="2"/>
  <c r="M63" i="2" s="1"/>
  <c r="N63" i="2" s="1"/>
  <c r="O63" i="2" s="1"/>
  <c r="P63" i="2" s="1"/>
  <c r="Q63" i="2" s="1"/>
  <c r="H64" i="2"/>
  <c r="M64" i="2" s="1"/>
  <c r="N64" i="2" s="1"/>
  <c r="O64" i="2" s="1"/>
  <c r="P64" i="2" s="1"/>
  <c r="Q64" i="2" s="1"/>
  <c r="H65" i="2"/>
  <c r="M65" i="2" s="1"/>
  <c r="N65" i="2" s="1"/>
  <c r="O65" i="2" s="1"/>
  <c r="P65" i="2" s="1"/>
  <c r="Q65" i="2" s="1"/>
  <c r="H66" i="2"/>
  <c r="M66" i="2" s="1"/>
  <c r="N66" i="2" s="1"/>
  <c r="O66" i="2" s="1"/>
  <c r="P66" i="2" s="1"/>
  <c r="Q66" i="2" s="1"/>
  <c r="H67" i="2"/>
  <c r="M67" i="2" s="1"/>
  <c r="N67" i="2" s="1"/>
  <c r="O67" i="2" s="1"/>
  <c r="P67" i="2" s="1"/>
  <c r="Q67" i="2" s="1"/>
  <c r="H68" i="2"/>
  <c r="M68" i="2" s="1"/>
  <c r="N68" i="2" s="1"/>
  <c r="O68" i="2" s="1"/>
  <c r="P68" i="2" s="1"/>
  <c r="Q68" i="2" s="1"/>
  <c r="H69" i="2"/>
  <c r="M69" i="2" s="1"/>
  <c r="N69" i="2" s="1"/>
  <c r="O69" i="2" s="1"/>
  <c r="P69" i="2" s="1"/>
  <c r="Q69" i="2" s="1"/>
  <c r="H70" i="2"/>
  <c r="M70" i="2" s="1"/>
  <c r="N70" i="2" s="1"/>
  <c r="O70" i="2" s="1"/>
  <c r="P70" i="2" s="1"/>
  <c r="Q70" i="2" s="1"/>
  <c r="H71" i="2"/>
  <c r="M71" i="2" s="1"/>
  <c r="N71" i="2" s="1"/>
  <c r="O71" i="2" s="1"/>
  <c r="P71" i="2" s="1"/>
  <c r="Q71" i="2" s="1"/>
  <c r="H72" i="2"/>
  <c r="M72" i="2" s="1"/>
  <c r="N72" i="2" s="1"/>
  <c r="O72" i="2" s="1"/>
  <c r="P72" i="2" s="1"/>
  <c r="Q72" i="2" s="1"/>
  <c r="H73" i="2"/>
  <c r="M73" i="2" s="1"/>
  <c r="N73" i="2" s="1"/>
  <c r="O73" i="2" s="1"/>
  <c r="P73" i="2" s="1"/>
  <c r="Q73" i="2" s="1"/>
  <c r="H74" i="2"/>
  <c r="M74" i="2" s="1"/>
  <c r="N74" i="2" s="1"/>
  <c r="O74" i="2" s="1"/>
  <c r="P74" i="2" s="1"/>
  <c r="Q74" i="2" s="1"/>
  <c r="H75" i="2"/>
  <c r="M75" i="2" s="1"/>
  <c r="N75" i="2" s="1"/>
  <c r="O75" i="2" s="1"/>
  <c r="P75" i="2" s="1"/>
  <c r="Q75" i="2" s="1"/>
  <c r="H76" i="2"/>
  <c r="M76" i="2" s="1"/>
  <c r="N76" i="2" s="1"/>
  <c r="O76" i="2" s="1"/>
  <c r="P76" i="2" s="1"/>
  <c r="Q76" i="2" s="1"/>
  <c r="H77" i="2"/>
  <c r="M77" i="2" s="1"/>
  <c r="N77" i="2" s="1"/>
  <c r="O77" i="2" s="1"/>
  <c r="P77" i="2" s="1"/>
  <c r="Q77" i="2" s="1"/>
  <c r="H78" i="2"/>
  <c r="M78" i="2" s="1"/>
  <c r="N78" i="2" s="1"/>
  <c r="O78" i="2" s="1"/>
  <c r="P78" i="2" s="1"/>
  <c r="Q78" i="2" s="1"/>
  <c r="H79" i="2"/>
  <c r="M79" i="2" s="1"/>
  <c r="N79" i="2" s="1"/>
  <c r="O79" i="2" s="1"/>
  <c r="P79" i="2" s="1"/>
  <c r="Q79" i="2" s="1"/>
  <c r="H80" i="2"/>
  <c r="M80" i="2" s="1"/>
  <c r="N80" i="2" s="1"/>
  <c r="O80" i="2" s="1"/>
  <c r="P80" i="2" s="1"/>
  <c r="Q80" i="2" s="1"/>
  <c r="H81" i="2"/>
  <c r="M81" i="2" s="1"/>
  <c r="N81" i="2" s="1"/>
  <c r="O81" i="2" s="1"/>
  <c r="P81" i="2" s="1"/>
  <c r="Q81" i="2" s="1"/>
  <c r="H82" i="2"/>
  <c r="M82" i="2" s="1"/>
  <c r="N82" i="2" s="1"/>
  <c r="O82" i="2" s="1"/>
  <c r="P82" i="2" s="1"/>
  <c r="Q82" i="2" s="1"/>
  <c r="H83" i="2"/>
  <c r="M83" i="2" s="1"/>
  <c r="N83" i="2" s="1"/>
  <c r="O83" i="2" s="1"/>
  <c r="P83" i="2" s="1"/>
  <c r="Q83" i="2" s="1"/>
  <c r="H84" i="2"/>
  <c r="M84" i="2" s="1"/>
  <c r="N84" i="2" s="1"/>
  <c r="O84" i="2" s="1"/>
  <c r="P84" i="2" s="1"/>
  <c r="Q84" i="2" s="1"/>
  <c r="H85" i="2"/>
  <c r="M85" i="2" s="1"/>
  <c r="N85" i="2" s="1"/>
  <c r="O85" i="2" s="1"/>
  <c r="P85" i="2" s="1"/>
  <c r="Q85" i="2" s="1"/>
  <c r="H86" i="2"/>
  <c r="M86" i="2" s="1"/>
  <c r="N86" i="2" s="1"/>
  <c r="O86" i="2" s="1"/>
  <c r="P86" i="2" s="1"/>
  <c r="Q86" i="2" s="1"/>
  <c r="H87" i="2"/>
  <c r="M87" i="2" s="1"/>
  <c r="N87" i="2" s="1"/>
  <c r="O87" i="2" s="1"/>
  <c r="P87" i="2" s="1"/>
  <c r="Q87" i="2" s="1"/>
  <c r="H88" i="2"/>
  <c r="M88" i="2" s="1"/>
  <c r="N88" i="2" s="1"/>
  <c r="O88" i="2" s="1"/>
  <c r="P88" i="2" s="1"/>
  <c r="Q88" i="2" s="1"/>
  <c r="H89" i="2"/>
  <c r="M89" i="2" s="1"/>
  <c r="N89" i="2" s="1"/>
  <c r="O89" i="2" s="1"/>
  <c r="P89" i="2" s="1"/>
  <c r="Q89" i="2" s="1"/>
  <c r="H90" i="2"/>
  <c r="M90" i="2" s="1"/>
  <c r="N90" i="2" s="1"/>
  <c r="O90" i="2" s="1"/>
  <c r="P90" i="2" s="1"/>
  <c r="Q90" i="2" s="1"/>
  <c r="H91" i="2"/>
  <c r="M91" i="2" s="1"/>
  <c r="N91" i="2" s="1"/>
  <c r="O91" i="2" s="1"/>
  <c r="P91" i="2" s="1"/>
  <c r="Q91" i="2" s="1"/>
  <c r="H92" i="2"/>
  <c r="M92" i="2" s="1"/>
  <c r="N92" i="2" s="1"/>
  <c r="O92" i="2" s="1"/>
  <c r="P92" i="2" s="1"/>
  <c r="Q92" i="2" s="1"/>
  <c r="H93" i="2"/>
  <c r="M93" i="2" s="1"/>
  <c r="N93" i="2" s="1"/>
  <c r="O93" i="2" s="1"/>
  <c r="P93" i="2" s="1"/>
  <c r="Q93" i="2" s="1"/>
  <c r="H94" i="2"/>
  <c r="M94" i="2" s="1"/>
  <c r="N94" i="2" s="1"/>
  <c r="O94" i="2" s="1"/>
  <c r="P94" i="2" s="1"/>
  <c r="Q94" i="2" s="1"/>
  <c r="H95" i="2"/>
  <c r="M95" i="2" s="1"/>
  <c r="N95" i="2" s="1"/>
  <c r="O95" i="2" s="1"/>
  <c r="P95" i="2" s="1"/>
  <c r="Q95" i="2" s="1"/>
  <c r="H96" i="2"/>
  <c r="M96" i="2" s="1"/>
  <c r="N96" i="2" s="1"/>
  <c r="O96" i="2" s="1"/>
  <c r="P96" i="2" s="1"/>
  <c r="Q96" i="2" s="1"/>
  <c r="H97" i="2"/>
  <c r="M97" i="2" s="1"/>
  <c r="N97" i="2" s="1"/>
  <c r="O97" i="2" s="1"/>
  <c r="P97" i="2" s="1"/>
  <c r="Q97" i="2" s="1"/>
  <c r="H98" i="2"/>
  <c r="M98" i="2" s="1"/>
  <c r="N98" i="2" s="1"/>
  <c r="O98" i="2" s="1"/>
  <c r="P98" i="2" s="1"/>
  <c r="Q98" i="2" s="1"/>
  <c r="H99" i="2"/>
  <c r="M99" i="2" s="1"/>
  <c r="N99" i="2" s="1"/>
  <c r="O99" i="2" s="1"/>
  <c r="P99" i="2" s="1"/>
  <c r="Q99" i="2" s="1"/>
  <c r="H100" i="2"/>
  <c r="M100" i="2" s="1"/>
  <c r="N100" i="2" s="1"/>
  <c r="O100" i="2" s="1"/>
  <c r="P100" i="2" s="1"/>
  <c r="Q100" i="2" s="1"/>
  <c r="H101" i="2"/>
  <c r="M101" i="2" s="1"/>
  <c r="N101" i="2" s="1"/>
  <c r="O101" i="2" s="1"/>
  <c r="P101" i="2" s="1"/>
  <c r="Q101" i="2" s="1"/>
  <c r="H102" i="2"/>
  <c r="M102" i="2" s="1"/>
  <c r="N102" i="2" s="1"/>
  <c r="O102" i="2" s="1"/>
  <c r="P102" i="2" s="1"/>
  <c r="Q102" i="2" s="1"/>
  <c r="H103" i="2"/>
  <c r="M103" i="2" s="1"/>
  <c r="N103" i="2" s="1"/>
  <c r="O103" i="2" s="1"/>
  <c r="P103" i="2" s="1"/>
  <c r="Q103" i="2" s="1"/>
  <c r="H104" i="2"/>
  <c r="M104" i="2" s="1"/>
  <c r="N104" i="2" s="1"/>
  <c r="O104" i="2" s="1"/>
  <c r="P104" i="2" s="1"/>
  <c r="Q104" i="2" s="1"/>
  <c r="H105" i="2"/>
  <c r="M105" i="2" s="1"/>
  <c r="N105" i="2" s="1"/>
  <c r="O105" i="2" s="1"/>
  <c r="P105" i="2" s="1"/>
  <c r="Q105" i="2" s="1"/>
  <c r="H106" i="2"/>
  <c r="M106" i="2" s="1"/>
  <c r="N106" i="2" s="1"/>
  <c r="O106" i="2" s="1"/>
  <c r="P106" i="2" s="1"/>
  <c r="Q106" i="2" s="1"/>
  <c r="H107" i="2"/>
  <c r="M107" i="2" s="1"/>
  <c r="N107" i="2" s="1"/>
  <c r="O107" i="2" s="1"/>
  <c r="P107" i="2" s="1"/>
  <c r="Q107" i="2" s="1"/>
  <c r="H108" i="2"/>
  <c r="M108" i="2" s="1"/>
  <c r="N108" i="2" s="1"/>
  <c r="O108" i="2" s="1"/>
  <c r="P108" i="2" s="1"/>
  <c r="Q108" i="2" s="1"/>
  <c r="H109" i="2"/>
  <c r="M109" i="2" s="1"/>
  <c r="N109" i="2" s="1"/>
  <c r="O109" i="2" s="1"/>
  <c r="P109" i="2" s="1"/>
  <c r="Q109" i="2" s="1"/>
  <c r="H110" i="2"/>
  <c r="M110" i="2" s="1"/>
  <c r="N110" i="2" s="1"/>
  <c r="O110" i="2" s="1"/>
  <c r="P110" i="2" s="1"/>
  <c r="Q110" i="2" s="1"/>
  <c r="H111" i="2"/>
  <c r="M111" i="2" s="1"/>
  <c r="N111" i="2" s="1"/>
  <c r="O111" i="2" s="1"/>
  <c r="P111" i="2" s="1"/>
  <c r="Q111" i="2" s="1"/>
  <c r="H112" i="2"/>
  <c r="M112" i="2" s="1"/>
  <c r="N112" i="2" s="1"/>
  <c r="O112" i="2" s="1"/>
  <c r="P112" i="2" s="1"/>
  <c r="Q112" i="2" s="1"/>
  <c r="H113" i="2"/>
  <c r="M113" i="2" s="1"/>
  <c r="N113" i="2" s="1"/>
  <c r="O113" i="2" s="1"/>
  <c r="P113" i="2" s="1"/>
  <c r="Q113" i="2" s="1"/>
  <c r="H114" i="2"/>
  <c r="M114" i="2" s="1"/>
  <c r="N114" i="2" s="1"/>
  <c r="O114" i="2" s="1"/>
  <c r="P114" i="2" s="1"/>
  <c r="Q114" i="2" s="1"/>
  <c r="H115" i="2"/>
  <c r="M115" i="2" s="1"/>
  <c r="N115" i="2" s="1"/>
  <c r="O115" i="2" s="1"/>
  <c r="P115" i="2" s="1"/>
  <c r="Q115" i="2" s="1"/>
  <c r="H116" i="2"/>
  <c r="M116" i="2" s="1"/>
  <c r="N116" i="2" s="1"/>
  <c r="O116" i="2" s="1"/>
  <c r="P116" i="2" s="1"/>
  <c r="Q116" i="2" s="1"/>
  <c r="H117" i="2"/>
  <c r="M117" i="2" s="1"/>
  <c r="N117" i="2" s="1"/>
  <c r="O117" i="2" s="1"/>
  <c r="P117" i="2" s="1"/>
  <c r="Q117" i="2" s="1"/>
  <c r="H118" i="2"/>
  <c r="M118" i="2" s="1"/>
  <c r="N118" i="2" s="1"/>
  <c r="O118" i="2" s="1"/>
  <c r="P118" i="2" s="1"/>
  <c r="Q118" i="2" s="1"/>
  <c r="H119" i="2"/>
  <c r="M119" i="2" s="1"/>
  <c r="N119" i="2" s="1"/>
  <c r="O119" i="2" s="1"/>
  <c r="P119" i="2" s="1"/>
  <c r="Q119" i="2" s="1"/>
  <c r="H120" i="2"/>
  <c r="M120" i="2" s="1"/>
  <c r="N120" i="2" s="1"/>
  <c r="O120" i="2" s="1"/>
  <c r="P120" i="2" s="1"/>
  <c r="Q120" i="2" s="1"/>
  <c r="H121" i="2"/>
  <c r="M121" i="2" s="1"/>
  <c r="N121" i="2" s="1"/>
  <c r="O121" i="2" s="1"/>
  <c r="P121" i="2" s="1"/>
  <c r="Q121" i="2" s="1"/>
  <c r="H122" i="2"/>
  <c r="M122" i="2" s="1"/>
  <c r="N122" i="2" s="1"/>
  <c r="O122" i="2" s="1"/>
  <c r="P122" i="2" s="1"/>
  <c r="Q122" i="2" s="1"/>
  <c r="H123" i="2"/>
  <c r="M123" i="2" s="1"/>
  <c r="N123" i="2" s="1"/>
  <c r="O123" i="2" s="1"/>
  <c r="P123" i="2" s="1"/>
  <c r="Q123" i="2" s="1"/>
  <c r="H124" i="2"/>
  <c r="M124" i="2" s="1"/>
  <c r="N124" i="2" s="1"/>
  <c r="O124" i="2" s="1"/>
  <c r="P124" i="2" s="1"/>
  <c r="Q124" i="2" s="1"/>
  <c r="H125" i="2"/>
  <c r="M125" i="2" s="1"/>
  <c r="N125" i="2" s="1"/>
  <c r="O125" i="2" s="1"/>
  <c r="P125" i="2" s="1"/>
  <c r="Q125" i="2" s="1"/>
  <c r="H126" i="2"/>
  <c r="M126" i="2" s="1"/>
  <c r="N126" i="2" s="1"/>
  <c r="O126" i="2" s="1"/>
  <c r="P126" i="2" s="1"/>
  <c r="Q126" i="2" s="1"/>
  <c r="H127" i="2"/>
  <c r="M127" i="2" s="1"/>
  <c r="N127" i="2" s="1"/>
  <c r="O127" i="2" s="1"/>
  <c r="P127" i="2" s="1"/>
  <c r="Q127" i="2" s="1"/>
  <c r="H128" i="2"/>
  <c r="M128" i="2" s="1"/>
  <c r="N128" i="2" s="1"/>
  <c r="O128" i="2" s="1"/>
  <c r="P128" i="2" s="1"/>
  <c r="Q128" i="2" s="1"/>
  <c r="H129" i="2"/>
  <c r="M129" i="2" s="1"/>
  <c r="N129" i="2" s="1"/>
  <c r="O129" i="2" s="1"/>
  <c r="P129" i="2" s="1"/>
  <c r="Q129" i="2" s="1"/>
  <c r="H130" i="2"/>
  <c r="M130" i="2" s="1"/>
  <c r="N130" i="2" s="1"/>
  <c r="O130" i="2" s="1"/>
  <c r="P130" i="2" s="1"/>
  <c r="Q130" i="2" s="1"/>
  <c r="H131" i="2"/>
  <c r="M131" i="2" s="1"/>
  <c r="N131" i="2" s="1"/>
  <c r="O131" i="2" s="1"/>
  <c r="P131" i="2" s="1"/>
  <c r="Q131" i="2" s="1"/>
  <c r="H132" i="2"/>
  <c r="M132" i="2" s="1"/>
  <c r="N132" i="2" s="1"/>
  <c r="O132" i="2" s="1"/>
  <c r="P132" i="2" s="1"/>
  <c r="Q132" i="2" s="1"/>
  <c r="H133" i="2"/>
  <c r="M133" i="2" s="1"/>
  <c r="N133" i="2" s="1"/>
  <c r="O133" i="2" s="1"/>
  <c r="P133" i="2" s="1"/>
  <c r="Q133" i="2" s="1"/>
  <c r="H134" i="2"/>
  <c r="M134" i="2" s="1"/>
  <c r="N134" i="2" s="1"/>
  <c r="O134" i="2" s="1"/>
  <c r="P134" i="2" s="1"/>
  <c r="Q134" i="2" s="1"/>
  <c r="H135" i="2"/>
  <c r="M135" i="2" s="1"/>
  <c r="N135" i="2" s="1"/>
  <c r="O135" i="2" s="1"/>
  <c r="P135" i="2" s="1"/>
  <c r="Q135" i="2" s="1"/>
  <c r="H136" i="2"/>
  <c r="M136" i="2" s="1"/>
  <c r="N136" i="2" s="1"/>
  <c r="O136" i="2" s="1"/>
  <c r="P136" i="2" s="1"/>
  <c r="Q136" i="2" s="1"/>
  <c r="H137" i="2"/>
  <c r="M137" i="2" s="1"/>
  <c r="N137" i="2" s="1"/>
  <c r="O137" i="2" s="1"/>
  <c r="P137" i="2" s="1"/>
  <c r="Q137" i="2" s="1"/>
  <c r="H138" i="2"/>
  <c r="M138" i="2" s="1"/>
  <c r="N138" i="2" s="1"/>
  <c r="O138" i="2" s="1"/>
  <c r="P138" i="2" s="1"/>
  <c r="Q138" i="2" s="1"/>
  <c r="H139" i="2"/>
  <c r="M139" i="2" s="1"/>
  <c r="N139" i="2" s="1"/>
  <c r="O139" i="2" s="1"/>
  <c r="P139" i="2" s="1"/>
  <c r="Q139" i="2" s="1"/>
  <c r="H140" i="2"/>
  <c r="M140" i="2" s="1"/>
  <c r="N140" i="2" s="1"/>
  <c r="O140" i="2" s="1"/>
  <c r="P140" i="2" s="1"/>
  <c r="Q140" i="2" s="1"/>
  <c r="H141" i="2"/>
  <c r="M141" i="2" s="1"/>
  <c r="N141" i="2" s="1"/>
  <c r="O141" i="2" s="1"/>
  <c r="P141" i="2" s="1"/>
  <c r="Q141" i="2" s="1"/>
  <c r="H142" i="2"/>
  <c r="M142" i="2" s="1"/>
  <c r="N142" i="2" s="1"/>
  <c r="O142" i="2" s="1"/>
  <c r="P142" i="2" s="1"/>
  <c r="Q142" i="2" s="1"/>
  <c r="H143" i="2"/>
  <c r="M143" i="2" s="1"/>
  <c r="N143" i="2" s="1"/>
  <c r="O143" i="2" s="1"/>
  <c r="P143" i="2" s="1"/>
  <c r="Q143" i="2" s="1"/>
  <c r="H144" i="2"/>
  <c r="M144" i="2" s="1"/>
  <c r="N144" i="2" s="1"/>
  <c r="O144" i="2" s="1"/>
  <c r="P144" i="2" s="1"/>
  <c r="Q144" i="2" s="1"/>
  <c r="H145" i="2"/>
  <c r="M145" i="2" s="1"/>
  <c r="N145" i="2" s="1"/>
  <c r="O145" i="2" s="1"/>
  <c r="P145" i="2" s="1"/>
  <c r="Q145" i="2" s="1"/>
  <c r="H146" i="2"/>
  <c r="M146" i="2" s="1"/>
  <c r="N146" i="2" s="1"/>
  <c r="O146" i="2" s="1"/>
  <c r="P146" i="2" s="1"/>
  <c r="Q146" i="2" s="1"/>
  <c r="H147" i="2"/>
  <c r="M147" i="2" s="1"/>
  <c r="N147" i="2" s="1"/>
  <c r="O147" i="2" s="1"/>
  <c r="P147" i="2" s="1"/>
  <c r="Q147" i="2" s="1"/>
  <c r="H148" i="2"/>
  <c r="M148" i="2" s="1"/>
  <c r="N148" i="2" s="1"/>
  <c r="O148" i="2" s="1"/>
  <c r="P148" i="2" s="1"/>
  <c r="Q148" i="2" s="1"/>
  <c r="H149" i="2"/>
  <c r="M149" i="2" s="1"/>
  <c r="N149" i="2" s="1"/>
  <c r="O149" i="2" s="1"/>
  <c r="P149" i="2" s="1"/>
  <c r="Q149" i="2" s="1"/>
  <c r="H150" i="2"/>
  <c r="M150" i="2" s="1"/>
  <c r="N150" i="2" s="1"/>
  <c r="O150" i="2" s="1"/>
  <c r="P150" i="2" s="1"/>
  <c r="Q150" i="2" s="1"/>
  <c r="H151" i="2"/>
  <c r="M151" i="2" s="1"/>
  <c r="N151" i="2" s="1"/>
  <c r="O151" i="2" s="1"/>
  <c r="P151" i="2" s="1"/>
  <c r="Q151" i="2" s="1"/>
  <c r="H152" i="2"/>
  <c r="M152" i="2" s="1"/>
  <c r="N152" i="2" s="1"/>
  <c r="O152" i="2" s="1"/>
  <c r="P152" i="2" s="1"/>
  <c r="Q152" i="2" s="1"/>
  <c r="H153" i="2"/>
  <c r="M153" i="2" s="1"/>
  <c r="N153" i="2" s="1"/>
  <c r="O153" i="2" s="1"/>
  <c r="P153" i="2" s="1"/>
  <c r="Q153" i="2" s="1"/>
  <c r="H154" i="2"/>
  <c r="M154" i="2" s="1"/>
  <c r="N154" i="2" s="1"/>
  <c r="O154" i="2" s="1"/>
  <c r="P154" i="2" s="1"/>
  <c r="Q154" i="2" s="1"/>
  <c r="H155" i="2"/>
  <c r="M155" i="2" s="1"/>
  <c r="N155" i="2" s="1"/>
  <c r="O155" i="2" s="1"/>
  <c r="P155" i="2" s="1"/>
  <c r="Q155" i="2" s="1"/>
  <c r="H156" i="2"/>
  <c r="M156" i="2" s="1"/>
  <c r="N156" i="2" s="1"/>
  <c r="O156" i="2" s="1"/>
  <c r="P156" i="2" s="1"/>
  <c r="Q156" i="2" s="1"/>
  <c r="H157" i="2"/>
  <c r="M157" i="2" s="1"/>
  <c r="N157" i="2" s="1"/>
  <c r="O157" i="2" s="1"/>
  <c r="P157" i="2" s="1"/>
  <c r="Q157" i="2" s="1"/>
  <c r="H158" i="2"/>
  <c r="M158" i="2" s="1"/>
  <c r="N158" i="2" s="1"/>
  <c r="O158" i="2" s="1"/>
  <c r="P158" i="2" s="1"/>
  <c r="Q158" i="2" s="1"/>
  <c r="H159" i="2"/>
  <c r="M159" i="2" s="1"/>
  <c r="N159" i="2" s="1"/>
  <c r="O159" i="2" s="1"/>
  <c r="P159" i="2" s="1"/>
  <c r="Q159" i="2" s="1"/>
  <c r="H160" i="2"/>
  <c r="M160" i="2" s="1"/>
  <c r="N160" i="2" s="1"/>
  <c r="O160" i="2" s="1"/>
  <c r="P160" i="2" s="1"/>
  <c r="Q160" i="2" s="1"/>
  <c r="H161" i="2"/>
  <c r="M161" i="2" s="1"/>
  <c r="N161" i="2" s="1"/>
  <c r="O161" i="2" s="1"/>
  <c r="P161" i="2" s="1"/>
  <c r="Q161" i="2" s="1"/>
  <c r="H162" i="2"/>
  <c r="M162" i="2" s="1"/>
  <c r="N162" i="2" s="1"/>
  <c r="O162" i="2" s="1"/>
  <c r="P162" i="2" s="1"/>
  <c r="Q162" i="2" s="1"/>
  <c r="H163" i="2"/>
  <c r="M163" i="2" s="1"/>
  <c r="N163" i="2" s="1"/>
  <c r="O163" i="2" s="1"/>
  <c r="P163" i="2" s="1"/>
  <c r="Q163" i="2" s="1"/>
  <c r="H164" i="2"/>
  <c r="M164" i="2" s="1"/>
  <c r="N164" i="2" s="1"/>
  <c r="O164" i="2" s="1"/>
  <c r="P164" i="2" s="1"/>
  <c r="Q164" i="2" s="1"/>
  <c r="H165" i="2"/>
  <c r="M165" i="2" s="1"/>
  <c r="N165" i="2" s="1"/>
  <c r="O165" i="2" s="1"/>
  <c r="P165" i="2" s="1"/>
  <c r="Q165" i="2" s="1"/>
  <c r="H166" i="2"/>
  <c r="H167" i="2"/>
  <c r="M167" i="2" s="1"/>
  <c r="N167" i="2" s="1"/>
  <c r="O167" i="2" s="1"/>
  <c r="P167" i="2" s="1"/>
  <c r="Q167" i="2" s="1"/>
  <c r="H168" i="2"/>
  <c r="M168" i="2" s="1"/>
  <c r="N168" i="2" s="1"/>
  <c r="O168" i="2" s="1"/>
  <c r="P168" i="2" s="1"/>
  <c r="Q168" i="2" s="1"/>
  <c r="H169" i="2"/>
  <c r="H170" i="2"/>
  <c r="H171" i="2"/>
  <c r="H172" i="2"/>
  <c r="H173" i="2"/>
  <c r="M173" i="2" s="1"/>
  <c r="N173" i="2" s="1"/>
  <c r="O173" i="2" s="1"/>
  <c r="P173" i="2" s="1"/>
  <c r="Q173" i="2" s="1"/>
  <c r="H174" i="2"/>
  <c r="M174" i="2" s="1"/>
  <c r="N174" i="2" s="1"/>
  <c r="O174" i="2" s="1"/>
  <c r="P174" i="2" s="1"/>
  <c r="Q174" i="2" s="1"/>
  <c r="H175" i="2"/>
  <c r="M175" i="2" s="1"/>
  <c r="N175" i="2" s="1"/>
  <c r="O175" i="2" s="1"/>
  <c r="P175" i="2" s="1"/>
  <c r="Q175" i="2" s="1"/>
  <c r="H176" i="2"/>
  <c r="M176" i="2" s="1"/>
  <c r="N176" i="2" s="1"/>
  <c r="O176" i="2" s="1"/>
  <c r="P176" i="2" s="1"/>
  <c r="Q176" i="2" s="1"/>
  <c r="H177" i="2"/>
  <c r="M177" i="2" s="1"/>
  <c r="N177" i="2" s="1"/>
  <c r="O177" i="2" s="1"/>
  <c r="P177" i="2" s="1"/>
  <c r="Q177" i="2" s="1"/>
  <c r="H178" i="2"/>
  <c r="M178" i="2" s="1"/>
  <c r="N178" i="2" s="1"/>
  <c r="O178" i="2" s="1"/>
  <c r="P178" i="2" s="1"/>
  <c r="Q178" i="2" s="1"/>
  <c r="H179" i="2"/>
  <c r="M179" i="2" s="1"/>
  <c r="N179" i="2" s="1"/>
  <c r="O179" i="2" s="1"/>
  <c r="P179" i="2" s="1"/>
  <c r="Q179" i="2" s="1"/>
  <c r="H180" i="2"/>
  <c r="H181" i="2"/>
  <c r="H182" i="2"/>
  <c r="M182" i="2" s="1"/>
  <c r="N182" i="2" s="1"/>
  <c r="O182" i="2" s="1"/>
  <c r="P182" i="2" s="1"/>
  <c r="Q182" i="2" s="1"/>
  <c r="H183" i="2"/>
  <c r="M183" i="2" s="1"/>
  <c r="N183" i="2" s="1"/>
  <c r="O183" i="2" s="1"/>
  <c r="P183" i="2" s="1"/>
  <c r="Q183" i="2" s="1"/>
  <c r="H184" i="2"/>
  <c r="H185" i="2"/>
  <c r="M185" i="2" s="1"/>
  <c r="N185" i="2" s="1"/>
  <c r="O185" i="2" s="1"/>
  <c r="P185" i="2" s="1"/>
  <c r="Q185" i="2" s="1"/>
  <c r="H186" i="2"/>
  <c r="M186" i="2" s="1"/>
  <c r="N186" i="2" s="1"/>
  <c r="O186" i="2" s="1"/>
  <c r="P186" i="2" s="1"/>
  <c r="Q186" i="2" s="1"/>
  <c r="H187" i="2"/>
  <c r="M187" i="2" s="1"/>
  <c r="N187" i="2" s="1"/>
  <c r="O187" i="2" s="1"/>
  <c r="P187" i="2" s="1"/>
  <c r="Q187" i="2" s="1"/>
  <c r="H188" i="2"/>
  <c r="H189" i="2"/>
  <c r="H190" i="2"/>
  <c r="M190" i="2" s="1"/>
  <c r="N190" i="2" s="1"/>
  <c r="O190" i="2" s="1"/>
  <c r="P190" i="2" s="1"/>
  <c r="Q190" i="2" s="1"/>
  <c r="H191" i="2"/>
  <c r="M191" i="2" s="1"/>
  <c r="N191" i="2" s="1"/>
  <c r="O191" i="2" s="1"/>
  <c r="P191" i="2" s="1"/>
  <c r="Q191" i="2" s="1"/>
  <c r="H192" i="2"/>
  <c r="M192" i="2" s="1"/>
  <c r="N192" i="2" s="1"/>
  <c r="O192" i="2" s="1"/>
  <c r="P192" i="2" s="1"/>
  <c r="Q192" i="2" s="1"/>
  <c r="H193" i="2"/>
  <c r="M193" i="2" s="1"/>
  <c r="N193" i="2" s="1"/>
  <c r="O193" i="2" s="1"/>
  <c r="P193" i="2" s="1"/>
  <c r="Q193" i="2" s="1"/>
  <c r="H194" i="2"/>
  <c r="H195" i="2"/>
  <c r="M195" i="2" s="1"/>
  <c r="N195" i="2" s="1"/>
  <c r="O195" i="2" s="1"/>
  <c r="P195" i="2" s="1"/>
  <c r="Q195" i="2" s="1"/>
  <c r="H196" i="2"/>
  <c r="M196" i="2" s="1"/>
  <c r="N196" i="2" s="1"/>
  <c r="O196" i="2" s="1"/>
  <c r="P196" i="2" s="1"/>
  <c r="Q196" i="2" s="1"/>
  <c r="H197" i="2"/>
  <c r="H198" i="2"/>
  <c r="H199" i="2"/>
  <c r="H200" i="2"/>
  <c r="H201" i="2"/>
  <c r="H202" i="2"/>
  <c r="H204" i="2"/>
  <c r="M204" i="2" s="1"/>
  <c r="N204" i="2" s="1"/>
  <c r="O204" i="2" s="1"/>
  <c r="P204" i="2" s="1"/>
  <c r="Q204" i="2" s="1"/>
  <c r="H205" i="2"/>
  <c r="H206" i="2"/>
  <c r="M206" i="2" s="1"/>
  <c r="N206" i="2" s="1"/>
  <c r="O206" i="2" s="1"/>
  <c r="P206" i="2" s="1"/>
  <c r="Q206" i="2" s="1"/>
  <c r="H207" i="2"/>
  <c r="H208" i="2"/>
  <c r="M208" i="2" s="1"/>
  <c r="N208" i="2" s="1"/>
  <c r="O208" i="2" s="1"/>
  <c r="P208" i="2" s="1"/>
  <c r="Q208" i="2" s="1"/>
  <c r="H209" i="2"/>
  <c r="M209" i="2" s="1"/>
  <c r="N209" i="2" s="1"/>
  <c r="O209" i="2" s="1"/>
  <c r="P209" i="2" s="1"/>
  <c r="Q209" i="2" s="1"/>
  <c r="H210" i="2"/>
  <c r="M210" i="2" s="1"/>
  <c r="N210" i="2" s="1"/>
  <c r="O210" i="2" s="1"/>
  <c r="P210" i="2" s="1"/>
  <c r="Q210" i="2" s="1"/>
  <c r="H211" i="2"/>
  <c r="H212" i="2"/>
  <c r="H213" i="2"/>
  <c r="M213" i="2" s="1"/>
  <c r="N213" i="2" s="1"/>
  <c r="O213" i="2" s="1"/>
  <c r="P213" i="2" s="1"/>
  <c r="Q213" i="2" s="1"/>
  <c r="H214" i="2"/>
  <c r="H215" i="2"/>
  <c r="M215" i="2" s="1"/>
  <c r="N215" i="2" s="1"/>
  <c r="O215" i="2" s="1"/>
  <c r="P215" i="2" s="1"/>
  <c r="Q215" i="2" s="1"/>
  <c r="H216" i="2"/>
  <c r="M216" i="2" s="1"/>
  <c r="N216" i="2" s="1"/>
  <c r="O216" i="2" s="1"/>
  <c r="P216" i="2" s="1"/>
  <c r="Q216" i="2" s="1"/>
  <c r="H217" i="2"/>
  <c r="M217" i="2" s="1"/>
  <c r="N217" i="2" s="1"/>
  <c r="O217" i="2" s="1"/>
  <c r="P217" i="2" s="1"/>
  <c r="Q217" i="2" s="1"/>
  <c r="H218" i="2"/>
  <c r="M218" i="2" s="1"/>
  <c r="N218" i="2" s="1"/>
  <c r="O218" i="2" s="1"/>
  <c r="P218" i="2" s="1"/>
  <c r="Q218" i="2" s="1"/>
  <c r="H219" i="2"/>
  <c r="H220" i="2"/>
  <c r="M220" i="2" s="1"/>
  <c r="N220" i="2" s="1"/>
  <c r="O220" i="2" s="1"/>
  <c r="P220" i="2" s="1"/>
  <c r="Q220" i="2" s="1"/>
  <c r="H221" i="2"/>
  <c r="M221" i="2" s="1"/>
  <c r="N221" i="2" s="1"/>
  <c r="O221" i="2" s="1"/>
  <c r="P221" i="2" s="1"/>
  <c r="Q221" i="2" s="1"/>
  <c r="H222" i="2"/>
  <c r="M222" i="2" s="1"/>
  <c r="N222" i="2" s="1"/>
  <c r="O222" i="2" s="1"/>
  <c r="P222" i="2" s="1"/>
  <c r="Q222" i="2" s="1"/>
  <c r="H223" i="2"/>
  <c r="H224" i="2"/>
  <c r="M224" i="2" s="1"/>
  <c r="N224" i="2" s="1"/>
  <c r="O224" i="2" s="1"/>
  <c r="P224" i="2" s="1"/>
  <c r="Q224" i="2" s="1"/>
  <c r="H225" i="2"/>
  <c r="M225" i="2" s="1"/>
  <c r="N225" i="2" s="1"/>
  <c r="O225" i="2" s="1"/>
  <c r="P225" i="2" s="1"/>
  <c r="Q225" i="2" s="1"/>
  <c r="H226" i="2"/>
  <c r="M226" i="2" s="1"/>
  <c r="N226" i="2" s="1"/>
  <c r="O226" i="2" s="1"/>
  <c r="P226" i="2" s="1"/>
  <c r="Q226" i="2" s="1"/>
  <c r="H227" i="2"/>
  <c r="M227" i="2" s="1"/>
  <c r="N227" i="2" s="1"/>
  <c r="O227" i="2" s="1"/>
  <c r="P227" i="2" s="1"/>
  <c r="Q227" i="2" s="1"/>
  <c r="H228" i="2"/>
  <c r="M228" i="2" s="1"/>
  <c r="N228" i="2" s="1"/>
  <c r="O228" i="2" s="1"/>
  <c r="P228" i="2" s="1"/>
  <c r="Q228" i="2" s="1"/>
  <c r="H229" i="2"/>
  <c r="M229" i="2" s="1"/>
  <c r="N229" i="2" s="1"/>
  <c r="O229" i="2" s="1"/>
  <c r="P229" i="2" s="1"/>
  <c r="Q229" i="2" s="1"/>
  <c r="H230" i="2"/>
  <c r="M230" i="2" s="1"/>
  <c r="N230" i="2" s="1"/>
  <c r="O230" i="2" s="1"/>
  <c r="P230" i="2" s="1"/>
  <c r="Q230" i="2" s="1"/>
  <c r="H231" i="2"/>
  <c r="M231" i="2" s="1"/>
  <c r="N231" i="2" s="1"/>
  <c r="O231" i="2" s="1"/>
  <c r="P231" i="2" s="1"/>
  <c r="Q231" i="2" s="1"/>
  <c r="H232" i="2"/>
  <c r="F5" i="1"/>
  <c r="I26" i="1" l="1"/>
  <c r="I27" i="1" s="1"/>
  <c r="M10" i="1"/>
  <c r="M22" i="1"/>
  <c r="M21" i="1"/>
  <c r="M17" i="1"/>
  <c r="M16" i="1"/>
  <c r="M23" i="1"/>
  <c r="M15" i="1"/>
  <c r="M14" i="1"/>
  <c r="M13" i="1"/>
  <c r="M20" i="1"/>
  <c r="M12" i="1"/>
  <c r="M19" i="1"/>
  <c r="M11" i="1"/>
  <c r="M18" i="1"/>
  <c r="M9" i="1"/>
  <c r="M205" i="2"/>
  <c r="N205" i="2" s="1"/>
  <c r="O205" i="2" s="1"/>
  <c r="P205" i="2" s="1"/>
  <c r="Q205" i="2" s="1"/>
  <c r="M188" i="2"/>
  <c r="N188" i="2" s="1"/>
  <c r="O188" i="2" s="1"/>
  <c r="P188" i="2" s="1"/>
  <c r="Q188" i="2" s="1"/>
  <c r="M180" i="2"/>
  <c r="N180" i="2" s="1"/>
  <c r="O180" i="2" s="1"/>
  <c r="P180" i="2" s="1"/>
  <c r="Q180" i="2" s="1"/>
  <c r="J214" i="2"/>
  <c r="J203" i="2"/>
  <c r="J194" i="2"/>
  <c r="J304" i="2"/>
  <c r="J296" i="2"/>
  <c r="J288" i="2"/>
  <c r="J280" i="2"/>
  <c r="J272" i="2"/>
  <c r="J264" i="2"/>
  <c r="J391" i="2"/>
  <c r="J383" i="2"/>
  <c r="J375" i="2"/>
  <c r="J367" i="2"/>
  <c r="J359" i="2"/>
  <c r="J351" i="2"/>
  <c r="J343" i="2"/>
  <c r="J335" i="2"/>
  <c r="J327" i="2"/>
  <c r="J319" i="2"/>
  <c r="J311" i="2"/>
  <c r="J303" i="2"/>
  <c r="K254" i="2"/>
  <c r="K238" i="2"/>
  <c r="J437" i="2"/>
  <c r="J429" i="2"/>
  <c r="J421" i="2"/>
  <c r="J413" i="2"/>
  <c r="J405" i="2"/>
  <c r="J397" i="2"/>
  <c r="J389" i="2"/>
  <c r="J381" i="2"/>
  <c r="J373" i="2"/>
  <c r="J365" i="2"/>
  <c r="J357" i="2"/>
  <c r="J349" i="2"/>
  <c r="J341" i="2"/>
  <c r="J333" i="2"/>
  <c r="J325" i="2"/>
  <c r="J317" i="2"/>
  <c r="J309" i="2"/>
  <c r="J301" i="2"/>
  <c r="J293" i="2"/>
  <c r="J285" i="2"/>
  <c r="J277" i="2"/>
  <c r="J269" i="2"/>
  <c r="J261" i="2"/>
  <c r="J426" i="2"/>
  <c r="J362" i="2"/>
  <c r="J298" i="2"/>
  <c r="J234" i="2"/>
  <c r="J130" i="2"/>
  <c r="J66" i="2"/>
  <c r="J386" i="2"/>
  <c r="K386" i="2"/>
  <c r="J258" i="2"/>
  <c r="K258" i="2"/>
  <c r="J242" i="2"/>
  <c r="K242" i="2"/>
  <c r="J226" i="2"/>
  <c r="R226" i="2" s="1"/>
  <c r="K226" i="2"/>
  <c r="J210" i="2"/>
  <c r="K210" i="2"/>
  <c r="J186" i="2"/>
  <c r="K186" i="2"/>
  <c r="J178" i="2"/>
  <c r="R178" i="2" s="1"/>
  <c r="K178" i="2"/>
  <c r="J162" i="2"/>
  <c r="K162" i="2"/>
  <c r="J154" i="2"/>
  <c r="R154" i="2" s="1"/>
  <c r="K154" i="2"/>
  <c r="J146" i="2"/>
  <c r="R146" i="2" s="1"/>
  <c r="K146" i="2"/>
  <c r="J138" i="2"/>
  <c r="K138" i="2"/>
  <c r="J122" i="2"/>
  <c r="K122" i="2"/>
  <c r="J114" i="2"/>
  <c r="R114" i="2" s="1"/>
  <c r="K114" i="2"/>
  <c r="J106" i="2"/>
  <c r="R106" i="2" s="1"/>
  <c r="K106" i="2"/>
  <c r="J98" i="2"/>
  <c r="K98" i="2"/>
  <c r="J90" i="2"/>
  <c r="K90" i="2"/>
  <c r="J82" i="2"/>
  <c r="R82" i="2" s="1"/>
  <c r="K82" i="2"/>
  <c r="J74" i="2"/>
  <c r="R74" i="2" s="1"/>
  <c r="K74" i="2"/>
  <c r="J58" i="2"/>
  <c r="K58" i="2"/>
  <c r="J50" i="2"/>
  <c r="K50" i="2"/>
  <c r="J42" i="2"/>
  <c r="R42" i="2" s="1"/>
  <c r="K42" i="2"/>
  <c r="J34" i="2"/>
  <c r="R34" i="2" s="1"/>
  <c r="K34" i="2"/>
  <c r="J26" i="2"/>
  <c r="K26" i="2"/>
  <c r="J18" i="2"/>
  <c r="K18" i="2"/>
  <c r="J10" i="2"/>
  <c r="K10" i="2"/>
  <c r="J408" i="2"/>
  <c r="J344" i="2"/>
  <c r="K298" i="2"/>
  <c r="K442" i="2"/>
  <c r="J442" i="2"/>
  <c r="J418" i="2"/>
  <c r="K418" i="2"/>
  <c r="J402" i="2"/>
  <c r="K402" i="2"/>
  <c r="J346" i="2"/>
  <c r="K346" i="2"/>
  <c r="J330" i="2"/>
  <c r="K330" i="2"/>
  <c r="K314" i="2"/>
  <c r="J314" i="2"/>
  <c r="K306" i="2"/>
  <c r="J306" i="2"/>
  <c r="J290" i="2"/>
  <c r="K290" i="2"/>
  <c r="J274" i="2"/>
  <c r="K274" i="2"/>
  <c r="J218" i="2"/>
  <c r="K218" i="2"/>
  <c r="J170" i="2"/>
  <c r="K170" i="2"/>
  <c r="J400" i="2"/>
  <c r="J336" i="2"/>
  <c r="K234" i="2"/>
  <c r="K434" i="2"/>
  <c r="J434" i="2"/>
  <c r="J410" i="2"/>
  <c r="K410" i="2"/>
  <c r="J394" i="2"/>
  <c r="K394" i="2"/>
  <c r="K378" i="2"/>
  <c r="J378" i="2"/>
  <c r="K370" i="2"/>
  <c r="J370" i="2"/>
  <c r="J354" i="2"/>
  <c r="K354" i="2"/>
  <c r="J338" i="2"/>
  <c r="K338" i="2"/>
  <c r="J322" i="2"/>
  <c r="K322" i="2"/>
  <c r="J282" i="2"/>
  <c r="K282" i="2"/>
  <c r="J266" i="2"/>
  <c r="K266" i="2"/>
  <c r="J250" i="2"/>
  <c r="K250" i="2"/>
  <c r="J202" i="2"/>
  <c r="K202" i="2"/>
  <c r="J232" i="2"/>
  <c r="J192" i="2"/>
  <c r="R192" i="2" s="1"/>
  <c r="J160" i="2"/>
  <c r="R160" i="2" s="1"/>
  <c r="J128" i="2"/>
  <c r="J96" i="2"/>
  <c r="J392" i="2"/>
  <c r="J328" i="2"/>
  <c r="J167" i="2"/>
  <c r="R167" i="2" s="1"/>
  <c r="J295" i="2"/>
  <c r="J287" i="2"/>
  <c r="J279" i="2"/>
  <c r="J271" i="2"/>
  <c r="J263" i="2"/>
  <c r="J231" i="2"/>
  <c r="R231" i="2" s="1"/>
  <c r="J191" i="2"/>
  <c r="R191" i="2" s="1"/>
  <c r="J159" i="2"/>
  <c r="J127" i="2"/>
  <c r="J95" i="2"/>
  <c r="J47" i="2"/>
  <c r="R47" i="2" s="1"/>
  <c r="J39" i="2"/>
  <c r="J384" i="2"/>
  <c r="J320" i="2"/>
  <c r="J254" i="2"/>
  <c r="J135" i="2"/>
  <c r="K439" i="2"/>
  <c r="J439" i="2"/>
  <c r="K423" i="2"/>
  <c r="J423" i="2"/>
  <c r="K399" i="2"/>
  <c r="J399" i="2"/>
  <c r="K438" i="2"/>
  <c r="J438" i="2"/>
  <c r="K430" i="2"/>
  <c r="J430" i="2"/>
  <c r="K422" i="2"/>
  <c r="J422" i="2"/>
  <c r="K414" i="2"/>
  <c r="J414" i="2"/>
  <c r="K406" i="2"/>
  <c r="J406" i="2"/>
  <c r="K398" i="2"/>
  <c r="J398" i="2"/>
  <c r="K390" i="2"/>
  <c r="J390" i="2"/>
  <c r="K382" i="2"/>
  <c r="J382" i="2"/>
  <c r="K374" i="2"/>
  <c r="J374" i="2"/>
  <c r="K366" i="2"/>
  <c r="J366" i="2"/>
  <c r="K358" i="2"/>
  <c r="J358" i="2"/>
  <c r="K350" i="2"/>
  <c r="J350" i="2"/>
  <c r="K342" i="2"/>
  <c r="J342" i="2"/>
  <c r="K334" i="2"/>
  <c r="J334" i="2"/>
  <c r="K326" i="2"/>
  <c r="J326" i="2"/>
  <c r="K318" i="2"/>
  <c r="J318" i="2"/>
  <c r="K310" i="2"/>
  <c r="J310" i="2"/>
  <c r="K302" i="2"/>
  <c r="J302" i="2"/>
  <c r="K294" i="2"/>
  <c r="J294" i="2"/>
  <c r="K286" i="2"/>
  <c r="J286" i="2"/>
  <c r="K278" i="2"/>
  <c r="J278" i="2"/>
  <c r="K270" i="2"/>
  <c r="J270" i="2"/>
  <c r="K262" i="2"/>
  <c r="J262" i="2"/>
  <c r="K246" i="2"/>
  <c r="J246" i="2"/>
  <c r="K230" i="2"/>
  <c r="J230" i="2"/>
  <c r="K222" i="2"/>
  <c r="J222" i="2"/>
  <c r="R222" i="2" s="1"/>
  <c r="K206" i="2"/>
  <c r="J206" i="2"/>
  <c r="R206" i="2" s="1"/>
  <c r="K198" i="2"/>
  <c r="J198" i="2"/>
  <c r="AC45" i="2" s="1"/>
  <c r="K190" i="2"/>
  <c r="J190" i="2"/>
  <c r="R190" i="2" s="1"/>
  <c r="K182" i="2"/>
  <c r="J182" i="2"/>
  <c r="K174" i="2"/>
  <c r="J174" i="2"/>
  <c r="R174" i="2" s="1"/>
  <c r="K166" i="2"/>
  <c r="J166" i="2"/>
  <c r="K158" i="2"/>
  <c r="J158" i="2"/>
  <c r="R158" i="2" s="1"/>
  <c r="K150" i="2"/>
  <c r="J150" i="2"/>
  <c r="R150" i="2" s="1"/>
  <c r="K142" i="2"/>
  <c r="J142" i="2"/>
  <c r="K134" i="2"/>
  <c r="J134" i="2"/>
  <c r="K126" i="2"/>
  <c r="J126" i="2"/>
  <c r="R126" i="2" s="1"/>
  <c r="K118" i="2"/>
  <c r="J118" i="2"/>
  <c r="R118" i="2" s="1"/>
  <c r="K110" i="2"/>
  <c r="J110" i="2"/>
  <c r="K102" i="2"/>
  <c r="J102" i="2"/>
  <c r="K94" i="2"/>
  <c r="J94" i="2"/>
  <c r="R94" i="2" s="1"/>
  <c r="K86" i="2"/>
  <c r="J86" i="2"/>
  <c r="R86" i="2" s="1"/>
  <c r="K78" i="2"/>
  <c r="J78" i="2"/>
  <c r="K70" i="2"/>
  <c r="J70" i="2"/>
  <c r="K62" i="2"/>
  <c r="J62" i="2"/>
  <c r="R62" i="2" s="1"/>
  <c r="K54" i="2"/>
  <c r="J54" i="2"/>
  <c r="R54" i="2" s="1"/>
  <c r="K46" i="2"/>
  <c r="J46" i="2"/>
  <c r="K38" i="2"/>
  <c r="J38" i="2"/>
  <c r="K30" i="2"/>
  <c r="J30" i="2"/>
  <c r="R30" i="2" s="1"/>
  <c r="J440" i="2"/>
  <c r="J376" i="2"/>
  <c r="J312" i="2"/>
  <c r="J238" i="2"/>
  <c r="J103" i="2"/>
  <c r="K431" i="2"/>
  <c r="J431" i="2"/>
  <c r="K407" i="2"/>
  <c r="J407" i="2"/>
  <c r="J432" i="2"/>
  <c r="J368" i="2"/>
  <c r="J215" i="2"/>
  <c r="J55" i="2"/>
  <c r="K415" i="2"/>
  <c r="J415" i="2"/>
  <c r="J444" i="2"/>
  <c r="J436" i="2"/>
  <c r="J428" i="2"/>
  <c r="J420" i="2"/>
  <c r="J412" i="2"/>
  <c r="J404" i="2"/>
  <c r="J396" i="2"/>
  <c r="J388" i="2"/>
  <c r="J380" i="2"/>
  <c r="J372" i="2"/>
  <c r="J364" i="2"/>
  <c r="J356" i="2"/>
  <c r="J348" i="2"/>
  <c r="J340" i="2"/>
  <c r="J332" i="2"/>
  <c r="J324" i="2"/>
  <c r="J316" i="2"/>
  <c r="J308" i="2"/>
  <c r="J300" i="2"/>
  <c r="J292" i="2"/>
  <c r="J284" i="2"/>
  <c r="J276" i="2"/>
  <c r="J268" i="2"/>
  <c r="J260" i="2"/>
  <c r="J424" i="2"/>
  <c r="J360" i="2"/>
  <c r="K426" i="2"/>
  <c r="K130" i="2"/>
  <c r="J443" i="2"/>
  <c r="J435" i="2"/>
  <c r="J427" i="2"/>
  <c r="J419" i="2"/>
  <c r="J411" i="2"/>
  <c r="J403" i="2"/>
  <c r="J395" i="2"/>
  <c r="J387" i="2"/>
  <c r="J379" i="2"/>
  <c r="J371" i="2"/>
  <c r="J363" i="2"/>
  <c r="J355" i="2"/>
  <c r="J347" i="2"/>
  <c r="J339" i="2"/>
  <c r="J331" i="2"/>
  <c r="J323" i="2"/>
  <c r="J315" i="2"/>
  <c r="J307" i="2"/>
  <c r="J299" i="2"/>
  <c r="J291" i="2"/>
  <c r="J283" i="2"/>
  <c r="J275" i="2"/>
  <c r="J267" i="2"/>
  <c r="J416" i="2"/>
  <c r="J352" i="2"/>
  <c r="K362" i="2"/>
  <c r="K66" i="2"/>
  <c r="K441" i="2"/>
  <c r="K433" i="2"/>
  <c r="K425" i="2"/>
  <c r="K417" i="2"/>
  <c r="K409" i="2"/>
  <c r="K401" i="2"/>
  <c r="K393" i="2"/>
  <c r="K385" i="2"/>
  <c r="K377" i="2"/>
  <c r="K369" i="2"/>
  <c r="K361" i="2"/>
  <c r="K353" i="2"/>
  <c r="K345" i="2"/>
  <c r="K337" i="2"/>
  <c r="K329" i="2"/>
  <c r="K321" i="2"/>
  <c r="K313" i="2"/>
  <c r="K305" i="2"/>
  <c r="K297" i="2"/>
  <c r="K289" i="2"/>
  <c r="K281" i="2"/>
  <c r="K273" i="2"/>
  <c r="K265" i="2"/>
  <c r="K257" i="2"/>
  <c r="K249" i="2"/>
  <c r="K241" i="2"/>
  <c r="J233" i="2"/>
  <c r="K233" i="2"/>
  <c r="J225" i="2"/>
  <c r="R225" i="2" s="1"/>
  <c r="K225" i="2"/>
  <c r="J217" i="2"/>
  <c r="K217" i="2"/>
  <c r="J209" i="2"/>
  <c r="R209" i="2" s="1"/>
  <c r="K209" i="2"/>
  <c r="J201" i="2"/>
  <c r="K201" i="2"/>
  <c r="J193" i="2"/>
  <c r="K193" i="2"/>
  <c r="J185" i="2"/>
  <c r="R185" i="2" s="1"/>
  <c r="K185" i="2"/>
  <c r="J177" i="2"/>
  <c r="R177" i="2" s="1"/>
  <c r="K177" i="2"/>
  <c r="J169" i="2"/>
  <c r="AC44" i="2" s="1"/>
  <c r="K169" i="2"/>
  <c r="J161" i="2"/>
  <c r="R161" i="2" s="1"/>
  <c r="K161" i="2"/>
  <c r="J153" i="2"/>
  <c r="R153" i="2" s="1"/>
  <c r="K153" i="2"/>
  <c r="J145" i="2"/>
  <c r="K145" i="2"/>
  <c r="J137" i="2"/>
  <c r="K137" i="2"/>
  <c r="J129" i="2"/>
  <c r="R129" i="2" s="1"/>
  <c r="K129" i="2"/>
  <c r="J121" i="2"/>
  <c r="R121" i="2" s="1"/>
  <c r="K121" i="2"/>
  <c r="J113" i="2"/>
  <c r="K113" i="2"/>
  <c r="J105" i="2"/>
  <c r="K105" i="2"/>
  <c r="J97" i="2"/>
  <c r="R97" i="2" s="1"/>
  <c r="K97" i="2"/>
  <c r="J89" i="2"/>
  <c r="R89" i="2" s="1"/>
  <c r="K89" i="2"/>
  <c r="J81" i="2"/>
  <c r="K81" i="2"/>
  <c r="J73" i="2"/>
  <c r="K73" i="2"/>
  <c r="J65" i="2"/>
  <c r="R65" i="2" s="1"/>
  <c r="K65" i="2"/>
  <c r="J57" i="2"/>
  <c r="R57" i="2" s="1"/>
  <c r="K57" i="2"/>
  <c r="J49" i="2"/>
  <c r="K49" i="2"/>
  <c r="J41" i="2"/>
  <c r="K41" i="2"/>
  <c r="J33" i="2"/>
  <c r="R33" i="2" s="1"/>
  <c r="K33" i="2"/>
  <c r="J25" i="2"/>
  <c r="R25" i="2" s="1"/>
  <c r="K25" i="2"/>
  <c r="J17" i="2"/>
  <c r="K17" i="2"/>
  <c r="J249" i="2"/>
  <c r="K440" i="2"/>
  <c r="K432" i="2"/>
  <c r="K424" i="2"/>
  <c r="K416" i="2"/>
  <c r="K408" i="2"/>
  <c r="K400" i="2"/>
  <c r="K392" i="2"/>
  <c r="K384" i="2"/>
  <c r="K376" i="2"/>
  <c r="K368" i="2"/>
  <c r="K360" i="2"/>
  <c r="K352" i="2"/>
  <c r="K344" i="2"/>
  <c r="K336" i="2"/>
  <c r="K328" i="2"/>
  <c r="K320" i="2"/>
  <c r="K312" i="2"/>
  <c r="K304" i="2"/>
  <c r="K296" i="2"/>
  <c r="K288" i="2"/>
  <c r="K280" i="2"/>
  <c r="K272" i="2"/>
  <c r="K264" i="2"/>
  <c r="K256" i="2"/>
  <c r="K248" i="2"/>
  <c r="K240" i="2"/>
  <c r="K232" i="2"/>
  <c r="K224" i="2"/>
  <c r="K216" i="2"/>
  <c r="K208" i="2"/>
  <c r="K200" i="2"/>
  <c r="K192" i="2"/>
  <c r="K184" i="2"/>
  <c r="K176" i="2"/>
  <c r="K168" i="2"/>
  <c r="K160" i="2"/>
  <c r="K152" i="2"/>
  <c r="K144" i="2"/>
  <c r="K136" i="2"/>
  <c r="K128" i="2"/>
  <c r="K120" i="2"/>
  <c r="K112" i="2"/>
  <c r="K104" i="2"/>
  <c r="K96" i="2"/>
  <c r="K88" i="2"/>
  <c r="J80" i="2"/>
  <c r="K80" i="2"/>
  <c r="J72" i="2"/>
  <c r="K72" i="2"/>
  <c r="J64" i="2"/>
  <c r="R64" i="2" s="1"/>
  <c r="K64" i="2"/>
  <c r="J56" i="2"/>
  <c r="R56" i="2" s="1"/>
  <c r="K56" i="2"/>
  <c r="J48" i="2"/>
  <c r="K48" i="2"/>
  <c r="J40" i="2"/>
  <c r="K40" i="2"/>
  <c r="J32" i="2"/>
  <c r="R32" i="2" s="1"/>
  <c r="K32" i="2"/>
  <c r="J24" i="2"/>
  <c r="R24" i="2" s="1"/>
  <c r="K24" i="2"/>
  <c r="J16" i="2"/>
  <c r="K16" i="2"/>
  <c r="J248" i="2"/>
  <c r="J208" i="2"/>
  <c r="R208" i="2" s="1"/>
  <c r="K391" i="2"/>
  <c r="K383" i="2"/>
  <c r="K375" i="2"/>
  <c r="K367" i="2"/>
  <c r="K359" i="2"/>
  <c r="K351" i="2"/>
  <c r="K343" i="2"/>
  <c r="K335" i="2"/>
  <c r="K327" i="2"/>
  <c r="K319" i="2"/>
  <c r="K311" i="2"/>
  <c r="K303" i="2"/>
  <c r="K295" i="2"/>
  <c r="K287" i="2"/>
  <c r="K279" i="2"/>
  <c r="K271" i="2"/>
  <c r="K263" i="2"/>
  <c r="K255" i="2"/>
  <c r="K247" i="2"/>
  <c r="K239" i="2"/>
  <c r="K231" i="2"/>
  <c r="K223" i="2"/>
  <c r="K215" i="2"/>
  <c r="K207" i="2"/>
  <c r="K199" i="2"/>
  <c r="K191" i="2"/>
  <c r="K183" i="2"/>
  <c r="K175" i="2"/>
  <c r="K167" i="2"/>
  <c r="K159" i="2"/>
  <c r="K151" i="2"/>
  <c r="K143" i="2"/>
  <c r="K135" i="2"/>
  <c r="K127" i="2"/>
  <c r="K119" i="2"/>
  <c r="K111" i="2"/>
  <c r="K103" i="2"/>
  <c r="K95" i="2"/>
  <c r="K87" i="2"/>
  <c r="K79" i="2"/>
  <c r="K71" i="2"/>
  <c r="K63" i="2"/>
  <c r="K55" i="2"/>
  <c r="K47" i="2"/>
  <c r="K39" i="2"/>
  <c r="K31" i="2"/>
  <c r="K23" i="2"/>
  <c r="K15" i="2"/>
  <c r="J247" i="2"/>
  <c r="J207" i="2"/>
  <c r="J184" i="2"/>
  <c r="J152" i="2"/>
  <c r="R152" i="2" s="1"/>
  <c r="J120" i="2"/>
  <c r="R120" i="2" s="1"/>
  <c r="J88" i="2"/>
  <c r="R88" i="2" s="1"/>
  <c r="J31" i="2"/>
  <c r="K22" i="2"/>
  <c r="J22" i="2"/>
  <c r="K14" i="2"/>
  <c r="J14" i="2"/>
  <c r="R14" i="2" s="1"/>
  <c r="J224" i="2"/>
  <c r="R224" i="2" s="1"/>
  <c r="J183" i="2"/>
  <c r="R183" i="2" s="1"/>
  <c r="J151" i="2"/>
  <c r="R151" i="2" s="1"/>
  <c r="J119" i="2"/>
  <c r="J87" i="2"/>
  <c r="R87" i="2" s="1"/>
  <c r="J23" i="2"/>
  <c r="K437" i="2"/>
  <c r="K429" i="2"/>
  <c r="K421" i="2"/>
  <c r="K413" i="2"/>
  <c r="K405" i="2"/>
  <c r="K397" i="2"/>
  <c r="K389" i="2"/>
  <c r="K381" i="2"/>
  <c r="K373" i="2"/>
  <c r="K365" i="2"/>
  <c r="K357" i="2"/>
  <c r="K349" i="2"/>
  <c r="K341" i="2"/>
  <c r="K333" i="2"/>
  <c r="K325" i="2"/>
  <c r="K317" i="2"/>
  <c r="K309" i="2"/>
  <c r="K301" i="2"/>
  <c r="K293" i="2"/>
  <c r="K285" i="2"/>
  <c r="K277" i="2"/>
  <c r="K269" i="2"/>
  <c r="K261" i="2"/>
  <c r="K253" i="2"/>
  <c r="J253" i="2"/>
  <c r="K245" i="2"/>
  <c r="J245" i="2"/>
  <c r="K237" i="2"/>
  <c r="J237" i="2"/>
  <c r="K229" i="2"/>
  <c r="J229" i="2"/>
  <c r="R229" i="2" s="1"/>
  <c r="K221" i="2"/>
  <c r="J221" i="2"/>
  <c r="R221" i="2" s="1"/>
  <c r="K213" i="2"/>
  <c r="J213" i="2"/>
  <c r="R213" i="2" s="1"/>
  <c r="K197" i="2"/>
  <c r="J197" i="2"/>
  <c r="K189" i="2"/>
  <c r="J189" i="2"/>
  <c r="K181" i="2"/>
  <c r="J181" i="2"/>
  <c r="K173" i="2"/>
  <c r="J173" i="2"/>
  <c r="K165" i="2"/>
  <c r="J165" i="2"/>
  <c r="R165" i="2" s="1"/>
  <c r="K157" i="2"/>
  <c r="J157" i="2"/>
  <c r="R157" i="2" s="1"/>
  <c r="K149" i="2"/>
  <c r="J149" i="2"/>
  <c r="K141" i="2"/>
  <c r="J141" i="2"/>
  <c r="K133" i="2"/>
  <c r="J133" i="2"/>
  <c r="R133" i="2" s="1"/>
  <c r="K125" i="2"/>
  <c r="J125" i="2"/>
  <c r="R125" i="2" s="1"/>
  <c r="K117" i="2"/>
  <c r="J117" i="2"/>
  <c r="K109" i="2"/>
  <c r="J109" i="2"/>
  <c r="K101" i="2"/>
  <c r="J101" i="2"/>
  <c r="R101" i="2" s="1"/>
  <c r="K93" i="2"/>
  <c r="J93" i="2"/>
  <c r="R93" i="2" s="1"/>
  <c r="K85" i="2"/>
  <c r="J85" i="2"/>
  <c r="K77" i="2"/>
  <c r="J77" i="2"/>
  <c r="K69" i="2"/>
  <c r="J69" i="2"/>
  <c r="R69" i="2" s="1"/>
  <c r="K61" i="2"/>
  <c r="J61" i="2"/>
  <c r="R61" i="2" s="1"/>
  <c r="K53" i="2"/>
  <c r="J53" i="2"/>
  <c r="K45" i="2"/>
  <c r="J45" i="2"/>
  <c r="K37" i="2"/>
  <c r="J37" i="2"/>
  <c r="K29" i="2"/>
  <c r="J29" i="2"/>
  <c r="R29" i="2" s="1"/>
  <c r="K21" i="2"/>
  <c r="J21" i="2"/>
  <c r="K13" i="2"/>
  <c r="J13" i="2"/>
  <c r="J257" i="2"/>
  <c r="J241" i="2"/>
  <c r="J223" i="2"/>
  <c r="J176" i="2"/>
  <c r="R176" i="2" s="1"/>
  <c r="J144" i="2"/>
  <c r="R144" i="2" s="1"/>
  <c r="J112" i="2"/>
  <c r="J79" i="2"/>
  <c r="R79" i="2" s="1"/>
  <c r="J15" i="2"/>
  <c r="K444" i="2"/>
  <c r="K436" i="2"/>
  <c r="K428" i="2"/>
  <c r="K420" i="2"/>
  <c r="K412" i="2"/>
  <c r="K404" i="2"/>
  <c r="K396" i="2"/>
  <c r="K388" i="2"/>
  <c r="K380" i="2"/>
  <c r="K372" i="2"/>
  <c r="K364" i="2"/>
  <c r="K356" i="2"/>
  <c r="K348" i="2"/>
  <c r="K340" i="2"/>
  <c r="K332" i="2"/>
  <c r="K324" i="2"/>
  <c r="K316" i="2"/>
  <c r="K308" i="2"/>
  <c r="K300" i="2"/>
  <c r="K292" i="2"/>
  <c r="K284" i="2"/>
  <c r="K276" i="2"/>
  <c r="K268" i="2"/>
  <c r="K260" i="2"/>
  <c r="K252" i="2"/>
  <c r="J252" i="2"/>
  <c r="K244" i="2"/>
  <c r="J244" i="2"/>
  <c r="K236" i="2"/>
  <c r="J236" i="2"/>
  <c r="K228" i="2"/>
  <c r="J228" i="2"/>
  <c r="R228" i="2" s="1"/>
  <c r="K220" i="2"/>
  <c r="J220" i="2"/>
  <c r="R220" i="2" s="1"/>
  <c r="K212" i="2"/>
  <c r="J212" i="2"/>
  <c r="K204" i="2"/>
  <c r="J204" i="2"/>
  <c r="K196" i="2"/>
  <c r="J196" i="2"/>
  <c r="R196" i="2" s="1"/>
  <c r="K188" i="2"/>
  <c r="J188" i="2"/>
  <c r="K180" i="2"/>
  <c r="J180" i="2"/>
  <c r="K172" i="2"/>
  <c r="J172" i="2"/>
  <c r="K164" i="2"/>
  <c r="J164" i="2"/>
  <c r="K156" i="2"/>
  <c r="J156" i="2"/>
  <c r="R156" i="2" s="1"/>
  <c r="K148" i="2"/>
  <c r="J148" i="2"/>
  <c r="R148" i="2" s="1"/>
  <c r="K140" i="2"/>
  <c r="J140" i="2"/>
  <c r="K132" i="2"/>
  <c r="J132" i="2"/>
  <c r="K124" i="2"/>
  <c r="J124" i="2"/>
  <c r="R124" i="2" s="1"/>
  <c r="K116" i="2"/>
  <c r="J116" i="2"/>
  <c r="R116" i="2" s="1"/>
  <c r="K108" i="2"/>
  <c r="J108" i="2"/>
  <c r="K100" i="2"/>
  <c r="J100" i="2"/>
  <c r="K92" i="2"/>
  <c r="J92" i="2"/>
  <c r="R92" i="2" s="1"/>
  <c r="K84" i="2"/>
  <c r="J84" i="2"/>
  <c r="R84" i="2" s="1"/>
  <c r="K76" i="2"/>
  <c r="J76" i="2"/>
  <c r="K68" i="2"/>
  <c r="J68" i="2"/>
  <c r="K60" i="2"/>
  <c r="J60" i="2"/>
  <c r="R60" i="2" s="1"/>
  <c r="K52" i="2"/>
  <c r="J52" i="2"/>
  <c r="R52" i="2" s="1"/>
  <c r="K44" i="2"/>
  <c r="J44" i="2"/>
  <c r="K36" i="2"/>
  <c r="J36" i="2"/>
  <c r="K28" i="2"/>
  <c r="J28" i="2"/>
  <c r="R28" i="2" s="1"/>
  <c r="K20" i="2"/>
  <c r="J20" i="2"/>
  <c r="R20" i="2" s="1"/>
  <c r="K12" i="2"/>
  <c r="J12" i="2"/>
  <c r="J256" i="2"/>
  <c r="J240" i="2"/>
  <c r="J200" i="2"/>
  <c r="J175" i="2"/>
  <c r="R175" i="2" s="1"/>
  <c r="J143" i="2"/>
  <c r="R143" i="2" s="1"/>
  <c r="J111" i="2"/>
  <c r="R111" i="2" s="1"/>
  <c r="J71" i="2"/>
  <c r="R71" i="2" s="1"/>
  <c r="K443" i="2"/>
  <c r="K435" i="2"/>
  <c r="K427" i="2"/>
  <c r="K419" i="2"/>
  <c r="K411" i="2"/>
  <c r="K403" i="2"/>
  <c r="K395" i="2"/>
  <c r="K387" i="2"/>
  <c r="K379" i="2"/>
  <c r="K371" i="2"/>
  <c r="K363" i="2"/>
  <c r="K355" i="2"/>
  <c r="K347" i="2"/>
  <c r="K339" i="2"/>
  <c r="K331" i="2"/>
  <c r="K323" i="2"/>
  <c r="K315" i="2"/>
  <c r="K307" i="2"/>
  <c r="K299" i="2"/>
  <c r="K291" i="2"/>
  <c r="K283" i="2"/>
  <c r="K275" i="2"/>
  <c r="K267" i="2"/>
  <c r="K259" i="2"/>
  <c r="J259" i="2"/>
  <c r="K251" i="2"/>
  <c r="J251" i="2"/>
  <c r="K243" i="2"/>
  <c r="J243" i="2"/>
  <c r="K235" i="2"/>
  <c r="J235" i="2"/>
  <c r="AC47" i="2" s="1"/>
  <c r="K227" i="2"/>
  <c r="J227" i="2"/>
  <c r="R227" i="2" s="1"/>
  <c r="K219" i="2"/>
  <c r="J219" i="2"/>
  <c r="K211" i="2"/>
  <c r="J211" i="2"/>
  <c r="K195" i="2"/>
  <c r="J195" i="2"/>
  <c r="K187" i="2"/>
  <c r="J187" i="2"/>
  <c r="R187" i="2" s="1"/>
  <c r="K179" i="2"/>
  <c r="J179" i="2"/>
  <c r="R179" i="2" s="1"/>
  <c r="K171" i="2"/>
  <c r="J171" i="2"/>
  <c r="K163" i="2"/>
  <c r="J163" i="2"/>
  <c r="R163" i="2" s="1"/>
  <c r="K155" i="2"/>
  <c r="J155" i="2"/>
  <c r="K147" i="2"/>
  <c r="J147" i="2"/>
  <c r="K139" i="2"/>
  <c r="J139" i="2"/>
  <c r="R139" i="2" s="1"/>
  <c r="K131" i="2"/>
  <c r="J131" i="2"/>
  <c r="R131" i="2" s="1"/>
  <c r="K123" i="2"/>
  <c r="J123" i="2"/>
  <c r="R123" i="2" s="1"/>
  <c r="K115" i="2"/>
  <c r="J115" i="2"/>
  <c r="K107" i="2"/>
  <c r="J107" i="2"/>
  <c r="R107" i="2" s="1"/>
  <c r="K99" i="2"/>
  <c r="J99" i="2"/>
  <c r="R99" i="2" s="1"/>
  <c r="K91" i="2"/>
  <c r="J91" i="2"/>
  <c r="K83" i="2"/>
  <c r="J83" i="2"/>
  <c r="R83" i="2" s="1"/>
  <c r="K75" i="2"/>
  <c r="J75" i="2"/>
  <c r="R75" i="2" s="1"/>
  <c r="K67" i="2"/>
  <c r="J67" i="2"/>
  <c r="R67" i="2" s="1"/>
  <c r="K59" i="2"/>
  <c r="J59" i="2"/>
  <c r="K51" i="2"/>
  <c r="J51" i="2"/>
  <c r="R51" i="2" s="1"/>
  <c r="K43" i="2"/>
  <c r="J43" i="2"/>
  <c r="R43" i="2" s="1"/>
  <c r="K35" i="2"/>
  <c r="J35" i="2"/>
  <c r="R35" i="2" s="1"/>
  <c r="K27" i="2"/>
  <c r="J27" i="2"/>
  <c r="K19" i="2"/>
  <c r="J19" i="2"/>
  <c r="R19" i="2" s="1"/>
  <c r="K11" i="2"/>
  <c r="J11" i="2"/>
  <c r="R11" i="2" s="1"/>
  <c r="J441" i="2"/>
  <c r="J433" i="2"/>
  <c r="J425" i="2"/>
  <c r="J417" i="2"/>
  <c r="J409" i="2"/>
  <c r="J401" i="2"/>
  <c r="J393" i="2"/>
  <c r="J385" i="2"/>
  <c r="J377" i="2"/>
  <c r="J369" i="2"/>
  <c r="J361" i="2"/>
  <c r="J353" i="2"/>
  <c r="J345" i="2"/>
  <c r="J337" i="2"/>
  <c r="J329" i="2"/>
  <c r="J321" i="2"/>
  <c r="J313" i="2"/>
  <c r="J305" i="2"/>
  <c r="J297" i="2"/>
  <c r="J289" i="2"/>
  <c r="J281" i="2"/>
  <c r="J273" i="2"/>
  <c r="J265" i="2"/>
  <c r="J255" i="2"/>
  <c r="J239" i="2"/>
  <c r="J216" i="2"/>
  <c r="J199" i="2"/>
  <c r="AC46" i="2" s="1"/>
  <c r="J168" i="2"/>
  <c r="R168" i="2" s="1"/>
  <c r="J136" i="2"/>
  <c r="J104" i="2"/>
  <c r="R104" i="2" s="1"/>
  <c r="J63" i="2"/>
  <c r="R63" i="2" s="1"/>
  <c r="M275" i="2"/>
  <c r="N275" i="2" s="1"/>
  <c r="O275" i="2" s="1"/>
  <c r="P275" i="2" s="1"/>
  <c r="Q275" i="2" s="1"/>
  <c r="M36" i="2"/>
  <c r="N36" i="2" s="1"/>
  <c r="O36" i="2" s="1"/>
  <c r="P36" i="2" s="1"/>
  <c r="Q36" i="2" s="1"/>
  <c r="M252" i="2"/>
  <c r="N252" i="2" s="1"/>
  <c r="O252" i="2" s="1"/>
  <c r="P252" i="2" s="1"/>
  <c r="Q252" i="2" s="1"/>
  <c r="M212" i="2"/>
  <c r="N212" i="2" s="1"/>
  <c r="O212" i="2" s="1"/>
  <c r="P212" i="2" s="1"/>
  <c r="Q212" i="2" s="1"/>
  <c r="M236" i="2"/>
  <c r="N236" i="2" s="1"/>
  <c r="O236" i="2" s="1"/>
  <c r="P236" i="2" s="1"/>
  <c r="Q236" i="2" s="1"/>
  <c r="M172" i="2"/>
  <c r="N172" i="2" s="1"/>
  <c r="O172" i="2" s="1"/>
  <c r="P172" i="2" s="1"/>
  <c r="Q172" i="2" s="1"/>
  <c r="M201" i="2"/>
  <c r="N201" i="2" s="1"/>
  <c r="O201" i="2" s="1"/>
  <c r="P201" i="2" s="1"/>
  <c r="Q201" i="2" s="1"/>
  <c r="M169" i="2"/>
  <c r="N169" i="2" s="1"/>
  <c r="O169" i="2" s="1"/>
  <c r="P169" i="2" s="1"/>
  <c r="Q169" i="2" s="1"/>
  <c r="M33" i="2"/>
  <c r="N33" i="2" s="1"/>
  <c r="O33" i="2" s="1"/>
  <c r="P33" i="2" s="1"/>
  <c r="Q33" i="2" s="1"/>
  <c r="M233" i="2"/>
  <c r="N233" i="2" s="1"/>
  <c r="O233" i="2" s="1"/>
  <c r="P233" i="2" s="1"/>
  <c r="Q233" i="2" s="1"/>
  <c r="M171" i="2"/>
  <c r="N171" i="2" s="1"/>
  <c r="O171" i="2" s="1"/>
  <c r="P171" i="2" s="1"/>
  <c r="Q171" i="2" s="1"/>
  <c r="M27" i="2"/>
  <c r="N27" i="2" s="1"/>
  <c r="O27" i="2" s="1"/>
  <c r="P27" i="2" s="1"/>
  <c r="Q27" i="2" s="1"/>
  <c r="M235" i="2"/>
  <c r="N235" i="2" s="1"/>
  <c r="O235" i="2" s="1"/>
  <c r="P235" i="2" s="1"/>
  <c r="Q235" i="2" s="1"/>
  <c r="M219" i="2"/>
  <c r="N219" i="2" s="1"/>
  <c r="O219" i="2" s="1"/>
  <c r="P219" i="2" s="1"/>
  <c r="Q219" i="2" s="1"/>
  <c r="M211" i="2"/>
  <c r="N211" i="2" s="1"/>
  <c r="O211" i="2" s="1"/>
  <c r="P211" i="2" s="1"/>
  <c r="Q211" i="2" s="1"/>
  <c r="M203" i="2"/>
  <c r="N203" i="2" s="1"/>
  <c r="O203" i="2" s="1"/>
  <c r="P203" i="2" s="1"/>
  <c r="Q203" i="2" s="1"/>
  <c r="M200" i="2"/>
  <c r="N200" i="2" s="1"/>
  <c r="O200" i="2" s="1"/>
  <c r="P200" i="2" s="1"/>
  <c r="Q200" i="2" s="1"/>
  <c r="M184" i="2"/>
  <c r="N184" i="2" s="1"/>
  <c r="O184" i="2" s="1"/>
  <c r="P184" i="2" s="1"/>
  <c r="Q184" i="2" s="1"/>
  <c r="M40" i="2"/>
  <c r="N40" i="2" s="1"/>
  <c r="O40" i="2" s="1"/>
  <c r="P40" i="2" s="1"/>
  <c r="Q40" i="2" s="1"/>
  <c r="M248" i="2"/>
  <c r="N248" i="2" s="1"/>
  <c r="O248" i="2" s="1"/>
  <c r="P248" i="2" s="1"/>
  <c r="Q248" i="2" s="1"/>
  <c r="M232" i="2"/>
  <c r="N232" i="2" s="1"/>
  <c r="O232" i="2" s="1"/>
  <c r="P232" i="2" s="1"/>
  <c r="Q232" i="2" s="1"/>
  <c r="M197" i="2"/>
  <c r="N197" i="2" s="1"/>
  <c r="O197" i="2" s="1"/>
  <c r="P197" i="2" s="1"/>
  <c r="Q197" i="2" s="1"/>
  <c r="M189" i="2"/>
  <c r="N189" i="2" s="1"/>
  <c r="O189" i="2" s="1"/>
  <c r="P189" i="2" s="1"/>
  <c r="Q189" i="2" s="1"/>
  <c r="M181" i="2"/>
  <c r="N181" i="2" s="1"/>
  <c r="O181" i="2" s="1"/>
  <c r="P181" i="2" s="1"/>
  <c r="Q181" i="2" s="1"/>
  <c r="M45" i="2"/>
  <c r="N45" i="2" s="1"/>
  <c r="O45" i="2" s="1"/>
  <c r="P45" i="2" s="1"/>
  <c r="Q45" i="2" s="1"/>
  <c r="M37" i="2"/>
  <c r="N37" i="2" s="1"/>
  <c r="O37" i="2" s="1"/>
  <c r="P37" i="2" s="1"/>
  <c r="Q37" i="2" s="1"/>
  <c r="M237" i="2"/>
  <c r="N237" i="2" s="1"/>
  <c r="O237" i="2" s="1"/>
  <c r="P237" i="2" s="1"/>
  <c r="Q237" i="2" s="1"/>
  <c r="M198" i="2"/>
  <c r="N198" i="2" s="1"/>
  <c r="O198" i="2" s="1"/>
  <c r="P198" i="2" s="1"/>
  <c r="Q198" i="2" s="1"/>
  <c r="M166" i="2"/>
  <c r="N166" i="2" s="1"/>
  <c r="O166" i="2" s="1"/>
  <c r="P166" i="2" s="1"/>
  <c r="Q166" i="2" s="1"/>
  <c r="M22" i="2"/>
  <c r="N22" i="2" s="1"/>
  <c r="O22" i="2" s="1"/>
  <c r="P22" i="2" s="1"/>
  <c r="Q22" i="2" s="1"/>
  <c r="M238" i="2"/>
  <c r="N238" i="2" s="1"/>
  <c r="O238" i="2" s="1"/>
  <c r="P238" i="2" s="1"/>
  <c r="Q238" i="2" s="1"/>
  <c r="M214" i="2"/>
  <c r="N214" i="2" s="1"/>
  <c r="O214" i="2" s="1"/>
  <c r="P214" i="2" s="1"/>
  <c r="Q214" i="2" s="1"/>
  <c r="M202" i="2"/>
  <c r="N202" i="2" s="1"/>
  <c r="O202" i="2" s="1"/>
  <c r="P202" i="2" s="1"/>
  <c r="Q202" i="2" s="1"/>
  <c r="M194" i="2"/>
  <c r="N194" i="2" s="1"/>
  <c r="O194" i="2" s="1"/>
  <c r="P194" i="2" s="1"/>
  <c r="Q194" i="2" s="1"/>
  <c r="M170" i="2"/>
  <c r="N170" i="2" s="1"/>
  <c r="O170" i="2" s="1"/>
  <c r="P170" i="2" s="1"/>
  <c r="Q170" i="2" s="1"/>
  <c r="M234" i="2"/>
  <c r="N234" i="2" s="1"/>
  <c r="O234" i="2" s="1"/>
  <c r="P234" i="2" s="1"/>
  <c r="Q234" i="2" s="1"/>
  <c r="M199" i="2"/>
  <c r="N199" i="2" s="1"/>
  <c r="O199" i="2" s="1"/>
  <c r="P199" i="2" s="1"/>
  <c r="Q199" i="2" s="1"/>
  <c r="M39" i="2"/>
  <c r="N39" i="2" s="1"/>
  <c r="O39" i="2" s="1"/>
  <c r="P39" i="2" s="1"/>
  <c r="Q39" i="2" s="1"/>
  <c r="M31" i="2"/>
  <c r="N31" i="2" s="1"/>
  <c r="O31" i="2" s="1"/>
  <c r="P31" i="2" s="1"/>
  <c r="Q31" i="2" s="1"/>
  <c r="M23" i="2"/>
  <c r="N23" i="2" s="1"/>
  <c r="O23" i="2" s="1"/>
  <c r="P23" i="2" s="1"/>
  <c r="Q23" i="2" s="1"/>
  <c r="M15" i="2"/>
  <c r="N15" i="2" s="1"/>
  <c r="O15" i="2" s="1"/>
  <c r="P15" i="2" s="1"/>
  <c r="Q15" i="2" s="1"/>
  <c r="M255" i="2"/>
  <c r="N255" i="2" s="1"/>
  <c r="O255" i="2" s="1"/>
  <c r="P255" i="2" s="1"/>
  <c r="Q255" i="2" s="1"/>
  <c r="M247" i="2"/>
  <c r="N247" i="2" s="1"/>
  <c r="O247" i="2" s="1"/>
  <c r="P247" i="2" s="1"/>
  <c r="Q247" i="2" s="1"/>
  <c r="M223" i="2"/>
  <c r="N223" i="2" s="1"/>
  <c r="O223" i="2" s="1"/>
  <c r="P223" i="2" s="1"/>
  <c r="Q223" i="2" s="1"/>
  <c r="M207" i="2"/>
  <c r="N207" i="2" s="1"/>
  <c r="O207" i="2" s="1"/>
  <c r="P207" i="2" s="1"/>
  <c r="Q207" i="2" s="1"/>
  <c r="R186" i="2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AC43" i="2" l="1"/>
  <c r="R95" i="2"/>
  <c r="R66" i="2"/>
  <c r="R119" i="2"/>
  <c r="R72" i="2"/>
  <c r="R41" i="2"/>
  <c r="R73" i="2"/>
  <c r="R105" i="2"/>
  <c r="R137" i="2"/>
  <c r="R127" i="2"/>
  <c r="R18" i="2"/>
  <c r="R50" i="2"/>
  <c r="R90" i="2"/>
  <c r="R122" i="2"/>
  <c r="R162" i="2"/>
  <c r="R130" i="2"/>
  <c r="R16" i="2"/>
  <c r="R48" i="2"/>
  <c r="R80" i="2"/>
  <c r="R17" i="2"/>
  <c r="R49" i="2"/>
  <c r="R81" i="2"/>
  <c r="R113" i="2"/>
  <c r="R145" i="2"/>
  <c r="R26" i="2"/>
  <c r="R58" i="2"/>
  <c r="R98" i="2"/>
  <c r="R138" i="2"/>
  <c r="R115" i="2"/>
  <c r="R147" i="2"/>
  <c r="R68" i="2"/>
  <c r="R100" i="2"/>
  <c r="R132" i="2"/>
  <c r="R164" i="2"/>
  <c r="R13" i="2"/>
  <c r="R77" i="2"/>
  <c r="R109" i="2"/>
  <c r="R141" i="2"/>
  <c r="R38" i="2"/>
  <c r="R70" i="2"/>
  <c r="R102" i="2"/>
  <c r="R134" i="2"/>
  <c r="R159" i="2"/>
  <c r="R136" i="2"/>
  <c r="R55" i="2"/>
  <c r="R103" i="2"/>
  <c r="R96" i="2"/>
  <c r="R135" i="2"/>
  <c r="R59" i="2"/>
  <c r="R91" i="2"/>
  <c r="R155" i="2"/>
  <c r="R12" i="2"/>
  <c r="R44" i="2"/>
  <c r="R76" i="2"/>
  <c r="R108" i="2"/>
  <c r="R140" i="2"/>
  <c r="R112" i="2"/>
  <c r="R21" i="2"/>
  <c r="R53" i="2"/>
  <c r="R85" i="2"/>
  <c r="R117" i="2"/>
  <c r="R149" i="2"/>
  <c r="R46" i="2"/>
  <c r="R78" i="2"/>
  <c r="R110" i="2"/>
  <c r="R142" i="2"/>
  <c r="R128" i="2"/>
  <c r="R193" i="2"/>
  <c r="R195" i="2"/>
  <c r="R180" i="2"/>
  <c r="R182" i="2"/>
  <c r="R188" i="2"/>
  <c r="R173" i="2"/>
  <c r="AA14" i="2"/>
  <c r="Z14" i="2"/>
  <c r="AA13" i="2"/>
  <c r="Z13" i="2"/>
  <c r="Z12" i="2"/>
  <c r="AA12" i="2"/>
  <c r="AA11" i="2"/>
  <c r="Z11" i="2"/>
  <c r="AA10" i="2"/>
  <c r="R10" i="2"/>
  <c r="Z10" i="2"/>
  <c r="D3" i="2"/>
  <c r="F3" i="2"/>
  <c r="R169" i="2"/>
  <c r="R215" i="2"/>
  <c r="R241" i="2"/>
  <c r="R262" i="2"/>
  <c r="R294" i="2"/>
  <c r="R326" i="2"/>
  <c r="R358" i="2"/>
  <c r="R390" i="2"/>
  <c r="R422" i="2"/>
  <c r="R279" i="2"/>
  <c r="R217" i="2"/>
  <c r="R264" i="2"/>
  <c r="R367" i="2"/>
  <c r="R431" i="2"/>
  <c r="R263" i="2"/>
  <c r="R218" i="2"/>
  <c r="R250" i="2"/>
  <c r="R282" i="2"/>
  <c r="R314" i="2"/>
  <c r="R346" i="2"/>
  <c r="R267" i="2"/>
  <c r="R331" i="2"/>
  <c r="R387" i="2"/>
  <c r="R233" i="2"/>
  <c r="R283" i="2"/>
  <c r="R347" i="2"/>
  <c r="R403" i="2"/>
  <c r="R435" i="2"/>
  <c r="R204" i="2"/>
  <c r="R257" i="2"/>
  <c r="R289" i="2"/>
  <c r="R321" i="2"/>
  <c r="R353" i="2"/>
  <c r="R385" i="2"/>
  <c r="R417" i="2"/>
  <c r="R299" i="2"/>
  <c r="R355" i="2"/>
  <c r="R411" i="2"/>
  <c r="R443" i="2"/>
  <c r="R205" i="2"/>
  <c r="R260" i="2"/>
  <c r="R292" i="2"/>
  <c r="R324" i="2"/>
  <c r="R356" i="2"/>
  <c r="R388" i="2"/>
  <c r="R420" i="2"/>
  <c r="R375" i="2"/>
  <c r="R286" i="2"/>
  <c r="R318" i="2"/>
  <c r="R350" i="2"/>
  <c r="R382" i="2"/>
  <c r="R414" i="2"/>
  <c r="R271" i="2"/>
  <c r="R303" i="2"/>
  <c r="R335" i="2"/>
  <c r="R312" i="2"/>
  <c r="R275" i="2"/>
  <c r="R249" i="2"/>
  <c r="R276" i="2"/>
  <c r="R308" i="2"/>
  <c r="R340" i="2"/>
  <c r="R372" i="2"/>
  <c r="R404" i="2"/>
  <c r="R436" i="2"/>
  <c r="R439" i="2"/>
  <c r="R270" i="2"/>
  <c r="R302" i="2"/>
  <c r="R334" i="2"/>
  <c r="R366" i="2"/>
  <c r="R398" i="2"/>
  <c r="R430" i="2"/>
  <c r="R287" i="2"/>
  <c r="R319" i="2"/>
  <c r="R351" i="2"/>
  <c r="R399" i="2"/>
  <c r="R201" i="2"/>
  <c r="R212" i="2"/>
  <c r="R252" i="2"/>
  <c r="R284" i="2"/>
  <c r="R316" i="2"/>
  <c r="R348" i="2"/>
  <c r="R380" i="2"/>
  <c r="R412" i="2"/>
  <c r="R444" i="2"/>
  <c r="R278" i="2"/>
  <c r="R310" i="2"/>
  <c r="R342" i="2"/>
  <c r="R374" i="2"/>
  <c r="R406" i="2"/>
  <c r="R438" i="2"/>
  <c r="R295" i="2"/>
  <c r="R327" i="2"/>
  <c r="R359" i="2"/>
  <c r="R415" i="2"/>
  <c r="R210" i="2"/>
  <c r="R242" i="2"/>
  <c r="R274" i="2"/>
  <c r="R306" i="2"/>
  <c r="R338" i="2"/>
  <c r="R370" i="2"/>
  <c r="R402" i="2"/>
  <c r="R239" i="2"/>
  <c r="R256" i="2"/>
  <c r="R392" i="2"/>
  <c r="R223" i="2"/>
  <c r="R234" i="2"/>
  <c r="R198" i="2"/>
  <c r="R248" i="2"/>
  <c r="R36" i="2"/>
  <c r="R378" i="2"/>
  <c r="R418" i="2"/>
  <c r="R172" i="2"/>
  <c r="R236" i="2"/>
  <c r="R273" i="2"/>
  <c r="R305" i="2"/>
  <c r="R337" i="2"/>
  <c r="R268" i="2"/>
  <c r="R300" i="2"/>
  <c r="R230" i="2"/>
  <c r="R261" i="2"/>
  <c r="R293" i="2"/>
  <c r="R325" i="2"/>
  <c r="R357" i="2"/>
  <c r="R389" i="2"/>
  <c r="R421" i="2"/>
  <c r="R410" i="2"/>
  <c r="R291" i="2"/>
  <c r="R363" i="2"/>
  <c r="R320" i="2"/>
  <c r="R384" i="2"/>
  <c r="R207" i="2"/>
  <c r="R199" i="2"/>
  <c r="R166" i="2"/>
  <c r="R232" i="2"/>
  <c r="R235" i="2"/>
  <c r="R246" i="2"/>
  <c r="R269" i="2"/>
  <c r="R301" i="2"/>
  <c r="R333" i="2"/>
  <c r="R365" i="2"/>
  <c r="R397" i="2"/>
  <c r="R429" i="2"/>
  <c r="R265" i="2"/>
  <c r="R297" i="2"/>
  <c r="R329" i="2"/>
  <c r="R361" i="2"/>
  <c r="R393" i="2"/>
  <c r="R425" i="2"/>
  <c r="R434" i="2"/>
  <c r="R307" i="2"/>
  <c r="R379" i="2"/>
  <c r="R315" i="2"/>
  <c r="R371" i="2"/>
  <c r="R419" i="2"/>
  <c r="R336" i="2"/>
  <c r="R400" i="2"/>
  <c r="R247" i="2"/>
  <c r="R170" i="2"/>
  <c r="R237" i="2"/>
  <c r="R40" i="2"/>
  <c r="R171" i="2"/>
  <c r="R254" i="2"/>
  <c r="R280" i="2"/>
  <c r="R344" i="2"/>
  <c r="R408" i="2"/>
  <c r="R255" i="2"/>
  <c r="R194" i="2"/>
  <c r="R37" i="2"/>
  <c r="R184" i="2"/>
  <c r="R27" i="2"/>
  <c r="R245" i="2"/>
  <c r="R277" i="2"/>
  <c r="R309" i="2"/>
  <c r="R341" i="2"/>
  <c r="R373" i="2"/>
  <c r="R405" i="2"/>
  <c r="R437" i="2"/>
  <c r="R369" i="2"/>
  <c r="R401" i="2"/>
  <c r="R433" i="2"/>
  <c r="R259" i="2"/>
  <c r="R323" i="2"/>
  <c r="R395" i="2"/>
  <c r="R427" i="2"/>
  <c r="R216" i="2"/>
  <c r="R288" i="2"/>
  <c r="R352" i="2"/>
  <c r="R416" i="2"/>
  <c r="R15" i="2"/>
  <c r="R202" i="2"/>
  <c r="R45" i="2"/>
  <c r="R200" i="2"/>
  <c r="R243" i="2"/>
  <c r="R332" i="2"/>
  <c r="R364" i="2"/>
  <c r="R396" i="2"/>
  <c r="R428" i="2"/>
  <c r="R423" i="2"/>
  <c r="R311" i="2"/>
  <c r="R343" i="2"/>
  <c r="R391" i="2"/>
  <c r="R272" i="2"/>
  <c r="R407" i="2"/>
  <c r="R258" i="2"/>
  <c r="R290" i="2"/>
  <c r="R322" i="2"/>
  <c r="R354" i="2"/>
  <c r="R386" i="2"/>
  <c r="R426" i="2"/>
  <c r="R296" i="2"/>
  <c r="R360" i="2"/>
  <c r="R424" i="2"/>
  <c r="R23" i="2"/>
  <c r="R214" i="2"/>
  <c r="R181" i="2"/>
  <c r="R203" i="2"/>
  <c r="R328" i="2"/>
  <c r="R251" i="2"/>
  <c r="R253" i="2"/>
  <c r="R285" i="2"/>
  <c r="R317" i="2"/>
  <c r="R349" i="2"/>
  <c r="R381" i="2"/>
  <c r="R413" i="2"/>
  <c r="R383" i="2"/>
  <c r="R281" i="2"/>
  <c r="R313" i="2"/>
  <c r="R345" i="2"/>
  <c r="R377" i="2"/>
  <c r="R409" i="2"/>
  <c r="R441" i="2"/>
  <c r="R339" i="2"/>
  <c r="R304" i="2"/>
  <c r="R368" i="2"/>
  <c r="R432" i="2"/>
  <c r="R31" i="2"/>
  <c r="R238" i="2"/>
  <c r="R189" i="2"/>
  <c r="R211" i="2"/>
  <c r="R244" i="2"/>
  <c r="R266" i="2"/>
  <c r="R298" i="2"/>
  <c r="R330" i="2"/>
  <c r="R362" i="2"/>
  <c r="R394" i="2"/>
  <c r="R442" i="2"/>
  <c r="R240" i="2"/>
  <c r="R376" i="2"/>
  <c r="R440" i="2"/>
  <c r="R39" i="2"/>
  <c r="R22" i="2"/>
  <c r="R197" i="2"/>
  <c r="R219" i="2"/>
  <c r="F4" i="2"/>
  <c r="D4" i="2"/>
  <c r="G3" i="2"/>
  <c r="I28" i="1"/>
  <c r="F3" i="1" s="1"/>
  <c r="I30" i="1"/>
  <c r="AB13" i="2" l="1"/>
  <c r="AB14" i="2"/>
  <c r="AB12" i="2"/>
  <c r="Z16" i="2"/>
  <c r="AB11" i="2"/>
  <c r="Y16" i="2"/>
  <c r="AB10" i="2"/>
  <c r="D7" i="2"/>
  <c r="F7" i="2"/>
  <c r="I31" i="1"/>
  <c r="I32" i="1" s="1"/>
  <c r="Y17" i="2" l="1"/>
  <c r="B3" i="1"/>
  <c r="E5" i="1"/>
</calcChain>
</file>

<file path=xl/sharedStrings.xml><?xml version="1.0" encoding="utf-8"?>
<sst xmlns="http://schemas.openxmlformats.org/spreadsheetml/2006/main" count="2445" uniqueCount="688">
  <si>
    <t>Maricopa</t>
  </si>
  <si>
    <t>Pima</t>
  </si>
  <si>
    <t>Pinal</t>
  </si>
  <si>
    <t>Yavapai</t>
  </si>
  <si>
    <t>Mohave</t>
  </si>
  <si>
    <t>Coconino</t>
  </si>
  <si>
    <t>Yuma</t>
  </si>
  <si>
    <t>Cochise</t>
  </si>
  <si>
    <t>Navajo</t>
  </si>
  <si>
    <t>Gila</t>
  </si>
  <si>
    <t>Apache</t>
  </si>
  <si>
    <t>Hobbs +35</t>
  </si>
  <si>
    <t>Santa Cruz</t>
  </si>
  <si>
    <t>Graham</t>
  </si>
  <si>
    <t>La Paz</t>
  </si>
  <si>
    <t>Greenlee</t>
  </si>
  <si>
    <t>County</t>
  </si>
  <si>
    <t>Leader</t>
  </si>
  <si>
    <t>Votes</t>
  </si>
  <si>
    <t>% in</t>
  </si>
  <si>
    <t>Expected Votes</t>
  </si>
  <si>
    <t>Expected Remain</t>
  </si>
  <si>
    <t>Current Hobbs</t>
  </si>
  <si>
    <t>Margin</t>
  </si>
  <si>
    <t>Current Hobbs %</t>
  </si>
  <si>
    <t>Shift to get to 50%</t>
  </si>
  <si>
    <t>Shifted Hobbs %</t>
  </si>
  <si>
    <t>Shifted Hobbs</t>
  </si>
  <si>
    <t>&gt;95%</t>
  </si>
  <si>
    <t>The race for Arizona's Governor seat</t>
  </si>
  <si>
    <t>Trailer</t>
  </si>
  <si>
    <t>Max Expected</t>
  </si>
  <si>
    <t>District</t>
  </si>
  <si>
    <t>Percent of votes in% In</t>
  </si>
  <si>
    <t>Ala. 7</t>
  </si>
  <si>
    <t>Dem.</t>
  </si>
  <si>
    <t>Ariz. 3</t>
  </si>
  <si>
    <t>Ariz. 7</t>
  </si>
  <si>
    <t>Calif. 2</t>
  </si>
  <si>
    <t>Calif. 4</t>
  </si>
  <si>
    <t>Calif. 6</t>
  </si>
  <si>
    <t>Calif. 7</t>
  </si>
  <si>
    <t>Calif. 8</t>
  </si>
  <si>
    <t>Calif. 10</t>
  </si>
  <si>
    <t>Calif. 11</t>
  </si>
  <si>
    <t>Calif. 12</t>
  </si>
  <si>
    <t>Calif. 14</t>
  </si>
  <si>
    <t>Calif. 15</t>
  </si>
  <si>
    <t>—</t>
  </si>
  <si>
    <t>Calif. 16</t>
  </si>
  <si>
    <t>Calif. 17</t>
  </si>
  <si>
    <t>Calif. 18</t>
  </si>
  <si>
    <t>Calif. 19</t>
  </si>
  <si>
    <t>Calif. 21</t>
  </si>
  <si>
    <t>Calif. 24</t>
  </si>
  <si>
    <t>Calif. 25</t>
  </si>
  <si>
    <t>Calif. 28</t>
  </si>
  <si>
    <t>Calif. 29</t>
  </si>
  <si>
    <t>Calif. 30</t>
  </si>
  <si>
    <t>Calif. 31</t>
  </si>
  <si>
    <t>Calif. 32</t>
  </si>
  <si>
    <t>Calif. 33</t>
  </si>
  <si>
    <t>Calif. 34</t>
  </si>
  <si>
    <t>Calif. 35</t>
  </si>
  <si>
    <t>Calif. 36</t>
  </si>
  <si>
    <t>Calif. 37</t>
  </si>
  <si>
    <t>Calif. 38</t>
  </si>
  <si>
    <t>Calif. 39</t>
  </si>
  <si>
    <t>Calif. 42</t>
  </si>
  <si>
    <t>Calif. 43</t>
  </si>
  <si>
    <t>Calif. 44</t>
  </si>
  <si>
    <t>Calif. 46</t>
  </si>
  <si>
    <t>Calif. 50</t>
  </si>
  <si>
    <t>Calif. 51</t>
  </si>
  <si>
    <t>Calif. 52</t>
  </si>
  <si>
    <t>Colo. 1</t>
  </si>
  <si>
    <t>Colo. 2</t>
  </si>
  <si>
    <t>Colo. 6</t>
  </si>
  <si>
    <t>Conn. 1</t>
  </si>
  <si>
    <t>Conn. 3</t>
  </si>
  <si>
    <t>Conn. 4</t>
  </si>
  <si>
    <t>Del. 1</t>
  </si>
  <si>
    <t>Fla. 9</t>
  </si>
  <si>
    <t>Fla. 10</t>
  </si>
  <si>
    <t>Fla. 14</t>
  </si>
  <si>
    <t>Fla. 20</t>
  </si>
  <si>
    <t>Fla. 22</t>
  </si>
  <si>
    <t>Fla. 23</t>
  </si>
  <si>
    <t>Fla. 24</t>
  </si>
  <si>
    <t>Fla. 25</t>
  </si>
  <si>
    <t>Ga. 4</t>
  </si>
  <si>
    <t>Ga. 5</t>
  </si>
  <si>
    <t>Ga. 7</t>
  </si>
  <si>
    <t>Ga. 13</t>
  </si>
  <si>
    <t>Hawaii 1</t>
  </si>
  <si>
    <t>Hawaii 2</t>
  </si>
  <si>
    <t>Ill. 1</t>
  </si>
  <si>
    <t>Ill. 2</t>
  </si>
  <si>
    <t>Ill. 3</t>
  </si>
  <si>
    <t>Ill. 4</t>
  </si>
  <si>
    <t>Ill. 5</t>
  </si>
  <si>
    <t>Ill. 7</t>
  </si>
  <si>
    <t>Dem. Uncontested(Unc.)</t>
  </si>
  <si>
    <t>Ill. 8</t>
  </si>
  <si>
    <t>Ill. 9</t>
  </si>
  <si>
    <t>Ill. 10</t>
  </si>
  <si>
    <t>Ind. 7</t>
  </si>
  <si>
    <t>Ky. 3</t>
  </si>
  <si>
    <t>La. 2</t>
  </si>
  <si>
    <t>Maine 1</t>
  </si>
  <si>
    <t>Md. 2</t>
  </si>
  <si>
    <t>Md. 3</t>
  </si>
  <si>
    <t>Md. 4</t>
  </si>
  <si>
    <t>Md. 5</t>
  </si>
  <si>
    <t>Md. 7</t>
  </si>
  <si>
    <t>Md. 8</t>
  </si>
  <si>
    <t>Mass. 1</t>
  </si>
  <si>
    <t>Mass. 2</t>
  </si>
  <si>
    <t>Mass. 3</t>
  </si>
  <si>
    <t>Mass. 4</t>
  </si>
  <si>
    <t>Mass. 5</t>
  </si>
  <si>
    <t>Mass. 6</t>
  </si>
  <si>
    <t>Mass. 7</t>
  </si>
  <si>
    <t>Mass. 8</t>
  </si>
  <si>
    <t>Mass. 9</t>
  </si>
  <si>
    <t>Mich. 6</t>
  </si>
  <si>
    <t>Mich. 11</t>
  </si>
  <si>
    <t>Mich. 12</t>
  </si>
  <si>
    <t>Mich. 13</t>
  </si>
  <si>
    <t>Minn. 3</t>
  </si>
  <si>
    <t>Minn. 4</t>
  </si>
  <si>
    <t>Minn. 5</t>
  </si>
  <si>
    <t>Miss. 2</t>
  </si>
  <si>
    <t>Mo. 1</t>
  </si>
  <si>
    <t>Mo. 5</t>
  </si>
  <si>
    <t>N.J. 1</t>
  </si>
  <si>
    <t>N.J. 6</t>
  </si>
  <si>
    <t>N.J. 8</t>
  </si>
  <si>
    <t>N.J. 9</t>
  </si>
  <si>
    <t>N.J. 10</t>
  </si>
  <si>
    <t>N.J. 11</t>
  </si>
  <si>
    <t>N.J. 12</t>
  </si>
  <si>
    <t>N.M. 1</t>
  </si>
  <si>
    <t>N.Y. 5</t>
  </si>
  <si>
    <t>N.Y. 6</t>
  </si>
  <si>
    <t>N.Y. 7</t>
  </si>
  <si>
    <t>N.Y. 8</t>
  </si>
  <si>
    <t>N.Y. 9</t>
  </si>
  <si>
    <t>N.Y. 10</t>
  </si>
  <si>
    <t>N.Y. 12</t>
  </si>
  <si>
    <t>N.Y. 13</t>
  </si>
  <si>
    <t>N.Y. 14</t>
  </si>
  <si>
    <t>N.Y. 15</t>
  </si>
  <si>
    <t>N.Y. 16</t>
  </si>
  <si>
    <t>N.Y. 20</t>
  </si>
  <si>
    <t>N.Y. 26</t>
  </si>
  <si>
    <t>N.C. 2</t>
  </si>
  <si>
    <t>N.C. 4</t>
  </si>
  <si>
    <t>N.C. 12</t>
  </si>
  <si>
    <t>N.C. 14</t>
  </si>
  <si>
    <t>Ohio 3</t>
  </si>
  <si>
    <t>Ohio 11</t>
  </si>
  <si>
    <t>Ore. 1</t>
  </si>
  <si>
    <t>Ore. 3</t>
  </si>
  <si>
    <t>Pa. 2</t>
  </si>
  <si>
    <t>Pa. 3</t>
  </si>
  <si>
    <t>Pa. 4</t>
  </si>
  <si>
    <t>Pa. 5</t>
  </si>
  <si>
    <t>Pa. 6</t>
  </si>
  <si>
    <t>R.I. 1</t>
  </si>
  <si>
    <t>S.C. 6</t>
  </si>
  <si>
    <t>Tenn. 9</t>
  </si>
  <si>
    <t>Texas 7</t>
  </si>
  <si>
    <t>Texas 9</t>
  </si>
  <si>
    <t>Texas 16</t>
  </si>
  <si>
    <t>Texas 18</t>
  </si>
  <si>
    <t>Texas 20</t>
  </si>
  <si>
    <t>Texas 29</t>
  </si>
  <si>
    <t>Texas 30</t>
  </si>
  <si>
    <t>Texas 32</t>
  </si>
  <si>
    <t>Texas 33</t>
  </si>
  <si>
    <t>Texas 35</t>
  </si>
  <si>
    <t>Texas 37</t>
  </si>
  <si>
    <t>Vt. 1</t>
  </si>
  <si>
    <t>Va. 3</t>
  </si>
  <si>
    <t>Va. 4</t>
  </si>
  <si>
    <t>Va. 8</t>
  </si>
  <si>
    <t>Va. 11</t>
  </si>
  <si>
    <t>Wash. 1</t>
  </si>
  <si>
    <t>Wash. 2</t>
  </si>
  <si>
    <t>Wash. 6</t>
  </si>
  <si>
    <t>Wash. 7</t>
  </si>
  <si>
    <t>Wash. 9</t>
  </si>
  <si>
    <t>Wash. 10</t>
  </si>
  <si>
    <t>Wis. 2</t>
  </si>
  <si>
    <t>Wis. 4</t>
  </si>
  <si>
    <t>Category</t>
  </si>
  <si>
    <t>Dem Easy</t>
  </si>
  <si>
    <t>listedprob</t>
  </si>
  <si>
    <t>win_prob</t>
  </si>
  <si>
    <t>Alaska 1</t>
  </si>
  <si>
    <t>Ariz. 4</t>
  </si>
  <si>
    <t>Calif. 9</t>
  </si>
  <si>
    <t>Calif. 26</t>
  </si>
  <si>
    <t>Colo. 7</t>
  </si>
  <si>
    <t>Conn. 2</t>
  </si>
  <si>
    <t>Ga. 2</t>
  </si>
  <si>
    <t>Ill. 6</t>
  </si>
  <si>
    <t>Ill. 11</t>
  </si>
  <si>
    <t>Ill. 13</t>
  </si>
  <si>
    <t>Ill. 14</t>
  </si>
  <si>
    <t>Kan. 3</t>
  </si>
  <si>
    <t>Md. 6</t>
  </si>
  <si>
    <t>Mich. 3</t>
  </si>
  <si>
    <t>Mich. 8</t>
  </si>
  <si>
    <t>Nev. 4</t>
  </si>
  <si>
    <t>N.H. 2</t>
  </si>
  <si>
    <t>N.J. 3</t>
  </si>
  <si>
    <t>N.J. 5</t>
  </si>
  <si>
    <t>N.M. 3</t>
  </si>
  <si>
    <t>N.Y. 18</t>
  </si>
  <si>
    <t>N.Y. 25</t>
  </si>
  <si>
    <t>N.C. 1</t>
  </si>
  <si>
    <t>N.C. 6</t>
  </si>
  <si>
    <t>Ohio 9</t>
  </si>
  <si>
    <t>Ore. 4</t>
  </si>
  <si>
    <t>Pa. 12</t>
  </si>
  <si>
    <t>Va. 10</t>
  </si>
  <si>
    <t>Dem Narrow</t>
  </si>
  <si>
    <t>Ariz. 1</t>
  </si>
  <si>
    <t>Calif. 13</t>
  </si>
  <si>
    <t>Calif. 22</t>
  </si>
  <si>
    <t>R+8</t>
  </si>
  <si>
    <t>Calif. 27</t>
  </si>
  <si>
    <t>R+15</t>
  </si>
  <si>
    <t>Calif. 47</t>
  </si>
  <si>
    <t>Calif. 49</t>
  </si>
  <si>
    <t>D+2</t>
  </si>
  <si>
    <t>Colo. 8</t>
  </si>
  <si>
    <t>Conn. 5</t>
  </si>
  <si>
    <t>Ill. 17</t>
  </si>
  <si>
    <t>D+3</t>
  </si>
  <si>
    <t>Ind. 1</t>
  </si>
  <si>
    <t>D+6</t>
  </si>
  <si>
    <t>Maine 2</t>
  </si>
  <si>
    <t>D+4</t>
  </si>
  <si>
    <t>Mich. 7</t>
  </si>
  <si>
    <t>D+5</t>
  </si>
  <si>
    <t>Minn. 2</t>
  </si>
  <si>
    <t>Neb. 2</t>
  </si>
  <si>
    <t>R+4</t>
  </si>
  <si>
    <t>Nev. 1</t>
  </si>
  <si>
    <t>Nev. 3</t>
  </si>
  <si>
    <t>N.H. 1</t>
  </si>
  <si>
    <t>D+7</t>
  </si>
  <si>
    <t>N.M. 2</t>
  </si>
  <si>
    <t>N.Y. 3</t>
  </si>
  <si>
    <t>N.Y. 4</t>
  </si>
  <si>
    <t>N.Y. 17</t>
  </si>
  <si>
    <t>N.Y. 19</t>
  </si>
  <si>
    <t>R+2</t>
  </si>
  <si>
    <t>N.Y. 22</t>
  </si>
  <si>
    <t>N.C. 13</t>
  </si>
  <si>
    <t>Ohio 1</t>
  </si>
  <si>
    <t>Ohio 13</t>
  </si>
  <si>
    <t>Ore. 6</t>
  </si>
  <si>
    <t>Pa. 7</t>
  </si>
  <si>
    <t>D+1.6</t>
  </si>
  <si>
    <t>Pa. 8</t>
  </si>
  <si>
    <t>Pa. 17</t>
  </si>
  <si>
    <t>R.I. 2</t>
  </si>
  <si>
    <t>Texas 28</t>
  </si>
  <si>
    <t>D+13</t>
  </si>
  <si>
    <t>Texas 34</t>
  </si>
  <si>
    <t>D+8</t>
  </si>
  <si>
    <t>Va. 2</t>
  </si>
  <si>
    <t>Va. 7</t>
  </si>
  <si>
    <t>Wash. 8</t>
  </si>
  <si>
    <t>D 53%</t>
  </si>
  <si>
    <t>R 57%</t>
  </si>
  <si>
    <t>R 56%</t>
  </si>
  <si>
    <t>D 69%</t>
  </si>
  <si>
    <t>D 71%</t>
  </si>
  <si>
    <t>D 80%</t>
  </si>
  <si>
    <t>Rep.</t>
  </si>
  <si>
    <t>Competitive</t>
  </si>
  <si>
    <t>Ariz. 2</t>
  </si>
  <si>
    <t>Ariz. 6</t>
  </si>
  <si>
    <t>Calif. 3</t>
  </si>
  <si>
    <t>R 89%</t>
  </si>
  <si>
    <t>Calif. 40</t>
  </si>
  <si>
    <t>Calif. 41</t>
  </si>
  <si>
    <t>Calif. 45</t>
  </si>
  <si>
    <t>Fla. 13</t>
  </si>
  <si>
    <t>Fla. 15</t>
  </si>
  <si>
    <t>Fla. 27</t>
  </si>
  <si>
    <t>Iowa 1</t>
  </si>
  <si>
    <t>Iowa 2</t>
  </si>
  <si>
    <t>Iowa 3</t>
  </si>
  <si>
    <t>Mich. 10</t>
  </si>
  <si>
    <t>Minn. 1</t>
  </si>
  <si>
    <t>Mont. 1</t>
  </si>
  <si>
    <t>N.J. 7</t>
  </si>
  <si>
    <t>N.Y. 1</t>
  </si>
  <si>
    <t>N.Y. 2</t>
  </si>
  <si>
    <t>N.Y. 11</t>
  </si>
  <si>
    <t>Ore. 5</t>
  </si>
  <si>
    <t>Tenn. 5</t>
  </si>
  <si>
    <t>Texas 15</t>
  </si>
  <si>
    <t>Wash. 3</t>
  </si>
  <si>
    <t>Wis. 3</t>
  </si>
  <si>
    <t>Rep Narrow</t>
  </si>
  <si>
    <t>Ala. 1</t>
  </si>
  <si>
    <t>Ala. 2</t>
  </si>
  <si>
    <t>Ala. 3</t>
  </si>
  <si>
    <t>Ala. 4</t>
  </si>
  <si>
    <t>Ala. 5</t>
  </si>
  <si>
    <t>Ala. 6</t>
  </si>
  <si>
    <t>Ariz. 5</t>
  </si>
  <si>
    <t>Ariz. 8</t>
  </si>
  <si>
    <t>Rep. Uncontested(Unc.)</t>
  </si>
  <si>
    <t>Ariz. 9</t>
  </si>
  <si>
    <t>Ark. 1</t>
  </si>
  <si>
    <t>Ark. 2</t>
  </si>
  <si>
    <t>Ark. 3</t>
  </si>
  <si>
    <t>Ark. 4</t>
  </si>
  <si>
    <t>Calif. 1</t>
  </si>
  <si>
    <t>Calif. 5</t>
  </si>
  <si>
    <t>Calif. 20</t>
  </si>
  <si>
    <t>Calif. 23</t>
  </si>
  <si>
    <t>Calif. 48</t>
  </si>
  <si>
    <t>Colo. 3</t>
  </si>
  <si>
    <t>R 68%</t>
  </si>
  <si>
    <t>Colo. 4</t>
  </si>
  <si>
    <t>Colo. 5</t>
  </si>
  <si>
    <t>Fla. 1</t>
  </si>
  <si>
    <t>Fla. 2</t>
  </si>
  <si>
    <t>Fla. 3</t>
  </si>
  <si>
    <t>Fla. 4</t>
  </si>
  <si>
    <t>Fla. 5</t>
  </si>
  <si>
    <t>Fla. 6</t>
  </si>
  <si>
    <t>Fla. 7</t>
  </si>
  <si>
    <t>Fla. 8</t>
  </si>
  <si>
    <t>Fla. 11</t>
  </si>
  <si>
    <t>Fla. 12</t>
  </si>
  <si>
    <t>Fla. 16</t>
  </si>
  <si>
    <t>Fla. 17</t>
  </si>
  <si>
    <t>Fla. 18</t>
  </si>
  <si>
    <t>Fla. 19</t>
  </si>
  <si>
    <t>Fla. 21</t>
  </si>
  <si>
    <t>Fla. 26</t>
  </si>
  <si>
    <t>Fla. 28</t>
  </si>
  <si>
    <t>Ga. 1</t>
  </si>
  <si>
    <t>Ga. 3</t>
  </si>
  <si>
    <t>Ga. 6</t>
  </si>
  <si>
    <t>Ga. 8</t>
  </si>
  <si>
    <t>Ga. 9</t>
  </si>
  <si>
    <t>Ga. 10</t>
  </si>
  <si>
    <t>Ga. 11</t>
  </si>
  <si>
    <t>Ga. 12</t>
  </si>
  <si>
    <t>Ga. 14</t>
  </si>
  <si>
    <t>Idaho 1</t>
  </si>
  <si>
    <t>Idaho 2</t>
  </si>
  <si>
    <t>Ill. 12</t>
  </si>
  <si>
    <t>Ill. 15</t>
  </si>
  <si>
    <t>Ill. 16</t>
  </si>
  <si>
    <t>Ind. 2</t>
  </si>
  <si>
    <t>Ind. 3</t>
  </si>
  <si>
    <t>Ind. 4</t>
  </si>
  <si>
    <t>Ind. 5</t>
  </si>
  <si>
    <t>Ind. 6</t>
  </si>
  <si>
    <t>Ind. 8</t>
  </si>
  <si>
    <t>Ind. 9</t>
  </si>
  <si>
    <t>Iowa 4</t>
  </si>
  <si>
    <t>Kan. 1</t>
  </si>
  <si>
    <t>Kan. 2</t>
  </si>
  <si>
    <t>Kan. 4</t>
  </si>
  <si>
    <t>Ky. 1</t>
  </si>
  <si>
    <t>Ky. 2</t>
  </si>
  <si>
    <t>Ky. 4</t>
  </si>
  <si>
    <t>Ky. 5</t>
  </si>
  <si>
    <t>Ky. 6</t>
  </si>
  <si>
    <t>La. 1</t>
  </si>
  <si>
    <t>La. 3</t>
  </si>
  <si>
    <t>La. 4</t>
  </si>
  <si>
    <t>La. 5</t>
  </si>
  <si>
    <t>La. 6</t>
  </si>
  <si>
    <t>Md. 1</t>
  </si>
  <si>
    <t>Mich. 1</t>
  </si>
  <si>
    <t>Mich. 2</t>
  </si>
  <si>
    <t>Mich. 4</t>
  </si>
  <si>
    <t>Mich. 5</t>
  </si>
  <si>
    <t>Mich. 9</t>
  </si>
  <si>
    <t>Minn. 6</t>
  </si>
  <si>
    <t>Minn. 7</t>
  </si>
  <si>
    <t>Minn. 8</t>
  </si>
  <si>
    <t>Miss. 1</t>
  </si>
  <si>
    <t>Miss. 3</t>
  </si>
  <si>
    <t>Miss. 4</t>
  </si>
  <si>
    <t>Mo. 2</t>
  </si>
  <si>
    <t>Mo. 3</t>
  </si>
  <si>
    <t>Mo. 4</t>
  </si>
  <si>
    <t>Mo. 6</t>
  </si>
  <si>
    <t>Mo. 7</t>
  </si>
  <si>
    <t>Mo. 8</t>
  </si>
  <si>
    <t>Mont. 2</t>
  </si>
  <si>
    <t>Neb. 1</t>
  </si>
  <si>
    <t>Neb. 3</t>
  </si>
  <si>
    <t>Nev. 2</t>
  </si>
  <si>
    <t>N.J. 2</t>
  </si>
  <si>
    <t>N.J. 4</t>
  </si>
  <si>
    <t>N.Y. 21</t>
  </si>
  <si>
    <t>N.Y. 23</t>
  </si>
  <si>
    <t>N.Y. 24</t>
  </si>
  <si>
    <t>N.C. 3</t>
  </si>
  <si>
    <t>N.C. 5</t>
  </si>
  <si>
    <t>N.C. 7</t>
  </si>
  <si>
    <t>N.C. 8</t>
  </si>
  <si>
    <t>N.C. 9</t>
  </si>
  <si>
    <t>N.C. 10</t>
  </si>
  <si>
    <t>N.C. 11</t>
  </si>
  <si>
    <t>N.D. 1</t>
  </si>
  <si>
    <t>Ohio 2</t>
  </si>
  <si>
    <t>Ohio 4</t>
  </si>
  <si>
    <t>Ohio 5</t>
  </si>
  <si>
    <t>Ohio 6</t>
  </si>
  <si>
    <t>Ohio 7</t>
  </si>
  <si>
    <t>Ohio 8</t>
  </si>
  <si>
    <t>Ohio 10</t>
  </si>
  <si>
    <t>Ohio 12</t>
  </si>
  <si>
    <t>Ohio 14</t>
  </si>
  <si>
    <t>Ohio 15</t>
  </si>
  <si>
    <t>Okla. 1</t>
  </si>
  <si>
    <t>Okla. 2</t>
  </si>
  <si>
    <t>Okla. 3</t>
  </si>
  <si>
    <t>Okla. 4</t>
  </si>
  <si>
    <t>Okla. 5</t>
  </si>
  <si>
    <t>Ore. 2</t>
  </si>
  <si>
    <t>Pa. 1</t>
  </si>
  <si>
    <t>Pa. 9</t>
  </si>
  <si>
    <t>Pa. 10</t>
  </si>
  <si>
    <t>Pa. 11</t>
  </si>
  <si>
    <t>Pa. 13</t>
  </si>
  <si>
    <t>Pa. 14</t>
  </si>
  <si>
    <t>Pa. 15</t>
  </si>
  <si>
    <t>Pa. 16</t>
  </si>
  <si>
    <t>S.C. 1</t>
  </si>
  <si>
    <t>S.C. 2</t>
  </si>
  <si>
    <t>S.C. 3</t>
  </si>
  <si>
    <t>S.C. 4</t>
  </si>
  <si>
    <t>S.C. 5</t>
  </si>
  <si>
    <t>S.C. 7</t>
  </si>
  <si>
    <t>S.D. 1</t>
  </si>
  <si>
    <t>Tenn. 1</t>
  </si>
  <si>
    <t>Tenn. 2</t>
  </si>
  <si>
    <t>Tenn. 3</t>
  </si>
  <si>
    <t>Tenn. 4</t>
  </si>
  <si>
    <t>Tenn. 6</t>
  </si>
  <si>
    <t>Tenn. 7</t>
  </si>
  <si>
    <t>Tenn. 8</t>
  </si>
  <si>
    <t>Texas 1</t>
  </si>
  <si>
    <t>Texas 2</t>
  </si>
  <si>
    <t>Texas 3</t>
  </si>
  <si>
    <t>Texas 4</t>
  </si>
  <si>
    <t>Texas 5</t>
  </si>
  <si>
    <t>Texas 6</t>
  </si>
  <si>
    <t>Texas 8</t>
  </si>
  <si>
    <t>Texas 10</t>
  </si>
  <si>
    <t>Texas 11</t>
  </si>
  <si>
    <t>Texas 12</t>
  </si>
  <si>
    <t>Texas 13</t>
  </si>
  <si>
    <t>Texas 14</t>
  </si>
  <si>
    <t>Texas 17</t>
  </si>
  <si>
    <t>Texas 19</t>
  </si>
  <si>
    <t>Texas 21</t>
  </si>
  <si>
    <t>Texas 22</t>
  </si>
  <si>
    <t>Texas 23</t>
  </si>
  <si>
    <t>Texas 24</t>
  </si>
  <si>
    <t>Texas 25</t>
  </si>
  <si>
    <t>Texas 26</t>
  </si>
  <si>
    <t>Texas 27</t>
  </si>
  <si>
    <t>Texas 31</t>
  </si>
  <si>
    <t>Texas 36</t>
  </si>
  <si>
    <t>Texas 38</t>
  </si>
  <si>
    <t>Utah 1</t>
  </si>
  <si>
    <t>Utah 2</t>
  </si>
  <si>
    <t>Utah 3</t>
  </si>
  <si>
    <t>Utah 4</t>
  </si>
  <si>
    <t>Va. 1</t>
  </si>
  <si>
    <t>Va. 5</t>
  </si>
  <si>
    <t>Va. 6</t>
  </si>
  <si>
    <t>Va. 9</t>
  </si>
  <si>
    <t>Wash. 4</t>
  </si>
  <si>
    <t>Wash. 5</t>
  </si>
  <si>
    <t>W.Va. 1</t>
  </si>
  <si>
    <t>W.Va. 2</t>
  </si>
  <si>
    <t>Wis. 1</t>
  </si>
  <si>
    <t>Wis. 5</t>
  </si>
  <si>
    <t>Wis. 6</t>
  </si>
  <si>
    <t>Wis. 7</t>
  </si>
  <si>
    <t>Wis. 8</t>
  </si>
  <si>
    <t>Wyo. 1</t>
  </si>
  <si>
    <t>Rep Easy</t>
  </si>
  <si>
    <t>Favored</t>
  </si>
  <si>
    <t>Expected D</t>
  </si>
  <si>
    <t>Expected R</t>
  </si>
  <si>
    <t>The Race for the House</t>
  </si>
  <si>
    <t>Current Votes</t>
  </si>
  <si>
    <t>D+29</t>
  </si>
  <si>
    <t>D+28</t>
  </si>
  <si>
    <t>D+44</t>
  </si>
  <si>
    <t>D+35</t>
  </si>
  <si>
    <t>D+12</t>
  </si>
  <si>
    <t>D+31</t>
  </si>
  <si>
    <t>D+49</t>
  </si>
  <si>
    <t>D+63</t>
  </si>
  <si>
    <t>D+17</t>
  </si>
  <si>
    <t>D+39</t>
  </si>
  <si>
    <t>D+30</t>
  </si>
  <si>
    <t>D+21</t>
  </si>
  <si>
    <t>D+23</t>
  </si>
  <si>
    <t>D+26</t>
  </si>
  <si>
    <t>D+24</t>
  </si>
  <si>
    <t>D+10</t>
  </si>
  <si>
    <t>D+15</t>
  </si>
  <si>
    <t>D+48</t>
  </si>
  <si>
    <t>D+36</t>
  </si>
  <si>
    <t>D+16</t>
  </si>
  <si>
    <t>D+20</t>
  </si>
  <si>
    <t>D+18</t>
  </si>
  <si>
    <t>D+14</t>
  </si>
  <si>
    <t>D+45</t>
  </si>
  <si>
    <t>D+57</t>
  </si>
  <si>
    <t>D+65</t>
  </si>
  <si>
    <t>D+22</t>
  </si>
  <si>
    <t>D+64</t>
  </si>
  <si>
    <t>D+50</t>
  </si>
  <si>
    <t>D+33</t>
  </si>
  <si>
    <t>D+34</t>
  </si>
  <si>
    <t>D+37</t>
  </si>
  <si>
    <t>D Uncontested(Unc.)</t>
  </si>
  <si>
    <t>D+54</t>
  </si>
  <si>
    <t>D+55</t>
  </si>
  <si>
    <t>D+32</t>
  </si>
  <si>
    <t>D+27</t>
  </si>
  <si>
    <t>D+47</t>
  </si>
  <si>
    <t>D+69</t>
  </si>
  <si>
    <t>D+40</t>
  </si>
  <si>
    <t>D+19</t>
  </si>
  <si>
    <t>D+56</t>
  </si>
  <si>
    <t>D+11</t>
  </si>
  <si>
    <t>D+61</t>
  </si>
  <si>
    <t>D+43</t>
  </si>
  <si>
    <t>D+25</t>
  </si>
  <si>
    <t>D+53</t>
  </si>
  <si>
    <t>D+46</t>
  </si>
  <si>
    <t>D+42</t>
  </si>
  <si>
    <t>D+9</t>
  </si>
  <si>
    <t>R+7</t>
  </si>
  <si>
    <t>R+6</t>
  </si>
  <si>
    <t>R+18</t>
  </si>
  <si>
    <t>R+11</t>
  </si>
  <si>
    <t>R+17</t>
  </si>
  <si>
    <t>R+0.49</t>
  </si>
  <si>
    <t>R+12</t>
  </si>
  <si>
    <t>R+5</t>
  </si>
  <si>
    <t>R+22</t>
  </si>
  <si>
    <t>R+24</t>
  </si>
  <si>
    <t>R+3</t>
  </si>
  <si>
    <t>R+14</t>
  </si>
  <si>
    <t>R+9</t>
  </si>
  <si>
    <t>R+68</t>
  </si>
  <si>
    <t>R+40</t>
  </si>
  <si>
    <t>R+46</t>
  </si>
  <si>
    <t>R+71</t>
  </si>
  <si>
    <t>R+38</t>
  </si>
  <si>
    <t>R+69</t>
  </si>
  <si>
    <t>R Uncontested(Unc.)</t>
  </si>
  <si>
    <t>R+49</t>
  </si>
  <si>
    <t>R+25</t>
  </si>
  <si>
    <t>R+31</t>
  </si>
  <si>
    <t>R+45</t>
  </si>
  <si>
    <t>R+19</t>
  </si>
  <si>
    <t>R+20</t>
  </si>
  <si>
    <t>R+35</t>
  </si>
  <si>
    <t>R+23</t>
  </si>
  <si>
    <t>R+36</t>
  </si>
  <si>
    <t>R+26</t>
  </si>
  <si>
    <t>R+21</t>
  </si>
  <si>
    <t>R+51</t>
  </si>
  <si>
    <t>R+30</t>
  </si>
  <si>
    <t>R+28</t>
  </si>
  <si>
    <t>R+41</t>
  </si>
  <si>
    <t>R+27</t>
  </si>
  <si>
    <t>R+42</t>
  </si>
  <si>
    <t>R+37</t>
  </si>
  <si>
    <t>R+29</t>
  </si>
  <si>
    <t>R+32</t>
  </si>
  <si>
    <t>R+43</t>
  </si>
  <si>
    <t>R+33</t>
  </si>
  <si>
    <t>R+34</t>
  </si>
  <si>
    <t>R+16</t>
  </si>
  <si>
    <t>R+50</t>
  </si>
  <si>
    <t>R+44</t>
  </si>
  <si>
    <t>R+48</t>
  </si>
  <si>
    <t>R+53</t>
  </si>
  <si>
    <t>R+52</t>
  </si>
  <si>
    <t>R+67</t>
  </si>
  <si>
    <t>R+39</t>
  </si>
  <si>
    <t>R+54</t>
  </si>
  <si>
    <t>R+63</t>
  </si>
  <si>
    <t>R+13</t>
  </si>
  <si>
    <t>R+10</t>
  </si>
  <si>
    <t>R+55</t>
  </si>
  <si>
    <t>R+59</t>
  </si>
  <si>
    <t>R+56</t>
  </si>
  <si>
    <t>R+61</t>
  </si>
  <si>
    <t>R+47</t>
  </si>
  <si>
    <t>R+57</t>
  </si>
  <si>
    <t>Numeric Margin</t>
  </si>
  <si>
    <t>D 2pv</t>
  </si>
  <si>
    <t>D pct</t>
  </si>
  <si>
    <t>D remaining pct</t>
  </si>
  <si>
    <t>D captured of remain</t>
  </si>
  <si>
    <t>D total</t>
  </si>
  <si>
    <t>Shifted Winner</t>
  </si>
  <si>
    <t>Shifting the remaining votes would result in the house breakdown below:</t>
  </si>
  <si>
    <t>Lake +43</t>
  </si>
  <si>
    <t>Confirmed Calls (other outlets)</t>
  </si>
  <si>
    <t>Call</t>
  </si>
  <si>
    <t>D</t>
  </si>
  <si>
    <t>R</t>
  </si>
  <si>
    <t>idx</t>
  </si>
  <si>
    <t>total</t>
  </si>
  <si>
    <t>D won</t>
  </si>
  <si>
    <t>R won</t>
  </si>
  <si>
    <t>remain</t>
  </si>
  <si>
    <t>R+1.5</t>
  </si>
  <si>
    <t>Source</t>
  </si>
  <si>
    <t>DDHQ</t>
  </si>
  <si>
    <t>ABC</t>
  </si>
  <si>
    <t>narrow</t>
  </si>
  <si>
    <t>competitive</t>
  </si>
  <si>
    <t>flip</t>
  </si>
  <si>
    <t>R+64</t>
  </si>
  <si>
    <t>competitive flip</t>
  </si>
  <si>
    <t>Lake +25</t>
  </si>
  <si>
    <t>% Reporting</t>
  </si>
  <si>
    <t>t</t>
  </si>
  <si>
    <t>a</t>
  </si>
  <si>
    <t>AP</t>
  </si>
  <si>
    <t>Lake +18</t>
  </si>
  <si>
    <t>Lake +31</t>
  </si>
  <si>
    <t>Hobbs +33</t>
  </si>
  <si>
    <t>D+60</t>
  </si>
  <si>
    <t>D+51</t>
  </si>
  <si>
    <t>D+90</t>
  </si>
  <si>
    <t>R+0.35</t>
  </si>
  <si>
    <t>R+0.69</t>
  </si>
  <si>
    <t>Lake +7</t>
  </si>
  <si>
    <t>If the remaining votes shift toward</t>
  </si>
  <si>
    <t>she will take the lead</t>
  </si>
  <si>
    <t>D+0.73</t>
  </si>
  <si>
    <t>Lake +28</t>
  </si>
  <si>
    <t>Lake +50</t>
  </si>
  <si>
    <t>Lake +13</t>
  </si>
  <si>
    <t>Lake +40</t>
  </si>
  <si>
    <t>D+71</t>
  </si>
  <si>
    <t>n</t>
  </si>
  <si>
    <t>D+80</t>
  </si>
  <si>
    <t>Hobbs +22</t>
  </si>
  <si>
    <t>Hobbs +26</t>
  </si>
  <si>
    <t>Hobbs +3</t>
  </si>
  <si>
    <t>Lake +16</t>
  </si>
  <si>
    <t>D+52</t>
  </si>
  <si>
    <t>D+41</t>
  </si>
  <si>
    <t>D+68</t>
  </si>
  <si>
    <t>D+79</t>
  </si>
  <si>
    <t>D+0.99</t>
  </si>
  <si>
    <t>R+0.87</t>
  </si>
  <si>
    <t>D+0.53</t>
  </si>
  <si>
    <t>D+0.81</t>
  </si>
  <si>
    <t>D+0.69</t>
  </si>
  <si>
    <t>R+0.82</t>
  </si>
  <si>
    <t>R+1.6</t>
  </si>
  <si>
    <t>D+1.5</t>
  </si>
  <si>
    <t>D+1.1</t>
  </si>
  <si>
    <t>NYT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</si>
</sst>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1"/>
      <name val="Roboto Slab"/>
    </font>
    <font>
      <b/>
      <sz val="16"/>
      <color theme="1"/>
      <name val="Roboto Slab"/>
    </font>
    <font>
      <sz val="12"/>
      <color theme="1"/>
      <name val="Calibri Light"/>
      <family val="2"/>
      <scheme val="major"/>
    </font>
    <font>
      <sz val="14"/>
      <color theme="1"/>
      <name val="Roboto Slab Light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26"/>
      <color theme="1"/>
      <name val="Roboto Slab"/>
    </font>
    <font>
      <b/>
      <sz val="18"/>
      <color theme="4"/>
      <name val="Roboto Slab"/>
    </font>
    <font>
      <b/>
      <sz val="18"/>
      <color theme="9"/>
      <name val="Roboto Slab"/>
    </font>
    <font>
      <b/>
      <sz val="14"/>
      <color theme="4"/>
      <name val="Calibri Light"/>
      <family val="2"/>
      <scheme val="major"/>
    </font>
    <font>
      <b/>
      <sz val="14"/>
      <color theme="9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  <xf numFmtId="3" fontId="2" fillId="0" borderId="0" xfId="0" applyNumberFormat="1" applyFont="1" applyAlignment="1">
      <alignment horizontal="right"/>
    </xf>
    <xf numFmtId="164" fontId="2" fillId="0" borderId="0" xfId="1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center"/>
    </xf>
    <xf numFmtId="164" fontId="2" fillId="2" borderId="0" xfId="0" applyNumberFormat="1" applyFont="1" applyFill="1"/>
    <xf numFmtId="0" fontId="2" fillId="0" borderId="0" xfId="0" applyNumberFormat="1" applyFont="1"/>
    <xf numFmtId="1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/>
    <xf numFmtId="9" fontId="2" fillId="0" borderId="0" xfId="1" applyFont="1"/>
    <xf numFmtId="9" fontId="2" fillId="0" borderId="0" xfId="1" applyNumberFormat="1" applyFont="1"/>
    <xf numFmtId="9" fontId="14" fillId="0" borderId="0" xfId="1" applyNumberFormat="1" applyFont="1"/>
    <xf numFmtId="0" fontId="14" fillId="0" borderId="0" xfId="0" applyFont="1"/>
    <xf numFmtId="0" fontId="13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1" applyNumberFormat="1" applyFont="1" applyAlignment="1">
      <alignment horizontal="center"/>
    </xf>
    <xf numFmtId="0" fontId="2" fillId="0" borderId="0" xfId="1" applyNumberFormat="1" applyFont="1"/>
    <xf numFmtId="0" fontId="2" fillId="0" borderId="0" xfId="0" applyNumberFormat="1" applyFont="1" applyAlignment="1"/>
    <xf numFmtId="0" fontId="8" fillId="0" borderId="0" xfId="0" applyNumberFormat="1" applyFo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41">
    <dxf>
      <font>
        <color theme="4"/>
      </font>
    </dxf>
    <dxf>
      <font>
        <color theme="9"/>
      </font>
    </dxf>
    <dxf>
      <font>
        <color theme="4"/>
      </font>
    </dxf>
    <dxf>
      <font>
        <color theme="9"/>
      </font>
    </dxf>
    <dxf>
      <font>
        <color theme="4"/>
      </font>
    </dxf>
    <dxf>
      <font>
        <color theme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64" formatCode="0.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64" formatCode="0.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3" formatCode="0%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8:J23" totalsRowShown="0" headerRowDxfId="40" dataDxfId="39">
  <autoFilter ref="B8:J23"/>
  <tableColumns count="9">
    <tableColumn id="1" name="County" dataDxfId="38"/>
    <tableColumn id="2" name="Leader" dataDxfId="37"/>
    <tableColumn id="3" name="Votes" dataDxfId="36"/>
    <tableColumn id="4" name="% in" dataDxfId="35"/>
    <tableColumn id="5" name="Expected Votes" dataDxfId="34">
      <calculatedColumnFormula>IFERROR(Table1[[#This Row],[Votes]]/Table1[[#This Row],[% in]],L9)</calculatedColumnFormula>
    </tableColumn>
    <tableColumn id="6" name="Expected Remain" dataDxfId="33">
      <calculatedColumnFormula>Table1[[#This Row],[Expected Votes]]-Table1[[#This Row],[Votes]]</calculatedColumnFormula>
    </tableColumn>
    <tableColumn id="7" name="Margin" dataDxfId="32">
      <calculatedColumnFormula>MID(Table1[[#This Row],[Leader]],FIND("+",Table1[[#This Row],[Leader]])+1,LEN(Table1[[#This Row],[Leader]]))</calculatedColumnFormula>
    </tableColumn>
    <tableColumn id="8" name="Current Hobbs" dataDxfId="31" dataCellStyle="Percent">
      <calculatedColumnFormula>IF(LEFT(Table1[[#This Row],[Leader]],1)="H",(Table1[[#This Row],[Margin]]/2+50)/100,(-Table1[[#This Row],[Margin]]/2+50)/100)</calculatedColumnFormula>
    </tableColumn>
    <tableColumn id="9" name="Shifted Hobbs" dataDxfId="30" dataCellStyle="Percent">
      <calculatedColumnFormula>MIN(MAX(Table1[[#This Row],[Current Hobbs]]+$I$29,0),1)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9:R444" totalsRowShown="0" headerRowDxfId="29" dataDxfId="28">
  <autoFilter ref="B9:R444"/>
  <sortState ref="B27:R275">
    <sortCondition ref="B9:B444"/>
  </sortState>
  <tableColumns count="17">
    <tableColumn id="20" name="idx" dataDxfId="27" dataCellStyle="Percent"/>
    <tableColumn id="1" name="District" dataDxfId="26"/>
    <tableColumn id="2" name="win_prob" dataDxfId="25"/>
    <tableColumn id="3" name="Percent of votes in% In" dataDxfId="24"/>
    <tableColumn id="11" name="Margin" dataDxfId="23"/>
    <tableColumn id="5" name="Category" dataDxfId="22"/>
    <tableColumn id="6" name="listedprob" dataDxfId="21">
      <calculatedColumnFormula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calculatedColumnFormula>
    </tableColumn>
    <tableColumn id="8" name="Favored" dataDxfId="20">
      <calculatedColumnFormula>IF(OR(LEFT(Table4[[#This Row],[win_prob]],1)="D",LEFT(Table4[[#This Row],[win_prob]],1)="R"),LEFT(Table4[[#This Row],[win_prob]],1),LEFT(Table4[[#This Row],[Category]],1))</calculatedColumnFormula>
    </tableColumn>
    <tableColumn id="9" name="Expected D" dataDxfId="19">
      <calculatedColumnFormula>IFERROR(IF(INDEX(Table5[Call],MATCH(Table4[[#This Row],[District]],Table5[Confirmed Calls (other outlets)],0))="D",1,"not here"),IF(Table4[[#This Row],[Favored]]="D",Table4[[#This Row],[listedprob]],1-Table4[[#This Row],[listedprob]]))</calculatedColumnFormula>
    </tableColumn>
    <tableColumn id="10" name="Expected R" dataDxfId="18">
      <calculatedColumnFormula>IFERROR(IF(INDEX(Table5[Call],MATCH(Table4[[#This Row],[District]],Table5[Confirmed Calls (other outlets)],0))="R",1,"not here"),IF(Table4[[#This Row],[Favored]]="R",Table4[[#This Row],[listedprob]],1-Table4[[#This Row],[listedprob]]))</calculatedColumnFormula>
    </tableColumn>
    <tableColumn id="12" name="Numeric Margin" dataDxfId="17">
      <calculatedColumnFormula>RIGHT(Table4[[#This Row],[Margin]],LEN(Table4[[#This Row],[Margin]])-FIND("+",Table4[[#This Row],[Margin]]))</calculatedColumnFormula>
    </tableColumn>
    <tableColumn id="13" name="D 2pv" dataDxfId="16" dataCellStyle="Percent">
      <calculatedColumnFormula>IF(Table4[[#This Row],[listedprob]]=1,"called",IF(LEFT(Table4[[#This Row],[Margin]],1)="D",(Table4[[#This Row],[Numeric Margin]]/2+50)/100,(-Table4[[#This Row],[Numeric Margin]]/2+50)/100))</calculatedColumnFormula>
    </tableColumn>
    <tableColumn id="14" name="D pct" dataDxfId="15" dataCellStyle="Percent">
      <calculatedColumnFormula>IFERROR(IF(Table4[[#This Row],[D 2pv]]="called","called",Table4[[#This Row],[D 2pv]]*Table4[[#This Row],[Percent of votes in% In]]),Table4[[#This Row],[D 2pv]]*0.95)</calculatedColumnFormula>
    </tableColumn>
    <tableColumn id="15" name="D remaining pct" dataDxfId="14" dataCellStyle="Percent">
      <calculatedColumnFormula>IF(Table4[[#This Row],[D pct]]="called","called",(Table4[[#This Row],[D 2pv]]+$E$7))</calculatedColumnFormula>
    </tableColumn>
    <tableColumn id="16" name="D captured of remain" dataDxfId="13" dataCellStyle="Percent">
      <calculatedColumnFormula>IFERROR(IF(Table4[[#This Row],[D remaining pct]]="called","called",Table4[[#This Row],[D remaining pct]]*(1-Table4[[#This Row],[Percent of votes in% In]])),Table4[[#This Row],[D remaining pct]]*0.05)</calculatedColumnFormula>
    </tableColumn>
    <tableColumn id="17" name="D total" dataDxfId="12" dataCellStyle="Percent">
      <calculatedColumnFormula>IF(Table4[[#This Row],[D captured of remain]]="called","called",Table4[[#This Row],[D captured of remain]]+Table4[[#This Row],[D pct]])</calculatedColumnFormula>
    </tableColumn>
    <tableColumn id="18" name="Shifted Winner" dataDxfId="11" dataCellStyle="Percent">
      <calculatedColumnFormula>IF(Table4[[#This Row],[Expected D]]=1,"D",IF(Table4[[#This Row],[Expected R]]=1,"R",IF(Table4[[#This Row],[D total]]&gt;=0.5,"D","R")))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T9:V47" totalsRowShown="0" headerRowDxfId="10" dataDxfId="9">
  <autoFilter ref="T9:V47"/>
  <sortState ref="T10:V53">
    <sortCondition ref="T9:T53"/>
  </sortState>
  <tableColumns count="3">
    <tableColumn id="1" name="Confirmed Calls (other outlets)" dataDxfId="8"/>
    <tableColumn id="2" name="Call" dataDxfId="7"/>
    <tableColumn id="3" name="Sourc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showGridLines="0" zoomScaleNormal="100" workbookViewId="0">
      <selection activeCell="I24" sqref="I24"/>
    </sheetView>
  </sheetViews>
  <sheetFormatPr defaultColWidth="8.7265625" defaultRowHeight="14.5" x14ac:dyDescent="0.35"/>
  <cols>
    <col min="1" max="1" width="3.54296875" style="2" customWidth="1"/>
    <col min="2" max="2" width="9.54296875" style="2" bestFit="1" customWidth="1"/>
    <col min="3" max="3" width="11.81640625" style="2" customWidth="1"/>
    <col min="4" max="4" width="8.81640625" style="2" customWidth="1"/>
    <col min="5" max="5" width="6.54296875" style="2" customWidth="1"/>
    <col min="6" max="6" width="16.81640625" style="2" customWidth="1"/>
    <col min="7" max="7" width="17.1796875" style="2" bestFit="1" customWidth="1"/>
    <col min="8" max="9" width="15.453125" style="2" bestFit="1" customWidth="1"/>
    <col min="10" max="10" width="13.81640625" style="2" bestFit="1" customWidth="1"/>
    <col min="11" max="11" width="8.7265625" style="2"/>
    <col min="12" max="12" width="10.26953125" style="2" bestFit="1" customWidth="1"/>
    <col min="13" max="16384" width="8.7265625" style="2"/>
  </cols>
  <sheetData>
    <row r="2" spans="2:14" ht="23.5" x14ac:dyDescent="0.65">
      <c r="B2" s="10" t="s">
        <v>29</v>
      </c>
    </row>
    <row r="3" spans="2:14" ht="19.5" x14ac:dyDescent="0.5">
      <c r="B3" s="11" t="str">
        <f>I31&amp;" currently leads "&amp;I32&amp; " by "</f>
        <v xml:space="preserve">Hobbs currently leads Lake by </v>
      </c>
      <c r="D3" s="9"/>
      <c r="F3" s="12" t="str">
        <f>TEXT(ABS(I28-0.5)*2,"0.0%")</f>
        <v>0.9%</v>
      </c>
    </row>
    <row r="4" spans="2:14" ht="3.65" customHeight="1" x14ac:dyDescent="0.35"/>
    <row r="5" spans="2:14" ht="15.5" x14ac:dyDescent="0.35">
      <c r="B5" s="13" t="s">
        <v>660</v>
      </c>
      <c r="E5" s="14" t="str">
        <f>I32</f>
        <v>Lake</v>
      </c>
      <c r="F5" s="13" t="str">
        <f>"by "&amp;TEXT(ABS(I29),"0.0%")</f>
        <v>by 0.6%</v>
      </c>
    </row>
    <row r="6" spans="2:14" ht="15.5" x14ac:dyDescent="0.35">
      <c r="B6" s="13" t="s">
        <v>661</v>
      </c>
    </row>
    <row r="7" spans="2:14" ht="10" customHeight="1" x14ac:dyDescent="0.35"/>
    <row r="8" spans="2:14" x14ac:dyDescent="0.35"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23</v>
      </c>
      <c r="I8" s="2" t="s">
        <v>22</v>
      </c>
      <c r="J8" s="2" t="s">
        <v>27</v>
      </c>
      <c r="L8" s="2" t="s">
        <v>31</v>
      </c>
    </row>
    <row r="9" spans="2:14" x14ac:dyDescent="0.35">
      <c r="B9" s="2" t="s">
        <v>0</v>
      </c>
      <c r="C9" s="2" t="s">
        <v>672</v>
      </c>
      <c r="D9" s="3">
        <v>1456918</v>
      </c>
      <c r="E9" s="4">
        <v>0.93</v>
      </c>
      <c r="F9" s="3">
        <f>IFERROR(Table1[[#This Row],[Votes]]/Table1[[#This Row],[% in]],L9)</f>
        <v>1566578.4946236559</v>
      </c>
      <c r="G9" s="3">
        <f>Table1[[#This Row],[Expected Votes]]-Table1[[#This Row],[Votes]]</f>
        <v>109660.49462365592</v>
      </c>
      <c r="H9" s="5" t="str">
        <f>MID(Table1[[#This Row],[Leader]],FIND("+",Table1[[#This Row],[Leader]])+1,LEN(Table1[[#This Row],[Leader]]))</f>
        <v>3</v>
      </c>
      <c r="I9" s="6">
        <f>IF(LEFT(Table1[[#This Row],[Leader]],1)="H",(Table1[[#This Row],[Margin]]/2+50)/100,(-Table1[[#This Row],[Margin]]/2+50)/100)</f>
        <v>0.51500000000000001</v>
      </c>
      <c r="J9" s="6">
        <f>MIN(MAX(Table1[[#This Row],[Current Hobbs]]+$I$29,0),1)</f>
        <v>0.50900000000000001</v>
      </c>
      <c r="L9" s="3">
        <v>1566578.4946236559</v>
      </c>
      <c r="M9" s="2" t="str">
        <f>IF(L9=Table1[[#This Row],[Expected Votes]],"",IF(Table1[[#This Row],[% in]]="&gt;95%","SET","update"))</f>
        <v/>
      </c>
    </row>
    <row r="10" spans="2:14" x14ac:dyDescent="0.35">
      <c r="B10" s="2" t="s">
        <v>1</v>
      </c>
      <c r="C10" s="2" t="s">
        <v>670</v>
      </c>
      <c r="D10" s="3">
        <v>360623</v>
      </c>
      <c r="E10" s="4">
        <v>0.9</v>
      </c>
      <c r="F10" s="3">
        <f>IFERROR(Table1[[#This Row],[Votes]]/Table1[[#This Row],[% in]],L10)</f>
        <v>400692.22222222219</v>
      </c>
      <c r="G10" s="3">
        <f>Table1[[#This Row],[Expected Votes]]-Table1[[#This Row],[Votes]]</f>
        <v>40069.22222222219</v>
      </c>
      <c r="H10" s="5" t="str">
        <f>MID(Table1[[#This Row],[Leader]],FIND("+",Table1[[#This Row],[Leader]])+1,LEN(Table1[[#This Row],[Leader]]))</f>
        <v>22</v>
      </c>
      <c r="I10" s="6">
        <f>IF(LEFT(Table1[[#This Row],[Leader]],1)="H",(Table1[[#This Row],[Margin]]/2+50)/100,(-Table1[[#This Row],[Margin]]/2+50)/100)</f>
        <v>0.61</v>
      </c>
      <c r="J10" s="6">
        <f>MIN(MAX(Table1[[#This Row],[Current Hobbs]]+$I$29,0),1)</f>
        <v>0.60399999999999998</v>
      </c>
      <c r="L10" s="3">
        <v>400692.22222222219</v>
      </c>
      <c r="M10" s="2" t="str">
        <f>IF(L10=Table1[[#This Row],[Expected Votes]],"",IF(Table1[[#This Row],[% in]]="&gt;95%","SET","update"))</f>
        <v/>
      </c>
    </row>
    <row r="11" spans="2:14" x14ac:dyDescent="0.35">
      <c r="B11" s="2" t="s">
        <v>2</v>
      </c>
      <c r="C11" s="2" t="s">
        <v>673</v>
      </c>
      <c r="D11" s="3">
        <v>135710</v>
      </c>
      <c r="E11" s="4">
        <v>0.94</v>
      </c>
      <c r="F11" s="3">
        <f>IFERROR(Table1[[#This Row],[Votes]]/Table1[[#This Row],[% in]],L11)</f>
        <v>144372.34042553193</v>
      </c>
      <c r="G11" s="3">
        <f>Table1[[#This Row],[Expected Votes]]-Table1[[#This Row],[Votes]]</f>
        <v>8662.3404255319329</v>
      </c>
      <c r="H11" s="5" t="str">
        <f>MID(Table1[[#This Row],[Leader]],FIND("+",Table1[[#This Row],[Leader]])+1,LEN(Table1[[#This Row],[Leader]]))</f>
        <v>16</v>
      </c>
      <c r="I11" s="6">
        <f>IF(LEFT(Table1[[#This Row],[Leader]],1)="H",(Table1[[#This Row],[Margin]]/2+50)/100,(-Table1[[#This Row],[Margin]]/2+50)/100)</f>
        <v>0.42</v>
      </c>
      <c r="J11" s="6">
        <f>MIN(MAX(Table1[[#This Row],[Current Hobbs]]+$I$29,0),1)</f>
        <v>0.41399999999999998</v>
      </c>
      <c r="L11" s="3">
        <v>144372.34042553193</v>
      </c>
      <c r="M11" s="2" t="str">
        <f>IF(L11=Table1[[#This Row],[Expected Votes]],"",IF(Table1[[#This Row],[% in]]="&gt;95%","SET","update"))</f>
        <v/>
      </c>
    </row>
    <row r="12" spans="2:14" x14ac:dyDescent="0.35">
      <c r="B12" s="2" t="s">
        <v>3</v>
      </c>
      <c r="C12" s="2" t="s">
        <v>663</v>
      </c>
      <c r="D12" s="3">
        <v>122796</v>
      </c>
      <c r="E12" s="4" t="s">
        <v>28</v>
      </c>
      <c r="F12" s="3">
        <f>IFERROR(Table1[[#This Row],[Votes]]/Table1[[#This Row],[% in]],L12)</f>
        <v>124076.66666666666</v>
      </c>
      <c r="G12" s="3">
        <f>Table1[[#This Row],[Expected Votes]]-Table1[[#This Row],[Votes]]</f>
        <v>1280.666666666657</v>
      </c>
      <c r="H12" s="5" t="str">
        <f>MID(Table1[[#This Row],[Leader]],FIND("+",Table1[[#This Row],[Leader]])+1,LEN(Table1[[#This Row],[Leader]]))</f>
        <v>28</v>
      </c>
      <c r="I12" s="6">
        <f>IF(LEFT(Table1[[#This Row],[Leader]],1)="H",(Table1[[#This Row],[Margin]]/2+50)/100,(-Table1[[#This Row],[Margin]]/2+50)/100)</f>
        <v>0.36</v>
      </c>
      <c r="J12" s="6">
        <f>MIN(MAX(Table1[[#This Row],[Current Hobbs]]+$I$29,0),1)</f>
        <v>0.35399999999999998</v>
      </c>
      <c r="L12" s="3">
        <v>124076.66666666666</v>
      </c>
      <c r="M12" s="2" t="str">
        <f>IF(L12=Table1[[#This Row],[Expected Votes]],"",IF(Table1[[#This Row],[% in]]="&gt;95%","SET","update"))</f>
        <v/>
      </c>
    </row>
    <row r="13" spans="2:14" x14ac:dyDescent="0.35">
      <c r="B13" s="2" t="s">
        <v>4</v>
      </c>
      <c r="C13" s="2" t="s">
        <v>664</v>
      </c>
      <c r="D13" s="3">
        <v>80805</v>
      </c>
      <c r="E13" s="4" t="s">
        <v>28</v>
      </c>
      <c r="F13" s="3">
        <f>IFERROR(Table1[[#This Row],[Votes]]/Table1[[#This Row],[% in]],L13)</f>
        <v>83348.23529411765</v>
      </c>
      <c r="G13" s="3">
        <f>Table1[[#This Row],[Expected Votes]]-Table1[[#This Row],[Votes]]</f>
        <v>2543.2352941176505</v>
      </c>
      <c r="H13" s="5" t="str">
        <f>MID(Table1[[#This Row],[Leader]],FIND("+",Table1[[#This Row],[Leader]])+1,LEN(Table1[[#This Row],[Leader]]))</f>
        <v>50</v>
      </c>
      <c r="I13" s="6">
        <f>IF(LEFT(Table1[[#This Row],[Leader]],1)="H",(Table1[[#This Row],[Margin]]/2+50)/100,(-Table1[[#This Row],[Margin]]/2+50)/100)</f>
        <v>0.25</v>
      </c>
      <c r="J13" s="6">
        <f>MIN(MAX(Table1[[#This Row],[Current Hobbs]]+$I$29,0),1)</f>
        <v>0.24399999999999999</v>
      </c>
      <c r="L13" s="3">
        <v>83348.23529411765</v>
      </c>
      <c r="M13" s="2" t="str">
        <f>IF(L13=Table1[[#This Row],[Expected Votes]],"",IF(Table1[[#This Row],[% in]]="&gt;95%","SET","update"))</f>
        <v/>
      </c>
    </row>
    <row r="14" spans="2:14" x14ac:dyDescent="0.35">
      <c r="B14" s="2" t="s">
        <v>5</v>
      </c>
      <c r="C14" s="2" t="s">
        <v>671</v>
      </c>
      <c r="D14" s="3">
        <v>53662</v>
      </c>
      <c r="E14" s="4" t="s">
        <v>28</v>
      </c>
      <c r="F14" s="3">
        <f>IFERROR(Table1[[#This Row],[Votes]]/Table1[[#This Row],[% in]],L14)</f>
        <v>55319.354838709674</v>
      </c>
      <c r="G14" s="3">
        <f>Table1[[#This Row],[Expected Votes]]-Table1[[#This Row],[Votes]]</f>
        <v>1657.3548387096744</v>
      </c>
      <c r="H14" s="5" t="str">
        <f>MID(Table1[[#This Row],[Leader]],FIND("+",Table1[[#This Row],[Leader]])+1,LEN(Table1[[#This Row],[Leader]]))</f>
        <v>26</v>
      </c>
      <c r="I14" s="6">
        <f>IF(LEFT(Table1[[#This Row],[Leader]],1)="H",(Table1[[#This Row],[Margin]]/2+50)/100,(-Table1[[#This Row],[Margin]]/2+50)/100)</f>
        <v>0.63</v>
      </c>
      <c r="J14" s="6">
        <f>MIN(MAX(Table1[[#This Row],[Current Hobbs]]+$I$29,0),1)</f>
        <v>0.624</v>
      </c>
      <c r="L14" s="3">
        <v>55319.354838709674</v>
      </c>
      <c r="M14" s="2" t="str">
        <f>IF(L14=Table1[[#This Row],[Expected Votes]],"",IF(Table1[[#This Row],[% in]]="&gt;95%","SET","update"))</f>
        <v/>
      </c>
    </row>
    <row r="15" spans="2:14" x14ac:dyDescent="0.35">
      <c r="B15" s="2" t="s">
        <v>6</v>
      </c>
      <c r="C15" s="2" t="s">
        <v>665</v>
      </c>
      <c r="D15" s="3">
        <v>45144</v>
      </c>
      <c r="E15" s="4" t="s">
        <v>28</v>
      </c>
      <c r="F15" s="3">
        <f>IFERROR(Table1[[#This Row],[Votes]]/Table1[[#This Row],[% in]],L15)</f>
        <v>47371.951219512201</v>
      </c>
      <c r="G15" s="3">
        <f>Table1[[#This Row],[Expected Votes]]-Table1[[#This Row],[Votes]]</f>
        <v>2227.9512195122006</v>
      </c>
      <c r="H15" s="5" t="str">
        <f>MID(Table1[[#This Row],[Leader]],FIND("+",Table1[[#This Row],[Leader]])+1,LEN(Table1[[#This Row],[Leader]]))</f>
        <v>13</v>
      </c>
      <c r="I15" s="6">
        <f>IF(LEFT(Table1[[#This Row],[Leader]],1)="H",(Table1[[#This Row],[Margin]]/2+50)/100,(-Table1[[#This Row],[Margin]]/2+50)/100)</f>
        <v>0.435</v>
      </c>
      <c r="J15" s="6">
        <f>MIN(MAX(Table1[[#This Row],[Current Hobbs]]+$I$29,0),1)</f>
        <v>0.42899999999999999</v>
      </c>
      <c r="L15" s="3">
        <v>47371.951219512201</v>
      </c>
      <c r="M15" s="2" t="str">
        <f>IF(L15=Table1[[#This Row],[Expected Votes]],"",IF(Table1[[#This Row],[% in]]="&gt;95%","SET","update"))</f>
        <v/>
      </c>
    </row>
    <row r="16" spans="2:14" x14ac:dyDescent="0.35">
      <c r="B16" s="2" t="s">
        <v>7</v>
      </c>
      <c r="C16" s="2" t="s">
        <v>651</v>
      </c>
      <c r="D16" s="3">
        <v>38845</v>
      </c>
      <c r="E16" s="4">
        <v>0.82</v>
      </c>
      <c r="F16" s="3">
        <f>IFERROR(Table1[[#This Row],[Votes]]/Table1[[#This Row],[% in]],L16)</f>
        <v>47371.951219512201</v>
      </c>
      <c r="G16" s="3">
        <f>Table1[[#This Row],[Expected Votes]]-Table1[[#This Row],[Votes]]</f>
        <v>8526.9512195122006</v>
      </c>
      <c r="H16" s="5" t="str">
        <f>MID(Table1[[#This Row],[Leader]],FIND("+",Table1[[#This Row],[Leader]])+1,LEN(Table1[[#This Row],[Leader]]))</f>
        <v>18</v>
      </c>
      <c r="I16" s="6">
        <f>IF(LEFT(Table1[[#This Row],[Leader]],1)="H",(Table1[[#This Row],[Margin]]/2+50)/100,(-Table1[[#This Row],[Margin]]/2+50)/100)</f>
        <v>0.41</v>
      </c>
      <c r="J16" s="6">
        <f>MIN(MAX(Table1[[#This Row],[Current Hobbs]]+$I$29,0),1)</f>
        <v>0.40399999999999997</v>
      </c>
      <c r="L16" s="3">
        <v>47371.951219512201</v>
      </c>
      <c r="M16" s="2" t="str">
        <f>IF(L16=Table1[[#This Row],[Expected Votes]],"",IF(Table1[[#This Row],[% in]]="&gt;95%","SET","update"))</f>
        <v/>
      </c>
      <c r="N16" s="3"/>
    </row>
    <row r="17" spans="2:14" x14ac:dyDescent="0.35">
      <c r="B17" s="2" t="s">
        <v>8</v>
      </c>
      <c r="C17" s="2" t="s">
        <v>659</v>
      </c>
      <c r="D17" s="3">
        <v>34865</v>
      </c>
      <c r="E17" s="4">
        <v>0.88</v>
      </c>
      <c r="F17" s="3">
        <f>IFERROR(Table1[[#This Row],[Votes]]/Table1[[#This Row],[% in]],L17)</f>
        <v>39619.318181818184</v>
      </c>
      <c r="G17" s="3">
        <f>Table1[[#This Row],[Expected Votes]]-Table1[[#This Row],[Votes]]</f>
        <v>4754.3181818181838</v>
      </c>
      <c r="H17" s="5" t="str">
        <f>MID(Table1[[#This Row],[Leader]],FIND("+",Table1[[#This Row],[Leader]])+1,LEN(Table1[[#This Row],[Leader]]))</f>
        <v>7</v>
      </c>
      <c r="I17" s="6">
        <f>IF(LEFT(Table1[[#This Row],[Leader]],1)="H",(Table1[[#This Row],[Margin]]/2+50)/100,(-Table1[[#This Row],[Margin]]/2+50)/100)</f>
        <v>0.46500000000000002</v>
      </c>
      <c r="J17" s="6">
        <f>MIN(MAX(Table1[[#This Row],[Current Hobbs]]+$I$29,0),1)</f>
        <v>0.45900000000000002</v>
      </c>
      <c r="L17" s="3">
        <v>39619.318181818184</v>
      </c>
      <c r="M17" s="2" t="str">
        <f>IF(L17=Table1[[#This Row],[Expected Votes]],"",IF(Table1[[#This Row],[% in]]="&gt;95%","SET","update"))</f>
        <v/>
      </c>
    </row>
    <row r="18" spans="2:14" x14ac:dyDescent="0.35">
      <c r="B18" s="2" t="s">
        <v>9</v>
      </c>
      <c r="C18" s="2" t="s">
        <v>652</v>
      </c>
      <c r="D18" s="3">
        <v>22343</v>
      </c>
      <c r="E18" s="4" t="s">
        <v>28</v>
      </c>
      <c r="F18" s="3">
        <f>IFERROR(Table1[[#This Row],[Votes]]/Table1[[#This Row],[% in]],L18)</f>
        <v>23577.5</v>
      </c>
      <c r="G18" s="3">
        <f>Table1[[#This Row],[Expected Votes]]-Table1[[#This Row],[Votes]]</f>
        <v>1234.5</v>
      </c>
      <c r="H18" s="5" t="str">
        <f>MID(Table1[[#This Row],[Leader]],FIND("+",Table1[[#This Row],[Leader]])+1,LEN(Table1[[#This Row],[Leader]]))</f>
        <v>31</v>
      </c>
      <c r="I18" s="6">
        <f>IF(LEFT(Table1[[#This Row],[Leader]],1)="H",(Table1[[#This Row],[Margin]]/2+50)/100,(-Table1[[#This Row],[Margin]]/2+50)/100)</f>
        <v>0.34499999999999997</v>
      </c>
      <c r="J18" s="6">
        <f>MIN(MAX(Table1[[#This Row],[Current Hobbs]]+$I$29,0),1)</f>
        <v>0.33899999999999997</v>
      </c>
      <c r="L18" s="3">
        <v>23577.5</v>
      </c>
      <c r="M18" s="2" t="str">
        <f>IF(L18=Table1[[#This Row],[Expected Votes]],"",IF(Table1[[#This Row],[% in]]="&gt;95%","SET","update"))</f>
        <v/>
      </c>
    </row>
    <row r="19" spans="2:14" x14ac:dyDescent="0.35">
      <c r="B19" s="2" t="s">
        <v>10</v>
      </c>
      <c r="C19" s="2" t="s">
        <v>11</v>
      </c>
      <c r="D19" s="3">
        <v>18862</v>
      </c>
      <c r="E19" s="4">
        <v>0.66</v>
      </c>
      <c r="F19" s="3">
        <f>IFERROR(Table1[[#This Row],[Votes]]/Table1[[#This Row],[% in]],L19)</f>
        <v>28578.787878787876</v>
      </c>
      <c r="G19" s="3">
        <f>Table1[[#This Row],[Expected Votes]]-Table1[[#This Row],[Votes]]</f>
        <v>9716.7878787878763</v>
      </c>
      <c r="H19" s="5" t="str">
        <f>MID(Table1[[#This Row],[Leader]],FIND("+",Table1[[#This Row],[Leader]])+1,LEN(Table1[[#This Row],[Leader]]))</f>
        <v>35</v>
      </c>
      <c r="I19" s="6">
        <f>IF(LEFT(Table1[[#This Row],[Leader]],1)="H",(Table1[[#This Row],[Margin]]/2+50)/100,(-Table1[[#This Row],[Margin]]/2+50)/100)</f>
        <v>0.67500000000000004</v>
      </c>
      <c r="J19" s="6">
        <f>MIN(MAX(Table1[[#This Row],[Current Hobbs]]+$I$29,0),1)</f>
        <v>0.66900000000000004</v>
      </c>
      <c r="L19" s="3">
        <v>28578.787878787876</v>
      </c>
      <c r="M19" s="2" t="str">
        <f>IF(L19=Table1[[#This Row],[Expected Votes]],"",IF(Table1[[#This Row],[% in]]="&gt;95%","SET","update"))</f>
        <v/>
      </c>
    </row>
    <row r="20" spans="2:14" x14ac:dyDescent="0.35">
      <c r="B20" s="2" t="s">
        <v>12</v>
      </c>
      <c r="C20" s="2" t="s">
        <v>653</v>
      </c>
      <c r="D20" s="3">
        <v>12944</v>
      </c>
      <c r="E20" s="4" t="s">
        <v>28</v>
      </c>
      <c r="F20" s="3">
        <f>IFERROR(Table1[[#This Row],[Votes]]/Table1[[#This Row],[% in]],L20)</f>
        <v>12335.632183908046</v>
      </c>
      <c r="G20" s="3">
        <f>Table1[[#This Row],[Expected Votes]]-Table1[[#This Row],[Votes]]</f>
        <v>-608.3678160919535</v>
      </c>
      <c r="H20" s="5" t="str">
        <f>MID(Table1[[#This Row],[Leader]],FIND("+",Table1[[#This Row],[Leader]])+1,LEN(Table1[[#This Row],[Leader]]))</f>
        <v>33</v>
      </c>
      <c r="I20" s="6">
        <f>IF(LEFT(Table1[[#This Row],[Leader]],1)="H",(Table1[[#This Row],[Margin]]/2+50)/100,(-Table1[[#This Row],[Margin]]/2+50)/100)</f>
        <v>0.66500000000000004</v>
      </c>
      <c r="J20" s="6">
        <f>MIN(MAX(Table1[[#This Row],[Current Hobbs]]+$I$29,0),1)</f>
        <v>0.65900000000000003</v>
      </c>
      <c r="L20" s="3">
        <v>12335.632183908046</v>
      </c>
      <c r="M20" s="2" t="str">
        <f>IF(L20=Table1[[#This Row],[Expected Votes]],"",IF(Table1[[#This Row],[% in]]="&gt;95%","SET","update"))</f>
        <v/>
      </c>
      <c r="N20" s="3"/>
    </row>
    <row r="21" spans="2:14" x14ac:dyDescent="0.35">
      <c r="B21" s="2" t="s">
        <v>13</v>
      </c>
      <c r="C21" s="2" t="s">
        <v>627</v>
      </c>
      <c r="D21" s="3">
        <v>10743</v>
      </c>
      <c r="E21" s="4" t="s">
        <v>28</v>
      </c>
      <c r="F21" s="3">
        <f>IFERROR(Table1[[#This Row],[Votes]]/Table1[[#This Row],[% in]],L21)</f>
        <v>12335.632183908046</v>
      </c>
      <c r="G21" s="3">
        <f>Table1[[#This Row],[Expected Votes]]-Table1[[#This Row],[Votes]]</f>
        <v>1592.6321839080465</v>
      </c>
      <c r="H21" s="5" t="str">
        <f>MID(Table1[[#This Row],[Leader]],FIND("+",Table1[[#This Row],[Leader]])+1,LEN(Table1[[#This Row],[Leader]]))</f>
        <v>43</v>
      </c>
      <c r="I21" s="6">
        <f>IF(LEFT(Table1[[#This Row],[Leader]],1)="H",(Table1[[#This Row],[Margin]]/2+50)/100,(-Table1[[#This Row],[Margin]]/2+50)/100)</f>
        <v>0.28499999999999998</v>
      </c>
      <c r="J21" s="6">
        <f>MIN(MAX(Table1[[#This Row],[Current Hobbs]]+$I$29,0),1)</f>
        <v>0.27899999999999997</v>
      </c>
      <c r="L21" s="3">
        <v>12335.632183908046</v>
      </c>
      <c r="M21" s="2" t="str">
        <f>IF(L21=Table1[[#This Row],[Expected Votes]],"",IF(Table1[[#This Row],[% in]]="&gt;95%","SET","update"))</f>
        <v/>
      </c>
    </row>
    <row r="22" spans="2:14" x14ac:dyDescent="0.35">
      <c r="B22" s="2" t="s">
        <v>14</v>
      </c>
      <c r="C22" s="2" t="s">
        <v>666</v>
      </c>
      <c r="D22" s="3">
        <v>5487</v>
      </c>
      <c r="E22" s="4" t="s">
        <v>28</v>
      </c>
      <c r="F22" s="3">
        <f>IFERROR(Table1[[#This Row],[Votes]]/Table1[[#This Row],[% in]],L22)</f>
        <v>6641.4285714285716</v>
      </c>
      <c r="G22" s="3">
        <f>Table1[[#This Row],[Expected Votes]]-Table1[[#This Row],[Votes]]</f>
        <v>1154.4285714285716</v>
      </c>
      <c r="H22" s="5" t="str">
        <f>MID(Table1[[#This Row],[Leader]],FIND("+",Table1[[#This Row],[Leader]])+1,LEN(Table1[[#This Row],[Leader]]))</f>
        <v>40</v>
      </c>
      <c r="I22" s="6">
        <f>IF(LEFT(Table1[[#This Row],[Leader]],1)="H",(Table1[[#This Row],[Margin]]/2+50)/100,(-Table1[[#This Row],[Margin]]/2+50)/100)</f>
        <v>0.3</v>
      </c>
      <c r="J22" s="6">
        <f>MIN(MAX(Table1[[#This Row],[Current Hobbs]]+$I$29,0),1)</f>
        <v>0.29399999999999998</v>
      </c>
      <c r="L22" s="3">
        <v>6641.4285714285716</v>
      </c>
      <c r="M22" s="2" t="str">
        <f>IF(L22=Table1[[#This Row],[Expected Votes]],"",IF(Table1[[#This Row],[% in]]="&gt;95%","SET","update"))</f>
        <v/>
      </c>
    </row>
    <row r="23" spans="2:14" x14ac:dyDescent="0.35">
      <c r="B23" s="2" t="s">
        <v>15</v>
      </c>
      <c r="C23" s="2" t="s">
        <v>646</v>
      </c>
      <c r="D23" s="3">
        <v>2446</v>
      </c>
      <c r="E23" s="4" t="s">
        <v>28</v>
      </c>
      <c r="F23" s="3">
        <f>IFERROR(Table1[[#This Row],[Votes]]/Table1[[#This Row],[% in]],L23)</f>
        <v>2574.7368421052633</v>
      </c>
      <c r="G23" s="3">
        <f>Table1[[#This Row],[Expected Votes]]-Table1[[#This Row],[Votes]]</f>
        <v>128.73684210526335</v>
      </c>
      <c r="H23" s="5" t="str">
        <f>MID(Table1[[#This Row],[Leader]],FIND("+",Table1[[#This Row],[Leader]])+1,LEN(Table1[[#This Row],[Leader]]))</f>
        <v>25</v>
      </c>
      <c r="I23" s="6">
        <f>IF(LEFT(Table1[[#This Row],[Leader]],1)="H",(Table1[[#This Row],[Margin]]/2+50)/100,(-Table1[[#This Row],[Margin]]/2+50)/100)</f>
        <v>0.375</v>
      </c>
      <c r="J23" s="6">
        <f>MIN(MAX(Table1[[#This Row],[Current Hobbs]]+$I$29,0),1)</f>
        <v>0.36899999999999999</v>
      </c>
      <c r="L23" s="3">
        <v>2574.7368421052633</v>
      </c>
      <c r="M23" s="2" t="str">
        <f>IF(L23=Table1[[#This Row],[Expected Votes]],"",IF(Table1[[#This Row],[% in]]="&gt;95%","SET","update"))</f>
        <v/>
      </c>
    </row>
    <row r="25" spans="2:14" x14ac:dyDescent="0.35">
      <c r="H25" s="2" t="s">
        <v>507</v>
      </c>
      <c r="I25" s="3">
        <f>SUM(Table1[Votes])</f>
        <v>2402193</v>
      </c>
      <c r="J25" s="7"/>
    </row>
    <row r="26" spans="2:14" x14ac:dyDescent="0.35">
      <c r="H26" s="2" t="s">
        <v>20</v>
      </c>
      <c r="I26" s="3">
        <f>SUM(Table1[Expected Votes])</f>
        <v>2594794.2523518847</v>
      </c>
      <c r="J26" s="7"/>
    </row>
    <row r="27" spans="2:14" x14ac:dyDescent="0.35">
      <c r="H27" s="2" t="s">
        <v>647</v>
      </c>
      <c r="I27" s="6">
        <f>I25/I26</f>
        <v>0.92577397912095971</v>
      </c>
      <c r="J27" s="7"/>
    </row>
    <row r="28" spans="2:14" x14ac:dyDescent="0.35">
      <c r="H28" s="2" t="s">
        <v>24</v>
      </c>
      <c r="I28" s="6">
        <f>SUMPRODUCT(Table1[Current Hobbs],Table1[Votes])/SUM(Table1[Votes])</f>
        <v>0.50452034245374955</v>
      </c>
    </row>
    <row r="29" spans="2:14" x14ac:dyDescent="0.35">
      <c r="H29" s="2" t="s">
        <v>25</v>
      </c>
      <c r="I29" s="15">
        <v>-6.0000000000000001E-3</v>
      </c>
    </row>
    <row r="30" spans="2:14" x14ac:dyDescent="0.35">
      <c r="H30" s="2" t="s">
        <v>26</v>
      </c>
      <c r="I30" s="6">
        <f>SUMPRODUCT(Table1[Shifted Hobbs],Table1[Expected Votes])/SUM(Table1[Expected Votes])</f>
        <v>0.4999192731611225</v>
      </c>
    </row>
    <row r="31" spans="2:14" x14ac:dyDescent="0.35">
      <c r="H31" s="2" t="s">
        <v>17</v>
      </c>
      <c r="I31" s="8" t="str">
        <f>IF(I28&gt;=0.5,"Hobbs","Lake")</f>
        <v>Hobbs</v>
      </c>
    </row>
    <row r="32" spans="2:14" x14ac:dyDescent="0.35">
      <c r="H32" s="2" t="s">
        <v>30</v>
      </c>
      <c r="I32" s="8" t="str">
        <f>IF(I31="Hobbs","Lake","Hobbs")</f>
        <v>Lake</v>
      </c>
    </row>
  </sheetData>
  <conditionalFormatting sqref="F3">
    <cfRule type="cellIs" dxfId="5" priority="3" operator="lessThan">
      <formula>0</formula>
    </cfRule>
    <cfRule type="cellIs" dxfId="4" priority="4" operator="greaterThanOrEqual">
      <formula>0</formula>
    </cfRule>
  </conditionalFormatting>
  <conditionalFormatting sqref="E5">
    <cfRule type="containsText" dxfId="3" priority="1" operator="containsText" text="Lake">
      <formula>NOT(ISERROR(SEARCH("Lake",E5)))</formula>
    </cfRule>
    <cfRule type="containsText" dxfId="2" priority="2" operator="containsText" text="Hobbs">
      <formula>NOT(ISERROR(SEARCH("Hobbs",E5)))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44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8.7265625" defaultRowHeight="14.5" x14ac:dyDescent="0.35"/>
  <cols>
    <col min="1" max="1" width="8.7265625" style="2"/>
    <col min="2" max="2" width="6.54296875" style="16" customWidth="1"/>
    <col min="3" max="3" width="20.54296875" style="2" customWidth="1"/>
    <col min="4" max="4" width="27.26953125" style="2" customWidth="1"/>
    <col min="5" max="5" width="8.54296875" style="2" customWidth="1"/>
    <col min="6" max="6" width="13.7265625" style="2" customWidth="1"/>
    <col min="7" max="7" width="13.54296875" style="2" customWidth="1"/>
    <col min="8" max="8" width="11.54296875" style="2" bestFit="1" customWidth="1"/>
    <col min="9" max="9" width="12.453125" style="2" bestFit="1" customWidth="1"/>
    <col min="10" max="10" width="12.81640625" style="2" bestFit="1" customWidth="1"/>
    <col min="11" max="11" width="11.1796875" style="2" customWidth="1"/>
    <col min="12" max="15" width="8.7265625" style="20" hidden="1" customWidth="1"/>
    <col min="16" max="17" width="8.7265625" style="2" hidden="1" customWidth="1"/>
    <col min="18" max="19" width="8.7265625" style="2"/>
    <col min="20" max="20" width="31.26953125" style="2" customWidth="1"/>
    <col min="21" max="22" width="8.7265625" style="2"/>
    <col min="23" max="23" width="8.7265625" style="2" customWidth="1"/>
    <col min="24" max="24" width="11" style="2" bestFit="1" customWidth="1"/>
    <col min="25" max="16384" width="8.7265625" style="2"/>
  </cols>
  <sheetData>
    <row r="2" spans="2:28" ht="36.5" x14ac:dyDescent="0.95">
      <c r="C2" s="19"/>
      <c r="D2" s="33" t="s">
        <v>506</v>
      </c>
      <c r="E2" s="33"/>
      <c r="F2" s="33"/>
      <c r="G2" s="33"/>
      <c r="H2" s="19"/>
      <c r="I2" s="19"/>
      <c r="J2" s="19"/>
    </row>
    <row r="3" spans="2:28" ht="26" x14ac:dyDescent="0.7">
      <c r="D3" s="17">
        <f>COUNTIF(Table4[Expected D],1)</f>
        <v>212</v>
      </c>
      <c r="E3" s="17"/>
      <c r="F3" s="32">
        <f>COUNTIF(Table4[Expected R],1)</f>
        <v>219</v>
      </c>
      <c r="G3" s="32">
        <f>SUMIFS(Table4[Expected R],Table4[Favored],"R",Table4[listedprob],1)</f>
        <v>217</v>
      </c>
    </row>
    <row r="4" spans="2:28" ht="18.5" x14ac:dyDescent="0.45">
      <c r="D4" s="18">
        <f>ROUND(SUM(Table4[Expected D]),0)</f>
        <v>214</v>
      </c>
      <c r="E4" s="18"/>
      <c r="F4" s="30">
        <f>ROUND(SUM(Table4[Expected R]),0)</f>
        <v>221</v>
      </c>
      <c r="G4" s="30"/>
    </row>
    <row r="5" spans="2:28" ht="6" customHeight="1" x14ac:dyDescent="0.45">
      <c r="D5" s="18"/>
      <c r="E5" s="18"/>
      <c r="F5" s="24"/>
      <c r="G5" s="24"/>
    </row>
    <row r="6" spans="2:28" ht="18.649999999999999" customHeight="1" x14ac:dyDescent="0.35">
      <c r="B6" s="28"/>
      <c r="C6" s="25"/>
      <c r="D6" s="31" t="s">
        <v>626</v>
      </c>
      <c r="E6" s="31"/>
      <c r="F6" s="31"/>
      <c r="G6" s="31"/>
      <c r="H6" s="25"/>
      <c r="I6" s="25"/>
      <c r="J6" s="25"/>
    </row>
    <row r="7" spans="2:28" ht="18.5" x14ac:dyDescent="0.45">
      <c r="D7" s="18">
        <f>COUNTIF(Table4[Shifted Winner],"D")</f>
        <v>216</v>
      </c>
      <c r="E7" s="26">
        <v>7.0000000000000007E-2</v>
      </c>
      <c r="F7" s="30">
        <f>COUNTIF(Table4[Shifted Winner],"R")</f>
        <v>219</v>
      </c>
      <c r="G7" s="30"/>
    </row>
    <row r="8" spans="2:28" x14ac:dyDescent="0.35">
      <c r="B8" s="29"/>
    </row>
    <row r="9" spans="2:28" x14ac:dyDescent="0.35">
      <c r="B9" s="16" t="s">
        <v>632</v>
      </c>
      <c r="C9" s="2" t="s">
        <v>32</v>
      </c>
      <c r="D9" s="2" t="s">
        <v>199</v>
      </c>
      <c r="E9" s="2" t="s">
        <v>33</v>
      </c>
      <c r="F9" s="2" t="s">
        <v>23</v>
      </c>
      <c r="G9" s="2" t="s">
        <v>196</v>
      </c>
      <c r="H9" s="2" t="s">
        <v>198</v>
      </c>
      <c r="I9" s="2" t="s">
        <v>503</v>
      </c>
      <c r="J9" s="2" t="s">
        <v>504</v>
      </c>
      <c r="K9" s="2" t="s">
        <v>505</v>
      </c>
      <c r="L9" s="2" t="s">
        <v>619</v>
      </c>
      <c r="M9" s="20" t="s">
        <v>620</v>
      </c>
      <c r="N9" s="20" t="s">
        <v>621</v>
      </c>
      <c r="O9" s="20" t="s">
        <v>622</v>
      </c>
      <c r="P9" s="20" t="s">
        <v>623</v>
      </c>
      <c r="Q9" s="2" t="s">
        <v>624</v>
      </c>
      <c r="R9" s="23" t="s">
        <v>625</v>
      </c>
      <c r="S9" s="23"/>
      <c r="T9" s="2" t="s">
        <v>628</v>
      </c>
      <c r="U9" s="2" t="s">
        <v>629</v>
      </c>
      <c r="V9" s="2" t="s">
        <v>638</v>
      </c>
      <c r="Y9" s="2" t="s">
        <v>633</v>
      </c>
      <c r="Z9" s="2" t="s">
        <v>634</v>
      </c>
      <c r="AA9" s="2" t="s">
        <v>635</v>
      </c>
      <c r="AB9" s="2" t="s">
        <v>636</v>
      </c>
    </row>
    <row r="10" spans="2:28" x14ac:dyDescent="0.35">
      <c r="B10" s="27">
        <v>1</v>
      </c>
      <c r="C10" s="2" t="s">
        <v>34</v>
      </c>
      <c r="D10" s="2" t="s">
        <v>35</v>
      </c>
      <c r="E10" s="4">
        <v>0.93</v>
      </c>
      <c r="F10" s="2" t="s">
        <v>508</v>
      </c>
      <c r="G10" s="4" t="s">
        <v>197</v>
      </c>
      <c r="H1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" s="2" t="str">
        <f>IF(OR(LEFT(Table4[[#This Row],[win_prob]],1)="D",LEFT(Table4[[#This Row],[win_prob]],1)="R"),LEFT(Table4[[#This Row],[win_prob]],1),LEFT(Table4[[#This Row],[Category]],1))</f>
        <v>D</v>
      </c>
      <c r="J1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" s="16" t="str">
        <f>RIGHT(Table4[[#This Row],[Margin]],LEN(Table4[[#This Row],[Margin]])-FIND("+",Table4[[#This Row],[Margin]]))</f>
        <v>29</v>
      </c>
      <c r="M10" s="20" t="str">
        <f>IF(Table4[[#This Row],[listedprob]]=1,"called",IF(LEFT(Table4[[#This Row],[Margin]],1)="D",(Table4[[#This Row],[Numeric Margin]]/2+50)/100,(-Table4[[#This Row],[Numeric Margin]]/2+50)/100))</f>
        <v>called</v>
      </c>
      <c r="N10" s="20" t="str">
        <f>IFERROR(IF(Table4[[#This Row],[D 2pv]]="called","called",Table4[[#This Row],[D 2pv]]*Table4[[#This Row],[Percent of votes in% In]]),Table4[[#This Row],[D 2pv]]*0.95)</f>
        <v>called</v>
      </c>
      <c r="O10" s="20" t="str">
        <f>IF(Table4[[#This Row],[D pct]]="called","called",(Table4[[#This Row],[D 2pv]]+$E$7))</f>
        <v>called</v>
      </c>
      <c r="P1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" s="21" t="str">
        <f>IF(Table4[[#This Row],[D captured of remain]]="called","called",Table4[[#This Row],[D captured of remain]]+Table4[[#This Row],[D pct]])</f>
        <v>called</v>
      </c>
      <c r="R10" s="22" t="str">
        <f>IF(Table4[[#This Row],[Expected D]]=1,"D",IF(Table4[[#This Row],[Expected R]]=1,"R",IF(Table4[[#This Row],[D total]]&gt;=0.5,"D","R")))</f>
        <v>D</v>
      </c>
      <c r="S10" s="22"/>
      <c r="T10" s="2" t="s">
        <v>286</v>
      </c>
      <c r="U10" s="2" t="s">
        <v>631</v>
      </c>
      <c r="V10" s="2" t="s">
        <v>639</v>
      </c>
      <c r="X10" s="2" t="s">
        <v>197</v>
      </c>
      <c r="Y10" s="2">
        <f>COUNTIF(Table4[Category],X10)</f>
        <v>159</v>
      </c>
      <c r="Z10" s="2">
        <f>COUNTIFS(Table4[Category],X10,Table4[Expected D],1)</f>
        <v>159</v>
      </c>
      <c r="AA10" s="2">
        <f>COUNTIFS(Table4[Category],X10,Table4[Expected R],1)</f>
        <v>0</v>
      </c>
      <c r="AB10" s="2">
        <f>Y10-SUM(Z10:AA10)</f>
        <v>0</v>
      </c>
    </row>
    <row r="11" spans="2:28" x14ac:dyDescent="0.35">
      <c r="B11" s="27">
        <v>2</v>
      </c>
      <c r="C11" s="2" t="s">
        <v>36</v>
      </c>
      <c r="D11" s="2" t="s">
        <v>35</v>
      </c>
      <c r="E11" s="4" t="s">
        <v>28</v>
      </c>
      <c r="F11" s="2" t="s">
        <v>541</v>
      </c>
      <c r="G11" s="4" t="s">
        <v>197</v>
      </c>
      <c r="H1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" s="2" t="str">
        <f>IF(OR(LEFT(Table4[[#This Row],[win_prob]],1)="D",LEFT(Table4[[#This Row],[win_prob]],1)="R"),LEFT(Table4[[#This Row],[win_prob]],1),LEFT(Table4[[#This Row],[Category]],1))</f>
        <v>D</v>
      </c>
      <c r="J1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" s="16" t="str">
        <f>RIGHT(Table4[[#This Row],[Margin]],LEN(Table4[[#This Row],[Margin]])-FIND("+",Table4[[#This Row],[Margin]]))</f>
        <v>54</v>
      </c>
      <c r="M11" s="20" t="str">
        <f>IF(Table4[[#This Row],[listedprob]]=1,"called",IF(LEFT(Table4[[#This Row],[Margin]],1)="D",(Table4[[#This Row],[Numeric Margin]]/2+50)/100,(-Table4[[#This Row],[Numeric Margin]]/2+50)/100))</f>
        <v>called</v>
      </c>
      <c r="N11" s="20" t="str">
        <f>IFERROR(IF(Table4[[#This Row],[D 2pv]]="called","called",Table4[[#This Row],[D 2pv]]*Table4[[#This Row],[Percent of votes in% In]]),Table4[[#This Row],[D 2pv]]*0.95)</f>
        <v>called</v>
      </c>
      <c r="O11" s="20" t="str">
        <f>IF(Table4[[#This Row],[D pct]]="called","called",(Table4[[#This Row],[D 2pv]]+$E$7))</f>
        <v>called</v>
      </c>
      <c r="P1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" s="21" t="str">
        <f>IF(Table4[[#This Row],[D captured of remain]]="called","called",Table4[[#This Row],[D captured of remain]]+Table4[[#This Row],[D pct]])</f>
        <v>called</v>
      </c>
      <c r="R11" s="22" t="str">
        <f>IF(Table4[[#This Row],[Expected D]]=1,"D",IF(Table4[[#This Row],[Expected R]]=1,"R",IF(Table4[[#This Row],[D total]]&gt;=0.5,"D","R")))</f>
        <v>D</v>
      </c>
      <c r="S11" s="22"/>
      <c r="T11" s="2" t="s">
        <v>201</v>
      </c>
      <c r="U11" s="2" t="s">
        <v>630</v>
      </c>
      <c r="V11" s="2" t="s">
        <v>640</v>
      </c>
      <c r="X11" s="2" t="s">
        <v>228</v>
      </c>
      <c r="Y11" s="2">
        <f>COUNTIF(Table4[Category],X11)</f>
        <v>28</v>
      </c>
      <c r="Z11" s="2">
        <f>COUNTIFS(Table4[Category],X11,Table4[Expected D],1)</f>
        <v>27</v>
      </c>
      <c r="AA11" s="2">
        <f>COUNTIFS(Table4[Category],X11,Table4[Expected R],1)</f>
        <v>0</v>
      </c>
      <c r="AB11" s="2">
        <f>Y11-SUM(Z11:AA11)</f>
        <v>1</v>
      </c>
    </row>
    <row r="12" spans="2:28" x14ac:dyDescent="0.35">
      <c r="B12" s="27">
        <v>3</v>
      </c>
      <c r="C12" s="2" t="s">
        <v>37</v>
      </c>
      <c r="D12" s="2" t="s">
        <v>35</v>
      </c>
      <c r="E12" s="4" t="s">
        <v>28</v>
      </c>
      <c r="F12" s="2" t="s">
        <v>508</v>
      </c>
      <c r="G12" s="4" t="s">
        <v>197</v>
      </c>
      <c r="H1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" s="2" t="str">
        <f>IF(OR(LEFT(Table4[[#This Row],[win_prob]],1)="D",LEFT(Table4[[#This Row],[win_prob]],1)="R"),LEFT(Table4[[#This Row],[win_prob]],1),LEFT(Table4[[#This Row],[Category]],1))</f>
        <v>D</v>
      </c>
      <c r="J1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" s="16" t="str">
        <f>RIGHT(Table4[[#This Row],[Margin]],LEN(Table4[[#This Row],[Margin]])-FIND("+",Table4[[#This Row],[Margin]]))</f>
        <v>29</v>
      </c>
      <c r="M12" s="20" t="str">
        <f>IF(Table4[[#This Row],[listedprob]]=1,"called",IF(LEFT(Table4[[#This Row],[Margin]],1)="D",(Table4[[#This Row],[Numeric Margin]]/2+50)/100,(-Table4[[#This Row],[Numeric Margin]]/2+50)/100))</f>
        <v>called</v>
      </c>
      <c r="N12" s="20" t="str">
        <f>IFERROR(IF(Table4[[#This Row],[D 2pv]]="called","called",Table4[[#This Row],[D 2pv]]*Table4[[#This Row],[Percent of votes in% In]]),Table4[[#This Row],[D 2pv]]*0.95)</f>
        <v>called</v>
      </c>
      <c r="O12" s="20" t="str">
        <f>IF(Table4[[#This Row],[D pct]]="called","called",(Table4[[#This Row],[D 2pv]]+$E$7))</f>
        <v>called</v>
      </c>
      <c r="P1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" s="21" t="str">
        <f>IF(Table4[[#This Row],[D captured of remain]]="called","called",Table4[[#This Row],[D captured of remain]]+Table4[[#This Row],[D pct]])</f>
        <v>called</v>
      </c>
      <c r="R12" s="22" t="str">
        <f>IF(Table4[[#This Row],[Expected D]]=1,"D",IF(Table4[[#This Row],[Expected R]]=1,"R",IF(Table4[[#This Row],[D total]]&gt;=0.5,"D","R")))</f>
        <v>D</v>
      </c>
      <c r="S12" s="22"/>
      <c r="T12" s="2" t="s">
        <v>287</v>
      </c>
      <c r="U12" s="2" t="s">
        <v>631</v>
      </c>
      <c r="V12" s="2" t="s">
        <v>639</v>
      </c>
      <c r="X12" s="2" t="s">
        <v>285</v>
      </c>
      <c r="Y12" s="2">
        <f>COUNTIF(Table4[Category],X12)</f>
        <v>36</v>
      </c>
      <c r="Z12" s="2">
        <f>COUNTIFS(Table4[Category],X12,Table4[Expected D],1)</f>
        <v>25</v>
      </c>
      <c r="AA12" s="2">
        <f>COUNTIFS(Table4[Category],X12,Table4[Expected R],1)</f>
        <v>9</v>
      </c>
      <c r="AB12" s="2">
        <f>Y12-SUM(Z12:AA12)</f>
        <v>2</v>
      </c>
    </row>
    <row r="13" spans="2:28" x14ac:dyDescent="0.35">
      <c r="B13" s="27">
        <v>4</v>
      </c>
      <c r="C13" s="2" t="s">
        <v>38</v>
      </c>
      <c r="D13" s="2" t="s">
        <v>35</v>
      </c>
      <c r="E13" s="4">
        <v>0.6</v>
      </c>
      <c r="F13" s="2" t="s">
        <v>525</v>
      </c>
      <c r="G13" s="4" t="s">
        <v>197</v>
      </c>
      <c r="H1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" s="2" t="str">
        <f>IF(OR(LEFT(Table4[[#This Row],[win_prob]],1)="D",LEFT(Table4[[#This Row],[win_prob]],1)="R"),LEFT(Table4[[#This Row],[win_prob]],1),LEFT(Table4[[#This Row],[Category]],1))</f>
        <v>D</v>
      </c>
      <c r="J1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" s="16" t="str">
        <f>RIGHT(Table4[[#This Row],[Margin]],LEN(Table4[[#This Row],[Margin]])-FIND("+",Table4[[#This Row],[Margin]]))</f>
        <v>48</v>
      </c>
      <c r="M13" s="20" t="str">
        <f>IF(Table4[[#This Row],[listedprob]]=1,"called",IF(LEFT(Table4[[#This Row],[Margin]],1)="D",(Table4[[#This Row],[Numeric Margin]]/2+50)/100,(-Table4[[#This Row],[Numeric Margin]]/2+50)/100))</f>
        <v>called</v>
      </c>
      <c r="N13" s="20" t="str">
        <f>IFERROR(IF(Table4[[#This Row],[D 2pv]]="called","called",Table4[[#This Row],[D 2pv]]*Table4[[#This Row],[Percent of votes in% In]]),Table4[[#This Row],[D 2pv]]*0.95)</f>
        <v>called</v>
      </c>
      <c r="O13" s="20" t="str">
        <f>IF(Table4[[#This Row],[D pct]]="called","called",(Table4[[#This Row],[D 2pv]]+$E$7))</f>
        <v>called</v>
      </c>
      <c r="P1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" s="21" t="str">
        <f>IF(Table4[[#This Row],[D captured of remain]]="called","called",Table4[[#This Row],[D captured of remain]]+Table4[[#This Row],[D pct]])</f>
        <v>called</v>
      </c>
      <c r="R13" s="22" t="str">
        <f>IF(Table4[[#This Row],[Expected D]]=1,"D",IF(Table4[[#This Row],[Expected R]]=1,"R",IF(Table4[[#This Row],[D total]]&gt;=0.5,"D","R")))</f>
        <v>D</v>
      </c>
      <c r="S13" s="22"/>
      <c r="T13" s="2" t="s">
        <v>47</v>
      </c>
      <c r="U13" s="2" t="s">
        <v>630</v>
      </c>
      <c r="V13" s="2" t="s">
        <v>639</v>
      </c>
      <c r="X13" s="2" t="s">
        <v>311</v>
      </c>
      <c r="Y13" s="2">
        <f>COUNTIF(Table4[Category],X13)</f>
        <v>24</v>
      </c>
      <c r="Z13" s="2">
        <f>COUNTIFS(Table4[Category],X13,Table4[Expected D],1)</f>
        <v>1</v>
      </c>
      <c r="AA13" s="2">
        <f>COUNTIFS(Table4[Category],X13,Table4[Expected R],1)</f>
        <v>22</v>
      </c>
      <c r="AB13" s="2">
        <f>Y13-SUM(Z13:AA13)</f>
        <v>1</v>
      </c>
    </row>
    <row r="14" spans="2:28" x14ac:dyDescent="0.35">
      <c r="B14" s="27">
        <v>5</v>
      </c>
      <c r="C14" s="2" t="s">
        <v>39</v>
      </c>
      <c r="D14" s="2" t="s">
        <v>35</v>
      </c>
      <c r="E14" s="4">
        <v>0.68</v>
      </c>
      <c r="F14" s="2" t="s">
        <v>511</v>
      </c>
      <c r="G14" s="4" t="s">
        <v>197</v>
      </c>
      <c r="H1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" s="2" t="str">
        <f>IF(OR(LEFT(Table4[[#This Row],[win_prob]],1)="D",LEFT(Table4[[#This Row],[win_prob]],1)="R"),LEFT(Table4[[#This Row],[win_prob]],1),LEFT(Table4[[#This Row],[Category]],1))</f>
        <v>D</v>
      </c>
      <c r="J1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" s="16" t="str">
        <f>RIGHT(Table4[[#This Row],[Margin]],LEN(Table4[[#This Row],[Margin]])-FIND("+",Table4[[#This Row],[Margin]]))</f>
        <v>35</v>
      </c>
      <c r="M14" s="20" t="str">
        <f>IF(Table4[[#This Row],[listedprob]]=1,"called",IF(LEFT(Table4[[#This Row],[Margin]],1)="D",(Table4[[#This Row],[Numeric Margin]]/2+50)/100,(-Table4[[#This Row],[Numeric Margin]]/2+50)/100))</f>
        <v>called</v>
      </c>
      <c r="N14" s="20" t="str">
        <f>IFERROR(IF(Table4[[#This Row],[D 2pv]]="called","called",Table4[[#This Row],[D 2pv]]*Table4[[#This Row],[Percent of votes in% In]]),Table4[[#This Row],[D 2pv]]*0.95)</f>
        <v>called</v>
      </c>
      <c r="O14" s="20" t="str">
        <f>IF(Table4[[#This Row],[D pct]]="called","called",(Table4[[#This Row],[D 2pv]]+$E$7))</f>
        <v>called</v>
      </c>
      <c r="P1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" s="21" t="str">
        <f>IF(Table4[[#This Row],[D captured of remain]]="called","called",Table4[[#This Row],[D captured of remain]]+Table4[[#This Row],[D pct]])</f>
        <v>called</v>
      </c>
      <c r="R14" s="22" t="str">
        <f>IF(Table4[[#This Row],[Expected D]]=1,"D",IF(Table4[[#This Row],[Expected R]]=1,"R",IF(Table4[[#This Row],[D total]]&gt;=0.5,"D","R")))</f>
        <v>D</v>
      </c>
      <c r="S14" s="22"/>
      <c r="T14" s="2" t="s">
        <v>49</v>
      </c>
      <c r="U14" s="2" t="s">
        <v>630</v>
      </c>
      <c r="V14" s="2" t="s">
        <v>639</v>
      </c>
      <c r="X14" s="2" t="s">
        <v>502</v>
      </c>
      <c r="Y14" s="2">
        <f>COUNTIF(Table4[Category],X14)</f>
        <v>188</v>
      </c>
      <c r="Z14" s="2">
        <f>COUNTIFS(Table4[Category],X14,Table4[Expected D],1)</f>
        <v>0</v>
      </c>
      <c r="AA14" s="2">
        <f>COUNTIFS(Table4[Category],X14,Table4[Expected R],1)</f>
        <v>188</v>
      </c>
      <c r="AB14" s="2">
        <f>Y14-SUM(Z14:AA14)</f>
        <v>0</v>
      </c>
    </row>
    <row r="15" spans="2:28" x14ac:dyDescent="0.35">
      <c r="B15" s="27">
        <v>6</v>
      </c>
      <c r="C15" s="2" t="s">
        <v>40</v>
      </c>
      <c r="D15" s="2" t="s">
        <v>35</v>
      </c>
      <c r="E15" s="4">
        <v>0.67</v>
      </c>
      <c r="F15" s="2" t="s">
        <v>272</v>
      </c>
      <c r="G15" s="4" t="s">
        <v>197</v>
      </c>
      <c r="H1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" s="2" t="str">
        <f>IF(OR(LEFT(Table4[[#This Row],[win_prob]],1)="D",LEFT(Table4[[#This Row],[win_prob]],1)="R"),LEFT(Table4[[#This Row],[win_prob]],1),LEFT(Table4[[#This Row],[Category]],1))</f>
        <v>D</v>
      </c>
      <c r="J1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5" s="16" t="str">
        <f>RIGHT(Table4[[#This Row],[Margin]],LEN(Table4[[#This Row],[Margin]])-FIND("+",Table4[[#This Row],[Margin]]))</f>
        <v>13</v>
      </c>
      <c r="M15" s="20" t="str">
        <f>IF(Table4[[#This Row],[listedprob]]=1,"called",IF(LEFT(Table4[[#This Row],[Margin]],1)="D",(Table4[[#This Row],[Numeric Margin]]/2+50)/100,(-Table4[[#This Row],[Numeric Margin]]/2+50)/100))</f>
        <v>called</v>
      </c>
      <c r="N15" s="20" t="str">
        <f>IFERROR(IF(Table4[[#This Row],[D 2pv]]="called","called",Table4[[#This Row],[D 2pv]]*Table4[[#This Row],[Percent of votes in% In]]),Table4[[#This Row],[D 2pv]]*0.95)</f>
        <v>called</v>
      </c>
      <c r="O15" s="20" t="str">
        <f>IF(Table4[[#This Row],[D pct]]="called","called",(Table4[[#This Row],[D 2pv]]+$E$7))</f>
        <v>called</v>
      </c>
      <c r="P1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" s="21" t="str">
        <f>IF(Table4[[#This Row],[D captured of remain]]="called","called",Table4[[#This Row],[D captured of remain]]+Table4[[#This Row],[D pct]])</f>
        <v>called</v>
      </c>
      <c r="R15" s="22" t="str">
        <f>IF(Table4[[#This Row],[Expected D]]=1,"D",IF(Table4[[#This Row],[Expected R]]=1,"R",IF(Table4[[#This Row],[D total]]&gt;=0.5,"D","R")))</f>
        <v>D</v>
      </c>
      <c r="S15" s="22"/>
      <c r="T15" s="2" t="s">
        <v>329</v>
      </c>
      <c r="U15" s="2" t="s">
        <v>631</v>
      </c>
      <c r="V15" s="2" t="s">
        <v>639</v>
      </c>
    </row>
    <row r="16" spans="2:28" x14ac:dyDescent="0.35">
      <c r="B16" s="27">
        <v>7</v>
      </c>
      <c r="C16" s="2" t="s">
        <v>41</v>
      </c>
      <c r="D16" s="2" t="s">
        <v>35</v>
      </c>
      <c r="E16" s="4">
        <v>0.6</v>
      </c>
      <c r="F16" s="2" t="s">
        <v>511</v>
      </c>
      <c r="G16" s="4" t="s">
        <v>197</v>
      </c>
      <c r="H1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" s="2" t="str">
        <f>IF(OR(LEFT(Table4[[#This Row],[win_prob]],1)="D",LEFT(Table4[[#This Row],[win_prob]],1)="R"),LEFT(Table4[[#This Row],[win_prob]],1),LEFT(Table4[[#This Row],[Category]],1))</f>
        <v>D</v>
      </c>
      <c r="J1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" s="16" t="str">
        <f>RIGHT(Table4[[#This Row],[Margin]],LEN(Table4[[#This Row],[Margin]])-FIND("+",Table4[[#This Row],[Margin]]))</f>
        <v>35</v>
      </c>
      <c r="M16" s="20" t="str">
        <f>IF(Table4[[#This Row],[listedprob]]=1,"called",IF(LEFT(Table4[[#This Row],[Margin]],1)="D",(Table4[[#This Row],[Numeric Margin]]/2+50)/100,(-Table4[[#This Row],[Numeric Margin]]/2+50)/100))</f>
        <v>called</v>
      </c>
      <c r="N16" s="20" t="str">
        <f>IFERROR(IF(Table4[[#This Row],[D 2pv]]="called","called",Table4[[#This Row],[D 2pv]]*Table4[[#This Row],[Percent of votes in% In]]),Table4[[#This Row],[D 2pv]]*0.95)</f>
        <v>called</v>
      </c>
      <c r="O16" s="20" t="str">
        <f>IF(Table4[[#This Row],[D pct]]="called","called",(Table4[[#This Row],[D 2pv]]+$E$7))</f>
        <v>called</v>
      </c>
      <c r="P1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" s="21" t="str">
        <f>IF(Table4[[#This Row],[D captured of remain]]="called","called",Table4[[#This Row],[D captured of remain]]+Table4[[#This Row],[D pct]])</f>
        <v>called</v>
      </c>
      <c r="R16" s="22" t="str">
        <f>IF(Table4[[#This Row],[Expected D]]=1,"D",IF(Table4[[#This Row],[Expected R]]=1,"R",IF(Table4[[#This Row],[D total]]&gt;=0.5,"D","R")))</f>
        <v>D</v>
      </c>
      <c r="S16" s="22"/>
      <c r="T16" s="2" t="s">
        <v>203</v>
      </c>
      <c r="U16" s="2" t="s">
        <v>630</v>
      </c>
      <c r="V16" s="2" t="s">
        <v>640</v>
      </c>
      <c r="Y16" s="2">
        <f>SUM(Z10:Z14)</f>
        <v>212</v>
      </c>
      <c r="Z16" s="2">
        <f>SUM(AA10:AA14)</f>
        <v>219</v>
      </c>
    </row>
    <row r="17" spans="2:25" x14ac:dyDescent="0.35">
      <c r="B17" s="27">
        <v>8</v>
      </c>
      <c r="C17" s="2" t="s">
        <v>42</v>
      </c>
      <c r="D17" s="2" t="s">
        <v>35</v>
      </c>
      <c r="E17" s="4">
        <v>0.83</v>
      </c>
      <c r="F17" s="2" t="s">
        <v>514</v>
      </c>
      <c r="G17" s="4" t="s">
        <v>197</v>
      </c>
      <c r="H1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" s="2" t="str">
        <f>IF(OR(LEFT(Table4[[#This Row],[win_prob]],1)="D",LEFT(Table4[[#This Row],[win_prob]],1)="R"),LEFT(Table4[[#This Row],[win_prob]],1),LEFT(Table4[[#This Row],[Category]],1))</f>
        <v>D</v>
      </c>
      <c r="J1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" s="16" t="str">
        <f>RIGHT(Table4[[#This Row],[Margin]],LEN(Table4[[#This Row],[Margin]])-FIND("+",Table4[[#This Row],[Margin]]))</f>
        <v>49</v>
      </c>
      <c r="M17" s="20" t="str">
        <f>IF(Table4[[#This Row],[listedprob]]=1,"called",IF(LEFT(Table4[[#This Row],[Margin]],1)="D",(Table4[[#This Row],[Numeric Margin]]/2+50)/100,(-Table4[[#This Row],[Numeric Margin]]/2+50)/100))</f>
        <v>called</v>
      </c>
      <c r="N17" s="20" t="str">
        <f>IFERROR(IF(Table4[[#This Row],[D 2pv]]="called","called",Table4[[#This Row],[D 2pv]]*Table4[[#This Row],[Percent of votes in% In]]),Table4[[#This Row],[D 2pv]]*0.95)</f>
        <v>called</v>
      </c>
      <c r="O17" s="20" t="str">
        <f>IF(Table4[[#This Row],[D pct]]="called","called",(Table4[[#This Row],[D 2pv]]+$E$7))</f>
        <v>called</v>
      </c>
      <c r="P1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" s="21" t="str">
        <f>IF(Table4[[#This Row],[D captured of remain]]="called","called",Table4[[#This Row],[D captured of remain]]+Table4[[#This Row],[D pct]])</f>
        <v>called</v>
      </c>
      <c r="R17" s="22" t="str">
        <f>IF(Table4[[#This Row],[Expected D]]=1,"D",IF(Table4[[#This Row],[Expected R]]=1,"R",IF(Table4[[#This Row],[D total]]&gt;=0.5,"D","R")))</f>
        <v>D</v>
      </c>
      <c r="S17" s="22"/>
      <c r="T17" s="2" t="s">
        <v>57</v>
      </c>
      <c r="U17" s="2" t="s">
        <v>630</v>
      </c>
      <c r="V17" s="2" t="s">
        <v>639</v>
      </c>
      <c r="Y17" s="2">
        <f>Y16+AB10+AB11+AB14</f>
        <v>213</v>
      </c>
    </row>
    <row r="18" spans="2:25" x14ac:dyDescent="0.35">
      <c r="B18" s="27">
        <v>9</v>
      </c>
      <c r="C18" s="2" t="s">
        <v>43</v>
      </c>
      <c r="D18" s="2" t="s">
        <v>35</v>
      </c>
      <c r="E18" s="4">
        <v>0.71</v>
      </c>
      <c r="F18" s="2" t="s">
        <v>654</v>
      </c>
      <c r="G18" s="4" t="s">
        <v>197</v>
      </c>
      <c r="H1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" s="2" t="str">
        <f>IF(OR(LEFT(Table4[[#This Row],[win_prob]],1)="D",LEFT(Table4[[#This Row],[win_prob]],1)="R"),LEFT(Table4[[#This Row],[win_prob]],1),LEFT(Table4[[#This Row],[Category]],1))</f>
        <v>D</v>
      </c>
      <c r="J1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" s="16" t="str">
        <f>RIGHT(Table4[[#This Row],[Margin]],LEN(Table4[[#This Row],[Margin]])-FIND("+",Table4[[#This Row],[Margin]]))</f>
        <v>60</v>
      </c>
      <c r="M18" s="20" t="str">
        <f>IF(Table4[[#This Row],[listedprob]]=1,"called",IF(LEFT(Table4[[#This Row],[Margin]],1)="D",(Table4[[#This Row],[Numeric Margin]]/2+50)/100,(-Table4[[#This Row],[Numeric Margin]]/2+50)/100))</f>
        <v>called</v>
      </c>
      <c r="N18" s="20" t="str">
        <f>IFERROR(IF(Table4[[#This Row],[D 2pv]]="called","called",Table4[[#This Row],[D 2pv]]*Table4[[#This Row],[Percent of votes in% In]]),Table4[[#This Row],[D 2pv]]*0.95)</f>
        <v>called</v>
      </c>
      <c r="O18" s="20" t="str">
        <f>IF(Table4[[#This Row],[D pct]]="called","called",(Table4[[#This Row],[D 2pv]]+$E$7))</f>
        <v>called</v>
      </c>
      <c r="P1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" s="21" t="str">
        <f>IF(Table4[[#This Row],[D captured of remain]]="called","called",Table4[[#This Row],[D captured of remain]]+Table4[[#This Row],[D pct]])</f>
        <v>called</v>
      </c>
      <c r="R18" s="22" t="str">
        <f>IF(Table4[[#This Row],[Expected D]]=1,"D",IF(Table4[[#This Row],[Expected R]]=1,"R",IF(Table4[[#This Row],[D total]]&gt;=0.5,"D","R")))</f>
        <v>D</v>
      </c>
      <c r="S18" s="22"/>
      <c r="T18" s="2" t="s">
        <v>62</v>
      </c>
      <c r="U18" s="2" t="s">
        <v>630</v>
      </c>
      <c r="V18" s="2" t="s">
        <v>639</v>
      </c>
    </row>
    <row r="19" spans="2:25" x14ac:dyDescent="0.35">
      <c r="B19" s="27">
        <v>10</v>
      </c>
      <c r="C19" s="2" t="s">
        <v>44</v>
      </c>
      <c r="D19" s="2" t="s">
        <v>35</v>
      </c>
      <c r="E19" s="4">
        <v>0.93</v>
      </c>
      <c r="F19" s="2" t="s">
        <v>676</v>
      </c>
      <c r="G19" s="4" t="s">
        <v>197</v>
      </c>
      <c r="H1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" s="2" t="str">
        <f>IF(OR(LEFT(Table4[[#This Row],[win_prob]],1)="D",LEFT(Table4[[#This Row],[win_prob]],1)="R"),LEFT(Table4[[#This Row],[win_prob]],1),LEFT(Table4[[#This Row],[Category]],1))</f>
        <v>D</v>
      </c>
      <c r="J1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" s="16" t="str">
        <f>RIGHT(Table4[[#This Row],[Margin]],LEN(Table4[[#This Row],[Margin]])-FIND("+",Table4[[#This Row],[Margin]]))</f>
        <v>68</v>
      </c>
      <c r="M19" s="20" t="str">
        <f>IF(Table4[[#This Row],[listedprob]]=1,"called",IF(LEFT(Table4[[#This Row],[Margin]],1)="D",(Table4[[#This Row],[Numeric Margin]]/2+50)/100,(-Table4[[#This Row],[Numeric Margin]]/2+50)/100))</f>
        <v>called</v>
      </c>
      <c r="N19" s="20" t="str">
        <f>IFERROR(IF(Table4[[#This Row],[D 2pv]]="called","called",Table4[[#This Row],[D 2pv]]*Table4[[#This Row],[Percent of votes in% In]]),Table4[[#This Row],[D 2pv]]*0.95)</f>
        <v>called</v>
      </c>
      <c r="O19" s="20" t="str">
        <f>IF(Table4[[#This Row],[D pct]]="called","called",(Table4[[#This Row],[D 2pv]]+$E$7))</f>
        <v>called</v>
      </c>
      <c r="P1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" s="21" t="str">
        <f>IF(Table4[[#This Row],[D captured of remain]]="called","called",Table4[[#This Row],[D captured of remain]]+Table4[[#This Row],[D pct]])</f>
        <v>called</v>
      </c>
      <c r="R19" s="22" t="str">
        <f>IF(Table4[[#This Row],[Expected D]]=1,"D",IF(Table4[[#This Row],[Expected R]]=1,"R",IF(Table4[[#This Row],[D total]]&gt;=0.5,"D","R")))</f>
        <v>D</v>
      </c>
      <c r="S19" s="22"/>
      <c r="T19" s="2" t="s">
        <v>63</v>
      </c>
      <c r="U19" s="2" t="s">
        <v>630</v>
      </c>
      <c r="V19" s="2" t="s">
        <v>639</v>
      </c>
      <c r="W19" s="4"/>
    </row>
    <row r="20" spans="2:25" x14ac:dyDescent="0.35">
      <c r="B20" s="27">
        <v>11</v>
      </c>
      <c r="C20" s="2" t="s">
        <v>45</v>
      </c>
      <c r="D20" s="2" t="s">
        <v>35</v>
      </c>
      <c r="E20" s="4">
        <v>0.53</v>
      </c>
      <c r="F20" s="2" t="s">
        <v>677</v>
      </c>
      <c r="G20" s="4" t="s">
        <v>197</v>
      </c>
      <c r="H2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" s="2" t="str">
        <f>IF(OR(LEFT(Table4[[#This Row],[win_prob]],1)="D",LEFT(Table4[[#This Row],[win_prob]],1)="R"),LEFT(Table4[[#This Row],[win_prob]],1),LEFT(Table4[[#This Row],[Category]],1))</f>
        <v>D</v>
      </c>
      <c r="J2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0" s="16" t="str">
        <f>RIGHT(Table4[[#This Row],[Margin]],LEN(Table4[[#This Row],[Margin]])-FIND("+",Table4[[#This Row],[Margin]]))</f>
        <v>79</v>
      </c>
      <c r="M20" s="20" t="str">
        <f>IF(Table4[[#This Row],[listedprob]]=1,"called",IF(LEFT(Table4[[#This Row],[Margin]],1)="D",(Table4[[#This Row],[Numeric Margin]]/2+50)/100,(-Table4[[#This Row],[Numeric Margin]]/2+50)/100))</f>
        <v>called</v>
      </c>
      <c r="N20" s="20" t="str">
        <f>IFERROR(IF(Table4[[#This Row],[D 2pv]]="called","called",Table4[[#This Row],[D 2pv]]*Table4[[#This Row],[Percent of votes in% In]]),Table4[[#This Row],[D 2pv]]*0.95)</f>
        <v>called</v>
      </c>
      <c r="O20" s="20" t="str">
        <f>IF(Table4[[#This Row],[D pct]]="called","called",(Table4[[#This Row],[D 2pv]]+$E$7))</f>
        <v>called</v>
      </c>
      <c r="P2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" s="21" t="str">
        <f>IF(Table4[[#This Row],[D captured of remain]]="called","called",Table4[[#This Row],[D captured of remain]]+Table4[[#This Row],[D pct]])</f>
        <v>called</v>
      </c>
      <c r="R20" s="22" t="str">
        <f>IF(Table4[[#This Row],[Expected D]]=1,"D",IF(Table4[[#This Row],[Expected R]]=1,"R",IF(Table4[[#This Row],[D total]]&gt;=0.5,"D","R")))</f>
        <v>D</v>
      </c>
      <c r="S20" s="22"/>
      <c r="T20" s="2" t="s">
        <v>65</v>
      </c>
      <c r="U20" s="2" t="s">
        <v>630</v>
      </c>
      <c r="V20" s="2" t="s">
        <v>639</v>
      </c>
      <c r="W20" s="4"/>
    </row>
    <row r="21" spans="2:25" x14ac:dyDescent="0.35">
      <c r="B21" s="27">
        <v>12</v>
      </c>
      <c r="C21" s="2" t="s">
        <v>46</v>
      </c>
      <c r="D21" s="2" t="s">
        <v>35</v>
      </c>
      <c r="E21" s="4">
        <v>0.53</v>
      </c>
      <c r="F21" s="2" t="s">
        <v>526</v>
      </c>
      <c r="G21" s="4" t="s">
        <v>197</v>
      </c>
      <c r="H2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" s="2" t="str">
        <f>IF(OR(LEFT(Table4[[#This Row],[win_prob]],1)="D",LEFT(Table4[[#This Row],[win_prob]],1)="R"),LEFT(Table4[[#This Row],[win_prob]],1),LEFT(Table4[[#This Row],[Category]],1))</f>
        <v>D</v>
      </c>
      <c r="J2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1" s="16" t="str">
        <f>RIGHT(Table4[[#This Row],[Margin]],LEN(Table4[[#This Row],[Margin]])-FIND("+",Table4[[#This Row],[Margin]]))</f>
        <v>36</v>
      </c>
      <c r="M21" s="20" t="str">
        <f>IF(Table4[[#This Row],[listedprob]]=1,"called",IF(LEFT(Table4[[#This Row],[Margin]],1)="D",(Table4[[#This Row],[Numeric Margin]]/2+50)/100,(-Table4[[#This Row],[Numeric Margin]]/2+50)/100))</f>
        <v>called</v>
      </c>
      <c r="N21" s="20" t="str">
        <f>IFERROR(IF(Table4[[#This Row],[D 2pv]]="called","called",Table4[[#This Row],[D 2pv]]*Table4[[#This Row],[Percent of votes in% In]]),Table4[[#This Row],[D 2pv]]*0.95)</f>
        <v>called</v>
      </c>
      <c r="O21" s="20" t="str">
        <f>IF(Table4[[#This Row],[D pct]]="called","called",(Table4[[#This Row],[D 2pv]]+$E$7))</f>
        <v>called</v>
      </c>
      <c r="P2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" s="21" t="str">
        <f>IF(Table4[[#This Row],[D captured of remain]]="called","called",Table4[[#This Row],[D captured of remain]]+Table4[[#This Row],[D pct]])</f>
        <v>called</v>
      </c>
      <c r="R21" s="22" t="str">
        <f>IF(Table4[[#This Row],[Expected D]]=1,"D",IF(Table4[[#This Row],[Expected R]]=1,"R",IF(Table4[[#This Row],[D total]]&gt;=0.5,"D","R")))</f>
        <v>D</v>
      </c>
      <c r="S21" s="22"/>
      <c r="T21" s="2" t="s">
        <v>66</v>
      </c>
      <c r="U21" s="2" t="s">
        <v>630</v>
      </c>
      <c r="V21" s="2" t="s">
        <v>639</v>
      </c>
      <c r="W21" s="4"/>
    </row>
    <row r="22" spans="2:25" x14ac:dyDescent="0.35">
      <c r="B22" s="27">
        <v>13</v>
      </c>
      <c r="C22" s="2" t="s">
        <v>47</v>
      </c>
      <c r="D22" s="2" t="s">
        <v>35</v>
      </c>
      <c r="E22" s="4">
        <v>0.82</v>
      </c>
      <c r="F22" s="2" t="s">
        <v>512</v>
      </c>
      <c r="G22" s="4" t="s">
        <v>197</v>
      </c>
      <c r="H2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" s="2" t="str">
        <f>IF(OR(LEFT(Table4[[#This Row],[win_prob]],1)="D",LEFT(Table4[[#This Row],[win_prob]],1)="R"),LEFT(Table4[[#This Row],[win_prob]],1),LEFT(Table4[[#This Row],[Category]],1))</f>
        <v>D</v>
      </c>
      <c r="J2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2" s="16" t="str">
        <f>RIGHT(Table4[[#This Row],[Margin]],LEN(Table4[[#This Row],[Margin]])-FIND("+",Table4[[#This Row],[Margin]]))</f>
        <v>12</v>
      </c>
      <c r="M22" s="20" t="str">
        <f>IF(Table4[[#This Row],[listedprob]]=1,"called",IF(LEFT(Table4[[#This Row],[Margin]],1)="D",(Table4[[#This Row],[Numeric Margin]]/2+50)/100,(-Table4[[#This Row],[Numeric Margin]]/2+50)/100))</f>
        <v>called</v>
      </c>
      <c r="N22" s="20" t="str">
        <f>IFERROR(IF(Table4[[#This Row],[D 2pv]]="called","called",Table4[[#This Row],[D 2pv]]*Table4[[#This Row],[Percent of votes in% In]]),Table4[[#This Row],[D 2pv]]*0.95)</f>
        <v>called</v>
      </c>
      <c r="O22" s="20" t="str">
        <f>IF(Table4[[#This Row],[D pct]]="called","called",(Table4[[#This Row],[D 2pv]]+$E$7))</f>
        <v>called</v>
      </c>
      <c r="P2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" s="21" t="str">
        <f>IF(Table4[[#This Row],[D captured of remain]]="called","called",Table4[[#This Row],[D captured of remain]]+Table4[[#This Row],[D pct]])</f>
        <v>called</v>
      </c>
      <c r="R22" s="22" t="str">
        <f>IF(Table4[[#This Row],[Expected D]]=1,"D",IF(Table4[[#This Row],[Expected R]]=1,"R",IF(Table4[[#This Row],[D total]]&gt;=0.5,"D","R")))</f>
        <v>D</v>
      </c>
      <c r="S22" s="22"/>
      <c r="T22" s="2" t="s">
        <v>290</v>
      </c>
      <c r="U22" s="2" t="s">
        <v>631</v>
      </c>
      <c r="V22" s="2" t="s">
        <v>639</v>
      </c>
      <c r="W22" s="4"/>
    </row>
    <row r="23" spans="2:25" x14ac:dyDescent="0.35">
      <c r="B23" s="27">
        <v>14</v>
      </c>
      <c r="C23" s="2" t="s">
        <v>49</v>
      </c>
      <c r="D23" s="2" t="s">
        <v>35</v>
      </c>
      <c r="E23" s="4">
        <v>0.85</v>
      </c>
      <c r="F23" s="2" t="s">
        <v>527</v>
      </c>
      <c r="G23" s="4" t="s">
        <v>197</v>
      </c>
      <c r="H2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" s="2" t="str">
        <f>IF(OR(LEFT(Table4[[#This Row],[win_prob]],1)="D",LEFT(Table4[[#This Row],[win_prob]],1)="R"),LEFT(Table4[[#This Row],[win_prob]],1),LEFT(Table4[[#This Row],[Category]],1))</f>
        <v>D</v>
      </c>
      <c r="J2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3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3" s="16" t="str">
        <f>RIGHT(Table4[[#This Row],[Margin]],LEN(Table4[[#This Row],[Margin]])-FIND("+",Table4[[#This Row],[Margin]]))</f>
        <v>16</v>
      </c>
      <c r="M23" s="20" t="str">
        <f>IF(Table4[[#This Row],[listedprob]]=1,"called",IF(LEFT(Table4[[#This Row],[Margin]],1)="D",(Table4[[#This Row],[Numeric Margin]]/2+50)/100,(-Table4[[#This Row],[Numeric Margin]]/2+50)/100))</f>
        <v>called</v>
      </c>
      <c r="N23" s="20" t="str">
        <f>IFERROR(IF(Table4[[#This Row],[D 2pv]]="called","called",Table4[[#This Row],[D 2pv]]*Table4[[#This Row],[Percent of votes in% In]]),Table4[[#This Row],[D 2pv]]*0.95)</f>
        <v>called</v>
      </c>
      <c r="O23" s="20" t="str">
        <f>IF(Table4[[#This Row],[D pct]]="called","called",(Table4[[#This Row],[D 2pv]]+$E$7))</f>
        <v>called</v>
      </c>
      <c r="P2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" s="21" t="str">
        <f>IF(Table4[[#This Row],[D captured of remain]]="called","called",Table4[[#This Row],[D captured of remain]]+Table4[[#This Row],[D pct]])</f>
        <v>called</v>
      </c>
      <c r="R23" s="22" t="str">
        <f>IF(Table4[[#This Row],[Expected D]]=1,"D",IF(Table4[[#This Row],[Expected R]]=1,"R",IF(Table4[[#This Row],[D total]]&gt;=0.5,"D","R")))</f>
        <v>D</v>
      </c>
      <c r="S23" s="22"/>
      <c r="T23" s="2" t="s">
        <v>71</v>
      </c>
      <c r="U23" s="2" t="s">
        <v>630</v>
      </c>
      <c r="V23" s="2" t="s">
        <v>639</v>
      </c>
      <c r="W23" s="4"/>
    </row>
    <row r="24" spans="2:25" ht="14.5" customHeight="1" x14ac:dyDescent="0.35">
      <c r="B24" s="27">
        <v>15</v>
      </c>
      <c r="C24" s="2" t="s">
        <v>50</v>
      </c>
      <c r="D24" s="2" t="s">
        <v>35</v>
      </c>
      <c r="E24" s="4">
        <v>0.82</v>
      </c>
      <c r="F24" s="2" t="s">
        <v>556</v>
      </c>
      <c r="G24" s="4" t="s">
        <v>197</v>
      </c>
      <c r="H2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" s="2" t="str">
        <f>IF(OR(LEFT(Table4[[#This Row],[win_prob]],1)="D",LEFT(Table4[[#This Row],[win_prob]],1)="R"),LEFT(Table4[[#This Row],[win_prob]],1),LEFT(Table4[[#This Row],[Category]],1))</f>
        <v>D</v>
      </c>
      <c r="J2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4" s="16" t="str">
        <f>RIGHT(Table4[[#This Row],[Margin]],LEN(Table4[[#This Row],[Margin]])-FIND("+",Table4[[#This Row],[Margin]]))</f>
        <v>42</v>
      </c>
      <c r="M24" s="20" t="str">
        <f>IF(Table4[[#This Row],[listedprob]]=1,"called",IF(LEFT(Table4[[#This Row],[Margin]],1)="D",(Table4[[#This Row],[Numeric Margin]]/2+50)/100,(-Table4[[#This Row],[Numeric Margin]]/2+50)/100))</f>
        <v>called</v>
      </c>
      <c r="N24" s="20" t="str">
        <f>IFERROR(IF(Table4[[#This Row],[D 2pv]]="called","called",Table4[[#This Row],[D 2pv]]*Table4[[#This Row],[Percent of votes in% In]]),Table4[[#This Row],[D 2pv]]*0.95)</f>
        <v>called</v>
      </c>
      <c r="O24" s="20" t="str">
        <f>IF(Table4[[#This Row],[D pct]]="called","called",(Table4[[#This Row],[D 2pv]]+$E$7))</f>
        <v>called</v>
      </c>
      <c r="P2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" s="21" t="str">
        <f>IF(Table4[[#This Row],[D captured of remain]]="called","called",Table4[[#This Row],[D captured of remain]]+Table4[[#This Row],[D pct]])</f>
        <v>called</v>
      </c>
      <c r="R24" s="22" t="str">
        <f>IF(Table4[[#This Row],[Expected D]]=1,"D",IF(Table4[[#This Row],[Expected R]]=1,"R",IF(Table4[[#This Row],[D total]]&gt;=0.5,"D","R")))</f>
        <v>D</v>
      </c>
      <c r="S24" s="22"/>
      <c r="T24" s="2" t="s">
        <v>40</v>
      </c>
      <c r="U24" s="2" t="s">
        <v>630</v>
      </c>
      <c r="V24" s="2" t="s">
        <v>640</v>
      </c>
      <c r="W24" s="4"/>
    </row>
    <row r="25" spans="2:25" ht="14.5" customHeight="1" x14ac:dyDescent="0.35">
      <c r="B25" s="27">
        <v>16</v>
      </c>
      <c r="C25" s="2" t="s">
        <v>51</v>
      </c>
      <c r="D25" s="2" t="s">
        <v>35</v>
      </c>
      <c r="E25" s="4">
        <v>0.81</v>
      </c>
      <c r="F25" s="2" t="s">
        <v>537</v>
      </c>
      <c r="G25" s="4" t="s">
        <v>197</v>
      </c>
      <c r="H2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" s="2" t="str">
        <f>IF(OR(LEFT(Table4[[#This Row],[win_prob]],1)="D",LEFT(Table4[[#This Row],[win_prob]],1)="R"),LEFT(Table4[[#This Row],[win_prob]],1),LEFT(Table4[[#This Row],[Category]],1))</f>
        <v>D</v>
      </c>
      <c r="J2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5" s="16" t="str">
        <f>RIGHT(Table4[[#This Row],[Margin]],LEN(Table4[[#This Row],[Margin]])-FIND("+",Table4[[#This Row],[Margin]]))</f>
        <v>33</v>
      </c>
      <c r="M25" s="20" t="str">
        <f>IF(Table4[[#This Row],[listedprob]]=1,"called",IF(LEFT(Table4[[#This Row],[Margin]],1)="D",(Table4[[#This Row],[Numeric Margin]]/2+50)/100,(-Table4[[#This Row],[Numeric Margin]]/2+50)/100))</f>
        <v>called</v>
      </c>
      <c r="N25" s="20" t="str">
        <f>IFERROR(IF(Table4[[#This Row],[D 2pv]]="called","called",Table4[[#This Row],[D 2pv]]*Table4[[#This Row],[Percent of votes in% In]]),Table4[[#This Row],[D 2pv]]*0.95)</f>
        <v>called</v>
      </c>
      <c r="O25" s="20" t="str">
        <f>IF(Table4[[#This Row],[D pct]]="called","called",(Table4[[#This Row],[D 2pv]]+$E$7))</f>
        <v>called</v>
      </c>
      <c r="P2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" s="21" t="str">
        <f>IF(Table4[[#This Row],[D captured of remain]]="called","called",Table4[[#This Row],[D captured of remain]]+Table4[[#This Row],[D pct]])</f>
        <v>called</v>
      </c>
      <c r="R25" s="22" t="str">
        <f>IF(Table4[[#This Row],[Expected D]]=1,"D",IF(Table4[[#This Row],[Expected R]]=1,"R",IF(Table4[[#This Row],[D total]]&gt;=0.5,"D","R")))</f>
        <v>D</v>
      </c>
      <c r="S25" s="22"/>
      <c r="T25" s="2" t="s">
        <v>238</v>
      </c>
      <c r="U25" s="2" t="s">
        <v>630</v>
      </c>
      <c r="V25" s="2" t="s">
        <v>639</v>
      </c>
      <c r="W25" s="4"/>
    </row>
    <row r="26" spans="2:25" ht="14.5" customHeight="1" x14ac:dyDescent="0.35">
      <c r="B26" s="27">
        <v>17</v>
      </c>
      <c r="C26" s="2" t="s">
        <v>52</v>
      </c>
      <c r="D26" s="2" t="s">
        <v>35</v>
      </c>
      <c r="E26" s="4">
        <v>0.78</v>
      </c>
      <c r="F26" s="2" t="s">
        <v>547</v>
      </c>
      <c r="G26" s="4" t="s">
        <v>197</v>
      </c>
      <c r="H2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" s="2" t="str">
        <f>IF(OR(LEFT(Table4[[#This Row],[win_prob]],1)="D",LEFT(Table4[[#This Row],[win_prob]],1)="R"),LEFT(Table4[[#This Row],[win_prob]],1),LEFT(Table4[[#This Row],[Category]],1))</f>
        <v>D</v>
      </c>
      <c r="J2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6" s="16" t="str">
        <f>RIGHT(Table4[[#This Row],[Margin]],LEN(Table4[[#This Row],[Margin]])-FIND("+",Table4[[#This Row],[Margin]]))</f>
        <v>40</v>
      </c>
      <c r="M26" s="20" t="str">
        <f>IF(Table4[[#This Row],[listedprob]]=1,"called",IF(LEFT(Table4[[#This Row],[Margin]],1)="D",(Table4[[#This Row],[Numeric Margin]]/2+50)/100,(-Table4[[#This Row],[Numeric Margin]]/2+50)/100))</f>
        <v>called</v>
      </c>
      <c r="N26" s="20" t="str">
        <f>IFERROR(IF(Table4[[#This Row],[D 2pv]]="called","called",Table4[[#This Row],[D 2pv]]*Table4[[#This Row],[Percent of votes in% In]]),Table4[[#This Row],[D 2pv]]*0.95)</f>
        <v>called</v>
      </c>
      <c r="O26" s="20" t="str">
        <f>IF(Table4[[#This Row],[D pct]]="called","called",(Table4[[#This Row],[D 2pv]]+$E$7))</f>
        <v>called</v>
      </c>
      <c r="P2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" s="21" t="str">
        <f>IF(Table4[[#This Row],[D captured of remain]]="called","called",Table4[[#This Row],[D captured of remain]]+Table4[[#This Row],[D pct]])</f>
        <v>called</v>
      </c>
      <c r="R26" s="22" t="str">
        <f>IF(Table4[[#This Row],[Expected D]]=1,"D",IF(Table4[[#This Row],[Expected R]]=1,"R",IF(Table4[[#This Row],[D total]]&gt;=0.5,"D","R")))</f>
        <v>D</v>
      </c>
      <c r="S26" s="22"/>
      <c r="T26" s="2" t="s">
        <v>240</v>
      </c>
      <c r="U26" s="2" t="s">
        <v>630</v>
      </c>
      <c r="V26" s="2" t="s">
        <v>639</v>
      </c>
      <c r="W26" s="4"/>
    </row>
    <row r="27" spans="2:25" x14ac:dyDescent="0.35">
      <c r="B27" s="27">
        <v>18</v>
      </c>
      <c r="C27" s="2" t="s">
        <v>53</v>
      </c>
      <c r="D27" s="2" t="s">
        <v>35</v>
      </c>
      <c r="E27" s="4">
        <v>0.84</v>
      </c>
      <c r="F27" s="2" t="s">
        <v>523</v>
      </c>
      <c r="G27" s="4" t="s">
        <v>197</v>
      </c>
      <c r="H2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" s="2" t="str">
        <f>IF(OR(LEFT(Table4[[#This Row],[win_prob]],1)="D",LEFT(Table4[[#This Row],[win_prob]],1)="R"),LEFT(Table4[[#This Row],[win_prob]],1),LEFT(Table4[[#This Row],[Category]],1))</f>
        <v>D</v>
      </c>
      <c r="J2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7" s="16" t="str">
        <f>RIGHT(Table4[[#This Row],[Margin]],LEN(Table4[[#This Row],[Margin]])-FIND("+",Table4[[#This Row],[Margin]]))</f>
        <v>10</v>
      </c>
      <c r="M27" s="20" t="str">
        <f>IF(Table4[[#This Row],[listedprob]]=1,"called",IF(LEFT(Table4[[#This Row],[Margin]],1)="D",(Table4[[#This Row],[Numeric Margin]]/2+50)/100,(-Table4[[#This Row],[Numeric Margin]]/2+50)/100))</f>
        <v>called</v>
      </c>
      <c r="N27" s="20" t="str">
        <f>IFERROR(IF(Table4[[#This Row],[D 2pv]]="called","called",Table4[[#This Row],[D 2pv]]*Table4[[#This Row],[Percent of votes in% In]]),Table4[[#This Row],[D 2pv]]*0.95)</f>
        <v>called</v>
      </c>
      <c r="O27" s="20" t="str">
        <f>IF(Table4[[#This Row],[D pct]]="called","called",(Table4[[#This Row],[D 2pv]]+$E$7))</f>
        <v>called</v>
      </c>
      <c r="P2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" s="21" t="str">
        <f>IF(Table4[[#This Row],[D captured of remain]]="called","called",Table4[[#This Row],[D captured of remain]]+Table4[[#This Row],[D pct]])</f>
        <v>called</v>
      </c>
      <c r="R27" s="22" t="str">
        <f>IF(Table4[[#This Row],[Expected D]]=1,"D",IF(Table4[[#This Row],[Expected R]]=1,"R",IF(Table4[[#This Row],[D total]]&gt;=0.5,"D","R")))</f>
        <v>D</v>
      </c>
      <c r="S27" s="22"/>
      <c r="T27" s="2" t="s">
        <v>212</v>
      </c>
      <c r="U27" s="2" t="s">
        <v>630</v>
      </c>
      <c r="V27" s="2" t="s">
        <v>639</v>
      </c>
      <c r="W27" s="4"/>
    </row>
    <row r="28" spans="2:25" ht="14.5" customHeight="1" x14ac:dyDescent="0.35">
      <c r="B28" s="27">
        <v>19</v>
      </c>
      <c r="C28" s="2" t="s">
        <v>54</v>
      </c>
      <c r="D28" s="2" t="s">
        <v>35</v>
      </c>
      <c r="E28" s="4">
        <v>0.76</v>
      </c>
      <c r="F28" s="2" t="s">
        <v>520</v>
      </c>
      <c r="G28" s="4" t="s">
        <v>197</v>
      </c>
      <c r="H2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" s="2" t="str">
        <f>IF(OR(LEFT(Table4[[#This Row],[win_prob]],1)="D",LEFT(Table4[[#This Row],[win_prob]],1)="R"),LEFT(Table4[[#This Row],[win_prob]],1),LEFT(Table4[[#This Row],[Category]],1))</f>
        <v>D</v>
      </c>
      <c r="J2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8" s="16" t="str">
        <f>RIGHT(Table4[[#This Row],[Margin]],LEN(Table4[[#This Row],[Margin]])-FIND("+",Table4[[#This Row],[Margin]]))</f>
        <v>23</v>
      </c>
      <c r="M28" s="20" t="str">
        <f>IF(Table4[[#This Row],[listedprob]]=1,"called",IF(LEFT(Table4[[#This Row],[Margin]],1)="D",(Table4[[#This Row],[Numeric Margin]]/2+50)/100,(-Table4[[#This Row],[Numeric Margin]]/2+50)/100))</f>
        <v>called</v>
      </c>
      <c r="N28" s="20" t="str">
        <f>IFERROR(IF(Table4[[#This Row],[D 2pv]]="called","called",Table4[[#This Row],[D 2pv]]*Table4[[#This Row],[Percent of votes in% In]]),Table4[[#This Row],[D 2pv]]*0.95)</f>
        <v>called</v>
      </c>
      <c r="O28" s="20" t="str">
        <f>IF(Table4[[#This Row],[D pct]]="called","called",(Table4[[#This Row],[D 2pv]]+$E$7))</f>
        <v>called</v>
      </c>
      <c r="P2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" s="21" t="str">
        <f>IF(Table4[[#This Row],[D captured of remain]]="called","called",Table4[[#This Row],[D captured of remain]]+Table4[[#This Row],[D pct]])</f>
        <v>called</v>
      </c>
      <c r="R28" s="22" t="str">
        <f>IF(Table4[[#This Row],[Expected D]]=1,"D",IF(Table4[[#This Row],[Expected R]]=1,"R",IF(Table4[[#This Row],[D total]]&gt;=0.5,"D","R")))</f>
        <v>D</v>
      </c>
      <c r="S28" s="22"/>
      <c r="T28" s="2" t="s">
        <v>301</v>
      </c>
      <c r="U28" s="2" t="s">
        <v>631</v>
      </c>
      <c r="V28" s="2" t="s">
        <v>639</v>
      </c>
      <c r="W28" s="4"/>
    </row>
    <row r="29" spans="2:25" ht="14.5" customHeight="1" x14ac:dyDescent="0.35">
      <c r="B29" s="27">
        <v>20</v>
      </c>
      <c r="C29" s="2" t="s">
        <v>55</v>
      </c>
      <c r="D29" s="2" t="s">
        <v>35</v>
      </c>
      <c r="E29" s="4">
        <v>0.83</v>
      </c>
      <c r="F29" s="2" t="s">
        <v>527</v>
      </c>
      <c r="G29" s="4" t="s">
        <v>197</v>
      </c>
      <c r="H2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" s="2" t="str">
        <f>IF(OR(LEFT(Table4[[#This Row],[win_prob]],1)="D",LEFT(Table4[[#This Row],[win_prob]],1)="R"),LEFT(Table4[[#This Row],[win_prob]],1),LEFT(Table4[[#This Row],[Category]],1))</f>
        <v>D</v>
      </c>
      <c r="J2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9" s="16" t="str">
        <f>RIGHT(Table4[[#This Row],[Margin]],LEN(Table4[[#This Row],[Margin]])-FIND("+",Table4[[#This Row],[Margin]]))</f>
        <v>16</v>
      </c>
      <c r="M29" s="20" t="str">
        <f>IF(Table4[[#This Row],[listedprob]]=1,"called",IF(LEFT(Table4[[#This Row],[Margin]],1)="D",(Table4[[#This Row],[Numeric Margin]]/2+50)/100,(-Table4[[#This Row],[Numeric Margin]]/2+50)/100))</f>
        <v>called</v>
      </c>
      <c r="N29" s="20" t="str">
        <f>IFERROR(IF(Table4[[#This Row],[D 2pv]]="called","called",Table4[[#This Row],[D 2pv]]*Table4[[#This Row],[Percent of votes in% In]]),Table4[[#This Row],[D 2pv]]*0.95)</f>
        <v>called</v>
      </c>
      <c r="O29" s="20" t="str">
        <f>IF(Table4[[#This Row],[D pct]]="called","called",(Table4[[#This Row],[D 2pv]]+$E$7))</f>
        <v>called</v>
      </c>
      <c r="P2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" s="21" t="str">
        <f>IF(Table4[[#This Row],[D captured of remain]]="called","called",Table4[[#This Row],[D captured of remain]]+Table4[[#This Row],[D pct]])</f>
        <v>called</v>
      </c>
      <c r="R29" s="22" t="str">
        <f>IF(Table4[[#This Row],[Expected D]]=1,"D",IF(Table4[[#This Row],[Expected R]]=1,"R",IF(Table4[[#This Row],[D total]]&gt;=0.5,"D","R")))</f>
        <v>D</v>
      </c>
      <c r="S29" s="22"/>
      <c r="T29" s="2" t="s">
        <v>255</v>
      </c>
      <c r="U29" s="2" t="s">
        <v>630</v>
      </c>
      <c r="V29" s="2" t="s">
        <v>639</v>
      </c>
      <c r="W29" s="4"/>
    </row>
    <row r="30" spans="2:25" ht="14.5" customHeight="1" x14ac:dyDescent="0.35">
      <c r="B30" s="27">
        <v>21</v>
      </c>
      <c r="C30" s="2" t="s">
        <v>56</v>
      </c>
      <c r="D30" s="2" t="s">
        <v>35</v>
      </c>
      <c r="E30" s="4">
        <v>0.7</v>
      </c>
      <c r="F30" s="2" t="s">
        <v>513</v>
      </c>
      <c r="G30" s="4" t="s">
        <v>197</v>
      </c>
      <c r="H3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" s="2" t="str">
        <f>IF(OR(LEFT(Table4[[#This Row],[win_prob]],1)="D",LEFT(Table4[[#This Row],[win_prob]],1)="R"),LEFT(Table4[[#This Row],[win_prob]],1),LEFT(Table4[[#This Row],[Category]],1))</f>
        <v>D</v>
      </c>
      <c r="J3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30" s="16" t="str">
        <f>RIGHT(Table4[[#This Row],[Margin]],LEN(Table4[[#This Row],[Margin]])-FIND("+",Table4[[#This Row],[Margin]]))</f>
        <v>31</v>
      </c>
      <c r="M30" s="20" t="str">
        <f>IF(Table4[[#This Row],[listedprob]]=1,"called",IF(LEFT(Table4[[#This Row],[Margin]],1)="D",(Table4[[#This Row],[Numeric Margin]]/2+50)/100,(-Table4[[#This Row],[Numeric Margin]]/2+50)/100))</f>
        <v>called</v>
      </c>
      <c r="N30" s="20" t="str">
        <f>IFERROR(IF(Table4[[#This Row],[D 2pv]]="called","called",Table4[[#This Row],[D 2pv]]*Table4[[#This Row],[Percent of votes in% In]]),Table4[[#This Row],[D 2pv]]*0.95)</f>
        <v>called</v>
      </c>
      <c r="O30" s="20" t="str">
        <f>IF(Table4[[#This Row],[D pct]]="called","called",(Table4[[#This Row],[D 2pv]]+$E$7))</f>
        <v>called</v>
      </c>
      <c r="P3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" s="21" t="str">
        <f>IF(Table4[[#This Row],[D captured of remain]]="called","called",Table4[[#This Row],[D captured of remain]]+Table4[[#This Row],[D pct]])</f>
        <v>called</v>
      </c>
      <c r="R30" s="22" t="str">
        <f>IF(Table4[[#This Row],[Expected D]]=1,"D",IF(Table4[[#This Row],[Expected R]]=1,"R",IF(Table4[[#This Row],[D total]]&gt;=0.5,"D","R")))</f>
        <v>D</v>
      </c>
      <c r="S30" s="22"/>
      <c r="T30" s="2" t="s">
        <v>220</v>
      </c>
      <c r="U30" s="2" t="s">
        <v>630</v>
      </c>
      <c r="V30" s="2" t="s">
        <v>640</v>
      </c>
      <c r="W30" s="4"/>
    </row>
    <row r="31" spans="2:25" x14ac:dyDescent="0.35">
      <c r="B31" s="27">
        <v>22</v>
      </c>
      <c r="C31" s="2" t="s">
        <v>57</v>
      </c>
      <c r="D31" s="2" t="s">
        <v>35</v>
      </c>
      <c r="E31" s="4">
        <v>0.7</v>
      </c>
      <c r="F31" s="2" t="s">
        <v>519</v>
      </c>
      <c r="G31" s="4" t="s">
        <v>197</v>
      </c>
      <c r="H3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" s="2" t="str">
        <f>IF(OR(LEFT(Table4[[#This Row],[win_prob]],1)="D",LEFT(Table4[[#This Row],[win_prob]],1)="R"),LEFT(Table4[[#This Row],[win_prob]],1),LEFT(Table4[[#This Row],[Category]],1))</f>
        <v>D</v>
      </c>
      <c r="J3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1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31" s="16" t="str">
        <f>RIGHT(Table4[[#This Row],[Margin]],LEN(Table4[[#This Row],[Margin]])-FIND("+",Table4[[#This Row],[Margin]]))</f>
        <v>21</v>
      </c>
      <c r="M31" s="20" t="str">
        <f>IF(Table4[[#This Row],[listedprob]]=1,"called",IF(LEFT(Table4[[#This Row],[Margin]],1)="D",(Table4[[#This Row],[Numeric Margin]]/2+50)/100,(-Table4[[#This Row],[Numeric Margin]]/2+50)/100))</f>
        <v>called</v>
      </c>
      <c r="N31" s="20" t="str">
        <f>IFERROR(IF(Table4[[#This Row],[D 2pv]]="called","called",Table4[[#This Row],[D 2pv]]*Table4[[#This Row],[Percent of votes in% In]]),Table4[[#This Row],[D 2pv]]*0.95)</f>
        <v>called</v>
      </c>
      <c r="O31" s="20" t="str">
        <f>IF(Table4[[#This Row],[D pct]]="called","called",(Table4[[#This Row],[D 2pv]]+$E$7))</f>
        <v>called</v>
      </c>
      <c r="P3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" s="21" t="str">
        <f>IF(Table4[[#This Row],[D captured of remain]]="called","called",Table4[[#This Row],[D captured of remain]]+Table4[[#This Row],[D pct]])</f>
        <v>called</v>
      </c>
      <c r="R31" s="22" t="str">
        <f>IF(Table4[[#This Row],[Expected D]]=1,"D",IF(Table4[[#This Row],[Expected R]]=1,"R",IF(Table4[[#This Row],[D total]]&gt;=0.5,"D","R")))</f>
        <v>D</v>
      </c>
      <c r="S31" s="22"/>
      <c r="T31" s="2" t="s">
        <v>251</v>
      </c>
      <c r="U31" s="2" t="s">
        <v>630</v>
      </c>
      <c r="V31" s="2" t="s">
        <v>639</v>
      </c>
      <c r="W31" s="4"/>
    </row>
    <row r="32" spans="2:25" ht="14.5" customHeight="1" x14ac:dyDescent="0.35">
      <c r="B32" s="27">
        <v>23</v>
      </c>
      <c r="C32" s="2" t="s">
        <v>58</v>
      </c>
      <c r="D32" s="2" t="s">
        <v>35</v>
      </c>
      <c r="E32" s="4">
        <v>0.7</v>
      </c>
      <c r="F32" s="2" t="s">
        <v>510</v>
      </c>
      <c r="G32" s="4" t="s">
        <v>197</v>
      </c>
      <c r="H3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" s="2" t="str">
        <f>IF(OR(LEFT(Table4[[#This Row],[win_prob]],1)="D",LEFT(Table4[[#This Row],[win_prob]],1)="R"),LEFT(Table4[[#This Row],[win_prob]],1),LEFT(Table4[[#This Row],[Category]],1))</f>
        <v>D</v>
      </c>
      <c r="J3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32" s="16" t="str">
        <f>RIGHT(Table4[[#This Row],[Margin]],LEN(Table4[[#This Row],[Margin]])-FIND("+",Table4[[#This Row],[Margin]]))</f>
        <v>44</v>
      </c>
      <c r="M32" s="20" t="str">
        <f>IF(Table4[[#This Row],[listedprob]]=1,"called",IF(LEFT(Table4[[#This Row],[Margin]],1)="D",(Table4[[#This Row],[Numeric Margin]]/2+50)/100,(-Table4[[#This Row],[Numeric Margin]]/2+50)/100))</f>
        <v>called</v>
      </c>
      <c r="N32" s="20" t="str">
        <f>IFERROR(IF(Table4[[#This Row],[D 2pv]]="called","called",Table4[[#This Row],[D 2pv]]*Table4[[#This Row],[Percent of votes in% In]]),Table4[[#This Row],[D 2pv]]*0.95)</f>
        <v>called</v>
      </c>
      <c r="O32" s="20" t="str">
        <f>IF(Table4[[#This Row],[D pct]]="called","called",(Table4[[#This Row],[D 2pv]]+$E$7))</f>
        <v>called</v>
      </c>
      <c r="P3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" s="21" t="str">
        <f>IF(Table4[[#This Row],[D captured of remain]]="called","called",Table4[[#This Row],[D captured of remain]]+Table4[[#This Row],[D pct]])</f>
        <v>called</v>
      </c>
      <c r="R32" s="22" t="str">
        <f>IF(Table4[[#This Row],[Expected D]]=1,"D",IF(Table4[[#This Row],[Expected R]]=1,"R",IF(Table4[[#This Row],[D total]]&gt;=0.5,"D","R")))</f>
        <v>D</v>
      </c>
      <c r="S32" s="22"/>
      <c r="T32" s="2" t="s">
        <v>252</v>
      </c>
      <c r="U32" s="2" t="s">
        <v>630</v>
      </c>
      <c r="V32" s="2" t="s">
        <v>639</v>
      </c>
      <c r="W32" s="4"/>
    </row>
    <row r="33" spans="2:29" ht="14.5" customHeight="1" x14ac:dyDescent="0.35">
      <c r="B33" s="27">
        <v>24</v>
      </c>
      <c r="C33" s="2" t="s">
        <v>59</v>
      </c>
      <c r="D33" s="2" t="s">
        <v>35</v>
      </c>
      <c r="E33" s="4">
        <v>0.7</v>
      </c>
      <c r="F33" s="2" t="s">
        <v>527</v>
      </c>
      <c r="G33" s="4" t="s">
        <v>197</v>
      </c>
      <c r="H3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" s="2" t="str">
        <f>IF(OR(LEFT(Table4[[#This Row],[win_prob]],1)="D",LEFT(Table4[[#This Row],[win_prob]],1)="R"),LEFT(Table4[[#This Row],[win_prob]],1),LEFT(Table4[[#This Row],[Category]],1))</f>
        <v>D</v>
      </c>
      <c r="J3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33" s="16" t="str">
        <f>RIGHT(Table4[[#This Row],[Margin]],LEN(Table4[[#This Row],[Margin]])-FIND("+",Table4[[#This Row],[Margin]]))</f>
        <v>16</v>
      </c>
      <c r="M33" s="20" t="str">
        <f>IF(Table4[[#This Row],[listedprob]]=1,"called",IF(LEFT(Table4[[#This Row],[Margin]],1)="D",(Table4[[#This Row],[Numeric Margin]]/2+50)/100,(-Table4[[#This Row],[Numeric Margin]]/2+50)/100))</f>
        <v>called</v>
      </c>
      <c r="N33" s="20" t="str">
        <f>IFERROR(IF(Table4[[#This Row],[D 2pv]]="called","called",Table4[[#This Row],[D 2pv]]*Table4[[#This Row],[Percent of votes in% In]]),Table4[[#This Row],[D 2pv]]*0.95)</f>
        <v>called</v>
      </c>
      <c r="O33" s="20" t="str">
        <f>IF(Table4[[#This Row],[D pct]]="called","called",(Table4[[#This Row],[D 2pv]]+$E$7))</f>
        <v>called</v>
      </c>
      <c r="P3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" s="21" t="str">
        <f>IF(Table4[[#This Row],[D captured of remain]]="called","called",Table4[[#This Row],[D captured of remain]]+Table4[[#This Row],[D pct]])</f>
        <v>called</v>
      </c>
      <c r="R33" s="22" t="str">
        <f>IF(Table4[[#This Row],[Expected D]]=1,"D",IF(Table4[[#This Row],[Expected R]]=1,"R",IF(Table4[[#This Row],[D total]]&gt;=0.5,"D","R")))</f>
        <v>D</v>
      </c>
      <c r="S33" s="22"/>
      <c r="T33" s="2" t="s">
        <v>215</v>
      </c>
      <c r="U33" s="2" t="s">
        <v>630</v>
      </c>
      <c r="V33" s="2" t="s">
        <v>640</v>
      </c>
      <c r="W33" s="4"/>
    </row>
    <row r="34" spans="2:29" ht="14.5" customHeight="1" x14ac:dyDescent="0.35">
      <c r="B34" s="27">
        <v>25</v>
      </c>
      <c r="C34" s="2" t="s">
        <v>60</v>
      </c>
      <c r="D34" s="2" t="s">
        <v>35</v>
      </c>
      <c r="E34" s="4">
        <v>0.7</v>
      </c>
      <c r="F34" s="2" t="s">
        <v>526</v>
      </c>
      <c r="G34" s="4" t="s">
        <v>197</v>
      </c>
      <c r="H3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" s="2" t="str">
        <f>IF(OR(LEFT(Table4[[#This Row],[win_prob]],1)="D",LEFT(Table4[[#This Row],[win_prob]],1)="R"),LEFT(Table4[[#This Row],[win_prob]],1),LEFT(Table4[[#This Row],[Category]],1))</f>
        <v>D</v>
      </c>
      <c r="J3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34" s="16" t="str">
        <f>RIGHT(Table4[[#This Row],[Margin]],LEN(Table4[[#This Row],[Margin]])-FIND("+",Table4[[#This Row],[Margin]]))</f>
        <v>36</v>
      </c>
      <c r="M34" s="20" t="str">
        <f>IF(Table4[[#This Row],[listedprob]]=1,"called",IF(LEFT(Table4[[#This Row],[Margin]],1)="D",(Table4[[#This Row],[Numeric Margin]]/2+50)/100,(-Table4[[#This Row],[Numeric Margin]]/2+50)/100))</f>
        <v>called</v>
      </c>
      <c r="N34" s="20" t="str">
        <f>IFERROR(IF(Table4[[#This Row],[D 2pv]]="called","called",Table4[[#This Row],[D 2pv]]*Table4[[#This Row],[Percent of votes in% In]]),Table4[[#This Row],[D 2pv]]*0.95)</f>
        <v>called</v>
      </c>
      <c r="O34" s="20" t="str">
        <f>IF(Table4[[#This Row],[D pct]]="called","called",(Table4[[#This Row],[D 2pv]]+$E$7))</f>
        <v>called</v>
      </c>
      <c r="P3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" s="21" t="str">
        <f>IF(Table4[[#This Row],[D captured of remain]]="called","called",Table4[[#This Row],[D captured of remain]]+Table4[[#This Row],[D pct]])</f>
        <v>called</v>
      </c>
      <c r="R34" s="22" t="str">
        <f>IF(Table4[[#This Row],[Expected D]]=1,"D",IF(Table4[[#This Row],[Expected R]]=1,"R",IF(Table4[[#This Row],[D total]]&gt;=0.5,"D","R")))</f>
        <v>D</v>
      </c>
      <c r="S34" s="22"/>
      <c r="T34" s="2" t="s">
        <v>225</v>
      </c>
      <c r="U34" s="2" t="s">
        <v>630</v>
      </c>
      <c r="V34" s="2" t="s">
        <v>639</v>
      </c>
      <c r="W34" s="4"/>
    </row>
    <row r="35" spans="2:29" ht="14.5" customHeight="1" x14ac:dyDescent="0.35">
      <c r="B35" s="27">
        <v>26</v>
      </c>
      <c r="C35" s="2" t="s">
        <v>61</v>
      </c>
      <c r="D35" s="2" t="s">
        <v>35</v>
      </c>
      <c r="E35" s="4">
        <v>0.72</v>
      </c>
      <c r="F35" s="2" t="s">
        <v>530</v>
      </c>
      <c r="G35" s="4" t="s">
        <v>197</v>
      </c>
      <c r="H3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" s="2" t="str">
        <f>IF(OR(LEFT(Table4[[#This Row],[win_prob]],1)="D",LEFT(Table4[[#This Row],[win_prob]],1)="R"),LEFT(Table4[[#This Row],[win_prob]],1),LEFT(Table4[[#This Row],[Category]],1))</f>
        <v>D</v>
      </c>
      <c r="J3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35" s="16" t="str">
        <f>RIGHT(Table4[[#This Row],[Margin]],LEN(Table4[[#This Row],[Margin]])-FIND("+",Table4[[#This Row],[Margin]]))</f>
        <v>14</v>
      </c>
      <c r="M35" s="20" t="str">
        <f>IF(Table4[[#This Row],[listedprob]]=1,"called",IF(LEFT(Table4[[#This Row],[Margin]],1)="D",(Table4[[#This Row],[Numeric Margin]]/2+50)/100,(-Table4[[#This Row],[Numeric Margin]]/2+50)/100))</f>
        <v>called</v>
      </c>
      <c r="N35" s="20" t="str">
        <f>IFERROR(IF(Table4[[#This Row],[D 2pv]]="called","called",Table4[[#This Row],[D 2pv]]*Table4[[#This Row],[Percent of votes in% In]]),Table4[[#This Row],[D 2pv]]*0.95)</f>
        <v>called</v>
      </c>
      <c r="O35" s="20" t="str">
        <f>IF(Table4[[#This Row],[D pct]]="called","called",(Table4[[#This Row],[D 2pv]]+$E$7))</f>
        <v>called</v>
      </c>
      <c r="P3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" s="21" t="str">
        <f>IF(Table4[[#This Row],[D captured of remain]]="called","called",Table4[[#This Row],[D captured of remain]]+Table4[[#This Row],[D pct]])</f>
        <v>called</v>
      </c>
      <c r="R35" s="22" t="str">
        <f>IF(Table4[[#This Row],[Expected D]]=1,"D",IF(Table4[[#This Row],[Expected R]]=1,"R",IF(Table4[[#This Row],[D total]]&gt;=0.5,"D","R")))</f>
        <v>D</v>
      </c>
      <c r="S35" s="22"/>
      <c r="T35" s="2" t="s">
        <v>306</v>
      </c>
      <c r="U35" s="2" t="s">
        <v>631</v>
      </c>
      <c r="V35" s="2" t="s">
        <v>639</v>
      </c>
      <c r="W35" s="4"/>
    </row>
    <row r="36" spans="2:29" x14ac:dyDescent="0.35">
      <c r="B36" s="27">
        <v>27</v>
      </c>
      <c r="C36" s="2" t="s">
        <v>62</v>
      </c>
      <c r="D36" s="2" t="s">
        <v>48</v>
      </c>
      <c r="E36" s="4">
        <v>0.7</v>
      </c>
      <c r="F36" s="2" t="s">
        <v>247</v>
      </c>
      <c r="G36" s="4" t="s">
        <v>197</v>
      </c>
      <c r="H3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0.95</v>
      </c>
      <c r="I36" s="2" t="str">
        <f>IF(OR(LEFT(Table4[[#This Row],[win_prob]],1)="D",LEFT(Table4[[#This Row],[win_prob]],1)="R"),LEFT(Table4[[#This Row],[win_prob]],1),LEFT(Table4[[#This Row],[Category]],1))</f>
        <v>D</v>
      </c>
      <c r="J3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6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36" s="16" t="str">
        <f>RIGHT(Table4[[#This Row],[Margin]],LEN(Table4[[#This Row],[Margin]])-FIND("+",Table4[[#This Row],[Margin]]))</f>
        <v>5</v>
      </c>
      <c r="M36" s="20">
        <f>IF(Table4[[#This Row],[listedprob]]=1,"called",IF(LEFT(Table4[[#This Row],[Margin]],1)="D",(Table4[[#This Row],[Numeric Margin]]/2+50)/100,(-Table4[[#This Row],[Numeric Margin]]/2+50)/100))</f>
        <v>0.52500000000000002</v>
      </c>
      <c r="N36" s="20">
        <f>IFERROR(IF(Table4[[#This Row],[D 2pv]]="called","called",Table4[[#This Row],[D 2pv]]*Table4[[#This Row],[Percent of votes in% In]]),Table4[[#This Row],[D 2pv]]*0.95)</f>
        <v>0.36749999999999999</v>
      </c>
      <c r="O36" s="20">
        <f>IF(Table4[[#This Row],[D pct]]="called","called",(Table4[[#This Row],[D 2pv]]+$E$7))</f>
        <v>0.59499999999999997</v>
      </c>
      <c r="P36" s="20">
        <f>IFERROR(IF(Table4[[#This Row],[D remaining pct]]="called","called",Table4[[#This Row],[D remaining pct]]*(1-Table4[[#This Row],[Percent of votes in% In]])),Table4[[#This Row],[D remaining pct]]*0.05)</f>
        <v>0.17850000000000002</v>
      </c>
      <c r="Q36" s="21">
        <f>IF(Table4[[#This Row],[D captured of remain]]="called","called",Table4[[#This Row],[D captured of remain]]+Table4[[#This Row],[D pct]])</f>
        <v>0.54600000000000004</v>
      </c>
      <c r="R36" s="22" t="str">
        <f>IF(Table4[[#This Row],[Expected D]]=1,"D",IF(Table4[[#This Row],[Expected R]]=1,"R",IF(Table4[[#This Row],[D total]]&gt;=0.5,"D","R")))</f>
        <v>D</v>
      </c>
      <c r="S36" s="22"/>
      <c r="T36" s="2" t="s">
        <v>277</v>
      </c>
      <c r="U36" s="2" t="s">
        <v>630</v>
      </c>
      <c r="V36" s="2" t="s">
        <v>650</v>
      </c>
      <c r="W36" s="4"/>
    </row>
    <row r="37" spans="2:29" x14ac:dyDescent="0.35">
      <c r="B37" s="27">
        <v>28</v>
      </c>
      <c r="C37" s="2" t="s">
        <v>63</v>
      </c>
      <c r="D37" s="2" t="s">
        <v>35</v>
      </c>
      <c r="E37" s="4">
        <v>0.73</v>
      </c>
      <c r="F37" s="2" t="s">
        <v>550</v>
      </c>
      <c r="G37" s="4" t="s">
        <v>197</v>
      </c>
      <c r="H3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" s="2" t="str">
        <f>IF(OR(LEFT(Table4[[#This Row],[win_prob]],1)="D",LEFT(Table4[[#This Row],[win_prob]],1)="R"),LEFT(Table4[[#This Row],[win_prob]],1),LEFT(Table4[[#This Row],[Category]],1))</f>
        <v>D</v>
      </c>
      <c r="J3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7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37" s="16" t="str">
        <f>RIGHT(Table4[[#This Row],[Margin]],LEN(Table4[[#This Row],[Margin]])-FIND("+",Table4[[#This Row],[Margin]]))</f>
        <v>11</v>
      </c>
      <c r="M37" s="20" t="str">
        <f>IF(Table4[[#This Row],[listedprob]]=1,"called",IF(LEFT(Table4[[#This Row],[Margin]],1)="D",(Table4[[#This Row],[Numeric Margin]]/2+50)/100,(-Table4[[#This Row],[Numeric Margin]]/2+50)/100))</f>
        <v>called</v>
      </c>
      <c r="N37" s="20" t="str">
        <f>IFERROR(IF(Table4[[#This Row],[D 2pv]]="called","called",Table4[[#This Row],[D 2pv]]*Table4[[#This Row],[Percent of votes in% In]]),Table4[[#This Row],[D 2pv]]*0.95)</f>
        <v>called</v>
      </c>
      <c r="O37" s="20" t="str">
        <f>IF(Table4[[#This Row],[D pct]]="called","called",(Table4[[#This Row],[D 2pv]]+$E$7))</f>
        <v>called</v>
      </c>
      <c r="P3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" s="21" t="str">
        <f>IF(Table4[[#This Row],[D captured of remain]]="called","called",Table4[[#This Row],[D captured of remain]]+Table4[[#This Row],[D pct]])</f>
        <v>called</v>
      </c>
      <c r="R37" s="22" t="str">
        <f>IF(Table4[[#This Row],[Expected D]]=1,"D",IF(Table4[[#This Row],[Expected R]]=1,"R",IF(Table4[[#This Row],[D total]]&gt;=0.5,"D","R")))</f>
        <v>D</v>
      </c>
      <c r="S37" s="22"/>
      <c r="T37" s="2" t="s">
        <v>265</v>
      </c>
      <c r="U37" s="2" t="s">
        <v>630</v>
      </c>
      <c r="V37" s="2" t="s">
        <v>650</v>
      </c>
      <c r="W37" s="4"/>
    </row>
    <row r="38" spans="2:29" ht="14.5" customHeight="1" x14ac:dyDescent="0.35">
      <c r="B38" s="27">
        <v>29</v>
      </c>
      <c r="C38" s="2" t="s">
        <v>64</v>
      </c>
      <c r="D38" s="2" t="s">
        <v>35</v>
      </c>
      <c r="E38" s="4">
        <v>0.7</v>
      </c>
      <c r="F38" s="2" t="s">
        <v>539</v>
      </c>
      <c r="G38" s="4" t="s">
        <v>197</v>
      </c>
      <c r="H3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" s="2" t="str">
        <f>IF(OR(LEFT(Table4[[#This Row],[win_prob]],1)="D",LEFT(Table4[[#This Row],[win_prob]],1)="R"),LEFT(Table4[[#This Row],[win_prob]],1),LEFT(Table4[[#This Row],[Category]],1))</f>
        <v>D</v>
      </c>
      <c r="J3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38" s="16" t="str">
        <f>RIGHT(Table4[[#This Row],[Margin]],LEN(Table4[[#This Row],[Margin]])-FIND("+",Table4[[#This Row],[Margin]]))</f>
        <v>37</v>
      </c>
      <c r="M38" s="20" t="str">
        <f>IF(Table4[[#This Row],[listedprob]]=1,"called",IF(LEFT(Table4[[#This Row],[Margin]],1)="D",(Table4[[#This Row],[Numeric Margin]]/2+50)/100,(-Table4[[#This Row],[Numeric Margin]]/2+50)/100))</f>
        <v>called</v>
      </c>
      <c r="N38" s="20" t="str">
        <f>IFERROR(IF(Table4[[#This Row],[D 2pv]]="called","called",Table4[[#This Row],[D 2pv]]*Table4[[#This Row],[Percent of votes in% In]]),Table4[[#This Row],[D 2pv]]*0.95)</f>
        <v>called</v>
      </c>
      <c r="O38" s="20" t="str">
        <f>IF(Table4[[#This Row],[D pct]]="called","called",(Table4[[#This Row],[D 2pv]]+$E$7))</f>
        <v>called</v>
      </c>
      <c r="P3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" s="21" t="str">
        <f>IF(Table4[[#This Row],[D captured of remain]]="called","called",Table4[[#This Row],[D captured of remain]]+Table4[[#This Row],[D pct]])</f>
        <v>called</v>
      </c>
      <c r="R38" s="22" t="str">
        <f>IF(Table4[[#This Row],[Expected D]]=1,"D",IF(Table4[[#This Row],[Expected R]]=1,"R",IF(Table4[[#This Row],[D total]]&gt;=0.5,"D","R")))</f>
        <v>D</v>
      </c>
      <c r="S38" s="22"/>
      <c r="T38" s="2" t="s">
        <v>244</v>
      </c>
      <c r="U38" s="2" t="s">
        <v>630</v>
      </c>
      <c r="V38" s="2" t="s">
        <v>640</v>
      </c>
      <c r="W38" s="4"/>
    </row>
    <row r="39" spans="2:29" x14ac:dyDescent="0.35">
      <c r="B39" s="27">
        <v>30</v>
      </c>
      <c r="C39" s="2" t="s">
        <v>65</v>
      </c>
      <c r="D39" s="2" t="s">
        <v>35</v>
      </c>
      <c r="E39" s="4">
        <v>0.7</v>
      </c>
      <c r="F39" s="2" t="s">
        <v>544</v>
      </c>
      <c r="G39" s="4" t="s">
        <v>197</v>
      </c>
      <c r="H3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" s="2" t="str">
        <f>IF(OR(LEFT(Table4[[#This Row],[win_prob]],1)="D",LEFT(Table4[[#This Row],[win_prob]],1)="R"),LEFT(Table4[[#This Row],[win_prob]],1),LEFT(Table4[[#This Row],[Category]],1))</f>
        <v>D</v>
      </c>
      <c r="J3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39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39" s="16" t="str">
        <f>RIGHT(Table4[[#This Row],[Margin]],LEN(Table4[[#This Row],[Margin]])-FIND("+",Table4[[#This Row],[Margin]]))</f>
        <v>27</v>
      </c>
      <c r="M39" s="20" t="str">
        <f>IF(Table4[[#This Row],[listedprob]]=1,"called",IF(LEFT(Table4[[#This Row],[Margin]],1)="D",(Table4[[#This Row],[Numeric Margin]]/2+50)/100,(-Table4[[#This Row],[Numeric Margin]]/2+50)/100))</f>
        <v>called</v>
      </c>
      <c r="N39" s="20" t="str">
        <f>IFERROR(IF(Table4[[#This Row],[D 2pv]]="called","called",Table4[[#This Row],[D 2pv]]*Table4[[#This Row],[Percent of votes in% In]]),Table4[[#This Row],[D 2pv]]*0.95)</f>
        <v>called</v>
      </c>
      <c r="O39" s="20" t="str">
        <f>IF(Table4[[#This Row],[D pct]]="called","called",(Table4[[#This Row],[D 2pv]]+$E$7))</f>
        <v>called</v>
      </c>
      <c r="P3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" s="21" t="str">
        <f>IF(Table4[[#This Row],[D captured of remain]]="called","called",Table4[[#This Row],[D captured of remain]]+Table4[[#This Row],[D pct]])</f>
        <v>called</v>
      </c>
      <c r="R39" s="22" t="str">
        <f>IF(Table4[[#This Row],[Expected D]]=1,"D",IF(Table4[[#This Row],[Expected R]]=1,"R",IF(Table4[[#This Row],[D total]]&gt;=0.5,"D","R")))</f>
        <v>D</v>
      </c>
      <c r="S39" s="22"/>
      <c r="T39" s="2" t="s">
        <v>233</v>
      </c>
      <c r="U39" s="2" t="s">
        <v>631</v>
      </c>
      <c r="V39" s="2" t="s">
        <v>640</v>
      </c>
      <c r="W39" s="4"/>
    </row>
    <row r="40" spans="2:29" x14ac:dyDescent="0.35">
      <c r="B40" s="27">
        <v>31</v>
      </c>
      <c r="C40" s="2" t="s">
        <v>66</v>
      </c>
      <c r="D40" s="2" t="s">
        <v>35</v>
      </c>
      <c r="E40" s="4">
        <v>0.71</v>
      </c>
      <c r="F40" s="2" t="s">
        <v>512</v>
      </c>
      <c r="G40" s="4" t="s">
        <v>197</v>
      </c>
      <c r="H4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" s="2" t="str">
        <f>IF(OR(LEFT(Table4[[#This Row],[win_prob]],1)="D",LEFT(Table4[[#This Row],[win_prob]],1)="R"),LEFT(Table4[[#This Row],[win_prob]],1),LEFT(Table4[[#This Row],[Category]],1))</f>
        <v>D</v>
      </c>
      <c r="J4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0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40" s="16" t="str">
        <f>RIGHT(Table4[[#This Row],[Margin]],LEN(Table4[[#This Row],[Margin]])-FIND("+",Table4[[#This Row],[Margin]]))</f>
        <v>12</v>
      </c>
      <c r="M40" s="20" t="str">
        <f>IF(Table4[[#This Row],[listedprob]]=1,"called",IF(LEFT(Table4[[#This Row],[Margin]],1)="D",(Table4[[#This Row],[Numeric Margin]]/2+50)/100,(-Table4[[#This Row],[Numeric Margin]]/2+50)/100))</f>
        <v>called</v>
      </c>
      <c r="N40" s="20" t="str">
        <f>IFERROR(IF(Table4[[#This Row],[D 2pv]]="called","called",Table4[[#This Row],[D 2pv]]*Table4[[#This Row],[Percent of votes in% In]]),Table4[[#This Row],[D 2pv]]*0.95)</f>
        <v>called</v>
      </c>
      <c r="O40" s="20" t="str">
        <f>IF(Table4[[#This Row],[D pct]]="called","called",(Table4[[#This Row],[D 2pv]]+$E$7))</f>
        <v>called</v>
      </c>
      <c r="P4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" s="21" t="str">
        <f>IF(Table4[[#This Row],[D captured of remain]]="called","called",Table4[[#This Row],[D captured of remain]]+Table4[[#This Row],[D pct]])</f>
        <v>called</v>
      </c>
      <c r="R40" s="22" t="str">
        <f>IF(Table4[[#This Row],[Expected D]]=1,"D",IF(Table4[[#This Row],[Expected R]]=1,"R",IF(Table4[[#This Row],[D total]]&gt;=0.5,"D","R")))</f>
        <v>D</v>
      </c>
      <c r="S40" s="22"/>
      <c r="T40" s="2" t="s">
        <v>236</v>
      </c>
      <c r="U40" s="2" t="s">
        <v>630</v>
      </c>
      <c r="V40" s="2" t="s">
        <v>640</v>
      </c>
      <c r="W40" s="4"/>
    </row>
    <row r="41" spans="2:29" ht="14.5" customHeight="1" x14ac:dyDescent="0.35">
      <c r="B41" s="27">
        <v>32</v>
      </c>
      <c r="C41" s="2" t="s">
        <v>67</v>
      </c>
      <c r="D41" s="2" t="s">
        <v>35</v>
      </c>
      <c r="E41" s="4">
        <v>0.86</v>
      </c>
      <c r="F41" s="2" t="s">
        <v>527</v>
      </c>
      <c r="G41" s="4" t="s">
        <v>197</v>
      </c>
      <c r="H4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" s="2" t="str">
        <f>IF(OR(LEFT(Table4[[#This Row],[win_prob]],1)="D",LEFT(Table4[[#This Row],[win_prob]],1)="R"),LEFT(Table4[[#This Row],[win_prob]],1),LEFT(Table4[[#This Row],[Category]],1))</f>
        <v>D</v>
      </c>
      <c r="J4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1" s="16" t="str">
        <f>RIGHT(Table4[[#This Row],[Margin]],LEN(Table4[[#This Row],[Margin]])-FIND("+",Table4[[#This Row],[Margin]]))</f>
        <v>16</v>
      </c>
      <c r="M41" s="20" t="str">
        <f>IF(Table4[[#This Row],[listedprob]]=1,"called",IF(LEFT(Table4[[#This Row],[Margin]],1)="D",(Table4[[#This Row],[Numeric Margin]]/2+50)/100,(-Table4[[#This Row],[Numeric Margin]]/2+50)/100))</f>
        <v>called</v>
      </c>
      <c r="N41" s="20" t="str">
        <f>IFERROR(IF(Table4[[#This Row],[D 2pv]]="called","called",Table4[[#This Row],[D 2pv]]*Table4[[#This Row],[Percent of votes in% In]]),Table4[[#This Row],[D 2pv]]*0.95)</f>
        <v>called</v>
      </c>
      <c r="O41" s="20" t="str">
        <f>IF(Table4[[#This Row],[D pct]]="called","called",(Table4[[#This Row],[D 2pv]]+$E$7))</f>
        <v>called</v>
      </c>
      <c r="P4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" s="21" t="str">
        <f>IF(Table4[[#This Row],[D captured of remain]]="called","called",Table4[[#This Row],[D captured of remain]]+Table4[[#This Row],[D pct]])</f>
        <v>called</v>
      </c>
      <c r="R41" s="22" t="str">
        <f>IF(Table4[[#This Row],[Expected D]]=1,"D",IF(Table4[[#This Row],[Expected R]]=1,"R",IF(Table4[[#This Row],[D total]]&gt;=0.5,"D","R")))</f>
        <v>D</v>
      </c>
      <c r="S41" s="22"/>
      <c r="T41" s="2" t="s">
        <v>235</v>
      </c>
      <c r="U41" s="2" t="s">
        <v>630</v>
      </c>
      <c r="V41" s="2" t="s">
        <v>687</v>
      </c>
      <c r="W41" s="4"/>
    </row>
    <row r="42" spans="2:29" ht="14.5" customHeight="1" x14ac:dyDescent="0.35">
      <c r="B42" s="27">
        <v>33</v>
      </c>
      <c r="C42" s="2" t="s">
        <v>68</v>
      </c>
      <c r="D42" s="2" t="s">
        <v>35</v>
      </c>
      <c r="E42" s="4">
        <v>0.7</v>
      </c>
      <c r="F42" s="2" t="s">
        <v>537</v>
      </c>
      <c r="G42" s="4" t="s">
        <v>197</v>
      </c>
      <c r="H4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" s="2" t="str">
        <f>IF(OR(LEFT(Table4[[#This Row],[win_prob]],1)="D",LEFT(Table4[[#This Row],[win_prob]],1)="R"),LEFT(Table4[[#This Row],[win_prob]],1),LEFT(Table4[[#This Row],[Category]],1))</f>
        <v>D</v>
      </c>
      <c r="J4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2" s="16" t="str">
        <f>RIGHT(Table4[[#This Row],[Margin]],LEN(Table4[[#This Row],[Margin]])-FIND("+",Table4[[#This Row],[Margin]]))</f>
        <v>33</v>
      </c>
      <c r="M42" s="20" t="str">
        <f>IF(Table4[[#This Row],[listedprob]]=1,"called",IF(LEFT(Table4[[#This Row],[Margin]],1)="D",(Table4[[#This Row],[Numeric Margin]]/2+50)/100,(-Table4[[#This Row],[Numeric Margin]]/2+50)/100))</f>
        <v>called</v>
      </c>
      <c r="N42" s="20" t="str">
        <f>IFERROR(IF(Table4[[#This Row],[D 2pv]]="called","called",Table4[[#This Row],[D 2pv]]*Table4[[#This Row],[Percent of votes in% In]]),Table4[[#This Row],[D 2pv]]*0.95)</f>
        <v>called</v>
      </c>
      <c r="O42" s="20" t="str">
        <f>IF(Table4[[#This Row],[D pct]]="called","called",(Table4[[#This Row],[D 2pv]]+$E$7))</f>
        <v>called</v>
      </c>
      <c r="P4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" s="21" t="str">
        <f>IF(Table4[[#This Row],[D captured of remain]]="called","called",Table4[[#This Row],[D captured of remain]]+Table4[[#This Row],[D pct]])</f>
        <v>called</v>
      </c>
      <c r="R42" s="22" t="str">
        <f>IF(Table4[[#This Row],[Expected D]]=1,"D",IF(Table4[[#This Row],[Expected R]]=1,"R",IF(Table4[[#This Row],[D total]]&gt;=0.5,"D","R")))</f>
        <v>D</v>
      </c>
      <c r="S42" s="22"/>
      <c r="T42" s="2" t="s">
        <v>331</v>
      </c>
      <c r="U42" s="2" t="s">
        <v>631</v>
      </c>
      <c r="V42" s="2" t="s">
        <v>640</v>
      </c>
      <c r="W42" s="4"/>
    </row>
    <row r="43" spans="2:29" ht="14.5" customHeight="1" x14ac:dyDescent="0.35">
      <c r="B43" s="27">
        <v>34</v>
      </c>
      <c r="C43" s="2" t="s">
        <v>69</v>
      </c>
      <c r="D43" s="2" t="s">
        <v>35</v>
      </c>
      <c r="E43" s="4">
        <v>0.7</v>
      </c>
      <c r="F43" s="2" t="s">
        <v>674</v>
      </c>
      <c r="G43" s="4" t="s">
        <v>197</v>
      </c>
      <c r="H4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" s="2" t="str">
        <f>IF(OR(LEFT(Table4[[#This Row],[win_prob]],1)="D",LEFT(Table4[[#This Row],[win_prob]],1)="R"),LEFT(Table4[[#This Row],[win_prob]],1),LEFT(Table4[[#This Row],[Category]],1))</f>
        <v>D</v>
      </c>
      <c r="J4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3" s="16" t="str">
        <f>RIGHT(Table4[[#This Row],[Margin]],LEN(Table4[[#This Row],[Margin]])-FIND("+",Table4[[#This Row],[Margin]]))</f>
        <v>52</v>
      </c>
      <c r="M43" s="20" t="str">
        <f>IF(Table4[[#This Row],[listedprob]]=1,"called",IF(LEFT(Table4[[#This Row],[Margin]],1)="D",(Table4[[#This Row],[Numeric Margin]]/2+50)/100,(-Table4[[#This Row],[Numeric Margin]]/2+50)/100))</f>
        <v>called</v>
      </c>
      <c r="N43" s="20" t="str">
        <f>IFERROR(IF(Table4[[#This Row],[D 2pv]]="called","called",Table4[[#This Row],[D 2pv]]*Table4[[#This Row],[Percent of votes in% In]]),Table4[[#This Row],[D 2pv]]*0.95)</f>
        <v>called</v>
      </c>
      <c r="O43" s="20" t="str">
        <f>IF(Table4[[#This Row],[D pct]]="called","called",(Table4[[#This Row],[D 2pv]]+$E$7))</f>
        <v>called</v>
      </c>
      <c r="P4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" s="21" t="str">
        <f>IF(Table4[[#This Row],[D captured of remain]]="called","called",Table4[[#This Row],[D captured of remain]]+Table4[[#This Row],[D pct]])</f>
        <v>called</v>
      </c>
      <c r="R43" s="22" t="str">
        <f>IF(Table4[[#This Row],[Expected D]]=1,"D",IF(Table4[[#This Row],[Expected R]]=1,"R",IF(Table4[[#This Row],[D total]]&gt;=0.5,"D","R")))</f>
        <v>D</v>
      </c>
      <c r="S43" s="22"/>
      <c r="W43" s="4"/>
      <c r="AA43" s="2">
        <f>SUM(AA44:AA53)</f>
        <v>2.5500000000000003</v>
      </c>
      <c r="AC43" s="2">
        <f>SUM(AC44:AC53)</f>
        <v>1.8199999999999998</v>
      </c>
    </row>
    <row r="44" spans="2:29" ht="14.5" customHeight="1" x14ac:dyDescent="0.35">
      <c r="B44" s="27">
        <v>35</v>
      </c>
      <c r="C44" s="2" t="s">
        <v>70</v>
      </c>
      <c r="D44" s="2" t="s">
        <v>35</v>
      </c>
      <c r="E44" s="4">
        <v>0.7</v>
      </c>
      <c r="F44" s="2" t="s">
        <v>675</v>
      </c>
      <c r="G44" s="4" t="s">
        <v>197</v>
      </c>
      <c r="H4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4" s="2" t="str">
        <f>IF(OR(LEFT(Table4[[#This Row],[win_prob]],1)="D",LEFT(Table4[[#This Row],[win_prob]],1)="R"),LEFT(Table4[[#This Row],[win_prob]],1),LEFT(Table4[[#This Row],[Category]],1))</f>
        <v>D</v>
      </c>
      <c r="J4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4" s="16" t="str">
        <f>RIGHT(Table4[[#This Row],[Margin]],LEN(Table4[[#This Row],[Margin]])-FIND("+",Table4[[#This Row],[Margin]]))</f>
        <v>41</v>
      </c>
      <c r="M44" s="20" t="str">
        <f>IF(Table4[[#This Row],[listedprob]]=1,"called",IF(LEFT(Table4[[#This Row],[Margin]],1)="D",(Table4[[#This Row],[Numeric Margin]]/2+50)/100,(-Table4[[#This Row],[Numeric Margin]]/2+50)/100))</f>
        <v>called</v>
      </c>
      <c r="N44" s="20" t="str">
        <f>IFERROR(IF(Table4[[#This Row],[D 2pv]]="called","called",Table4[[#This Row],[D 2pv]]*Table4[[#This Row],[Percent of votes in% In]]),Table4[[#This Row],[D 2pv]]*0.95)</f>
        <v>called</v>
      </c>
      <c r="O44" s="20" t="str">
        <f>IF(Table4[[#This Row],[D pct]]="called","called",(Table4[[#This Row],[D 2pv]]+$E$7))</f>
        <v>called</v>
      </c>
      <c r="P4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4" s="21" t="str">
        <f>IF(Table4[[#This Row],[D captured of remain]]="called","called",Table4[[#This Row],[D captured of remain]]+Table4[[#This Row],[D pct]])</f>
        <v>called</v>
      </c>
      <c r="R44" s="22" t="str">
        <f>IF(Table4[[#This Row],[Expected D]]=1,"D",IF(Table4[[#This Row],[Expected R]]=1,"R",IF(Table4[[#This Row],[D total]]&gt;=0.5,"D","R")))</f>
        <v>D</v>
      </c>
      <c r="S44" s="22"/>
      <c r="W44" s="4"/>
      <c r="X44" s="2" t="s">
        <v>200</v>
      </c>
      <c r="Y44" s="2" t="s">
        <v>630</v>
      </c>
      <c r="Z44" s="2" t="s">
        <v>641</v>
      </c>
      <c r="AA44" s="2">
        <v>1</v>
      </c>
      <c r="AB44" s="2" t="s">
        <v>668</v>
      </c>
      <c r="AC44" s="2">
        <f>INDEX(Table4[Expected D],MATCH(X44,Table4[District],0))</f>
        <v>0.75</v>
      </c>
    </row>
    <row r="45" spans="2:29" x14ac:dyDescent="0.35">
      <c r="B45" s="27">
        <v>36</v>
      </c>
      <c r="C45" s="2" t="s">
        <v>71</v>
      </c>
      <c r="D45" s="2" t="s">
        <v>35</v>
      </c>
      <c r="E45" s="4">
        <v>0.89</v>
      </c>
      <c r="F45" s="2" t="s">
        <v>519</v>
      </c>
      <c r="G45" s="4" t="s">
        <v>197</v>
      </c>
      <c r="H4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5" s="2" t="str">
        <f>IF(OR(LEFT(Table4[[#This Row],[win_prob]],1)="D",LEFT(Table4[[#This Row],[win_prob]],1)="R"),LEFT(Table4[[#This Row],[win_prob]],1),LEFT(Table4[[#This Row],[Category]],1))</f>
        <v>D</v>
      </c>
      <c r="J4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5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45" s="16" t="str">
        <f>RIGHT(Table4[[#This Row],[Margin]],LEN(Table4[[#This Row],[Margin]])-FIND("+",Table4[[#This Row],[Margin]]))</f>
        <v>21</v>
      </c>
      <c r="M45" s="20" t="str">
        <f>IF(Table4[[#This Row],[listedprob]]=1,"called",IF(LEFT(Table4[[#This Row],[Margin]],1)="D",(Table4[[#This Row],[Numeric Margin]]/2+50)/100,(-Table4[[#This Row],[Numeric Margin]]/2+50)/100))</f>
        <v>called</v>
      </c>
      <c r="N45" s="20" t="str">
        <f>IFERROR(IF(Table4[[#This Row],[D 2pv]]="called","called",Table4[[#This Row],[D 2pv]]*Table4[[#This Row],[Percent of votes in% In]]),Table4[[#This Row],[D 2pv]]*0.95)</f>
        <v>called</v>
      </c>
      <c r="O45" s="20" t="str">
        <f>IF(Table4[[#This Row],[D pct]]="called","called",(Table4[[#This Row],[D 2pv]]+$E$7))</f>
        <v>called</v>
      </c>
      <c r="P4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5" s="21" t="str">
        <f>IF(Table4[[#This Row],[D captured of remain]]="called","called",Table4[[#This Row],[D captured of remain]]+Table4[[#This Row],[D pct]])</f>
        <v>called</v>
      </c>
      <c r="R45" s="22" t="str">
        <f>IF(Table4[[#This Row],[Expected D]]=1,"D",IF(Table4[[#This Row],[Expected R]]=1,"R",IF(Table4[[#This Row],[D total]]&gt;=0.5,"D","R")))</f>
        <v>D</v>
      </c>
      <c r="S45" s="22"/>
      <c r="W45" s="4"/>
      <c r="X45" s="2" t="s">
        <v>230</v>
      </c>
      <c r="Y45" s="2" t="s">
        <v>630</v>
      </c>
      <c r="Z45" s="2" t="s">
        <v>642</v>
      </c>
      <c r="AA45" s="2">
        <v>0.67</v>
      </c>
      <c r="AB45" s="2" t="s">
        <v>668</v>
      </c>
      <c r="AC45" s="2">
        <f>INDEX(Table4[Expected D],MATCH(X45,Table4[District],0))</f>
        <v>0.53</v>
      </c>
    </row>
    <row r="46" spans="2:29" ht="14.5" customHeight="1" x14ac:dyDescent="0.35">
      <c r="B46" s="27">
        <v>37</v>
      </c>
      <c r="C46" s="2" t="s">
        <v>72</v>
      </c>
      <c r="D46" s="2" t="s">
        <v>35</v>
      </c>
      <c r="E46" s="4">
        <v>0.9</v>
      </c>
      <c r="F46" s="2" t="s">
        <v>553</v>
      </c>
      <c r="G46" s="4" t="s">
        <v>197</v>
      </c>
      <c r="H4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6" s="2" t="str">
        <f>IF(OR(LEFT(Table4[[#This Row],[win_prob]],1)="D",LEFT(Table4[[#This Row],[win_prob]],1)="R"),LEFT(Table4[[#This Row],[win_prob]],1),LEFT(Table4[[#This Row],[Category]],1))</f>
        <v>D</v>
      </c>
      <c r="J4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6" s="16" t="str">
        <f>RIGHT(Table4[[#This Row],[Margin]],LEN(Table4[[#This Row],[Margin]])-FIND("+",Table4[[#This Row],[Margin]]))</f>
        <v>25</v>
      </c>
      <c r="M46" s="20" t="str">
        <f>IF(Table4[[#This Row],[listedprob]]=1,"called",IF(LEFT(Table4[[#This Row],[Margin]],1)="D",(Table4[[#This Row],[Numeric Margin]]/2+50)/100,(-Table4[[#This Row],[Numeric Margin]]/2+50)/100))</f>
        <v>called</v>
      </c>
      <c r="N46" s="20" t="str">
        <f>IFERROR(IF(Table4[[#This Row],[D 2pv]]="called","called",Table4[[#This Row],[D 2pv]]*Table4[[#This Row],[Percent of votes in% In]]),Table4[[#This Row],[D 2pv]]*0.95)</f>
        <v>called</v>
      </c>
      <c r="O46" s="20" t="str">
        <f>IF(Table4[[#This Row],[D pct]]="called","called",(Table4[[#This Row],[D 2pv]]+$E$7))</f>
        <v>called</v>
      </c>
      <c r="P4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6" s="21" t="str">
        <f>IF(Table4[[#This Row],[D captured of remain]]="called","called",Table4[[#This Row],[D captured of remain]]+Table4[[#This Row],[D pct]])</f>
        <v>called</v>
      </c>
      <c r="R46" s="22" t="str">
        <f>IF(Table4[[#This Row],[Expected D]]=1,"D",IF(Table4[[#This Row],[Expected R]]=1,"R",IF(Table4[[#This Row],[D total]]&gt;=0.5,"D","R")))</f>
        <v>D</v>
      </c>
      <c r="S46" s="22"/>
      <c r="W46" s="4"/>
      <c r="X46" s="2" t="s">
        <v>231</v>
      </c>
      <c r="Z46" s="2" t="s">
        <v>645</v>
      </c>
      <c r="AA46" s="2">
        <v>0.74</v>
      </c>
      <c r="AB46" s="2" t="s">
        <v>668</v>
      </c>
      <c r="AC46" s="2">
        <f>INDEX(Table4[Expected D],MATCH(X46,Table4[District],0))</f>
        <v>0.43000000000000005</v>
      </c>
    </row>
    <row r="47" spans="2:29" ht="14.5" customHeight="1" x14ac:dyDescent="0.35">
      <c r="B47" s="27">
        <v>38</v>
      </c>
      <c r="C47" s="2" t="s">
        <v>73</v>
      </c>
      <c r="D47" s="2" t="s">
        <v>35</v>
      </c>
      <c r="E47" s="4">
        <v>0.9</v>
      </c>
      <c r="F47" s="2" t="s">
        <v>520</v>
      </c>
      <c r="G47" s="4" t="s">
        <v>197</v>
      </c>
      <c r="H4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7" s="2" t="str">
        <f>IF(OR(LEFT(Table4[[#This Row],[win_prob]],1)="D",LEFT(Table4[[#This Row],[win_prob]],1)="R"),LEFT(Table4[[#This Row],[win_prob]],1),LEFT(Table4[[#This Row],[Category]],1))</f>
        <v>D</v>
      </c>
      <c r="J4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7" s="16" t="str">
        <f>RIGHT(Table4[[#This Row],[Margin]],LEN(Table4[[#This Row],[Margin]])-FIND("+",Table4[[#This Row],[Margin]]))</f>
        <v>23</v>
      </c>
      <c r="M47" s="20" t="str">
        <f>IF(Table4[[#This Row],[listedprob]]=1,"called",IF(LEFT(Table4[[#This Row],[Margin]],1)="D",(Table4[[#This Row],[Numeric Margin]]/2+50)/100,(-Table4[[#This Row],[Numeric Margin]]/2+50)/100))</f>
        <v>called</v>
      </c>
      <c r="N47" s="20" t="str">
        <f>IFERROR(IF(Table4[[#This Row],[D 2pv]]="called","called",Table4[[#This Row],[D 2pv]]*Table4[[#This Row],[Percent of votes in% In]]),Table4[[#This Row],[D 2pv]]*0.95)</f>
        <v>called</v>
      </c>
      <c r="O47" s="20" t="str">
        <f>IF(Table4[[#This Row],[D pct]]="called","called",(Table4[[#This Row],[D 2pv]]+$E$7))</f>
        <v>called</v>
      </c>
      <c r="P4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7" s="21" t="str">
        <f>IF(Table4[[#This Row],[D captured of remain]]="called","called",Table4[[#This Row],[D captured of remain]]+Table4[[#This Row],[D pct]])</f>
        <v>called</v>
      </c>
      <c r="R47" s="22" t="str">
        <f>IF(Table4[[#This Row],[Expected D]]=1,"D",IF(Table4[[#This Row],[Expected R]]=1,"R",IF(Table4[[#This Row],[D total]]&gt;=0.5,"D","R")))</f>
        <v>D</v>
      </c>
      <c r="S47" s="22"/>
      <c r="W47" s="4"/>
      <c r="X47" s="2" t="s">
        <v>288</v>
      </c>
      <c r="Z47" s="2" t="s">
        <v>643</v>
      </c>
      <c r="AA47" s="2">
        <f>1-0.86</f>
        <v>0.14000000000000001</v>
      </c>
      <c r="AB47" s="2" t="s">
        <v>668</v>
      </c>
      <c r="AC47" s="2">
        <f>INDEX(Table4[Expected D],MATCH(X47,Table4[District],0))</f>
        <v>0.10999999999999999</v>
      </c>
    </row>
    <row r="48" spans="2:29" ht="14.5" customHeight="1" x14ac:dyDescent="0.35">
      <c r="B48" s="27">
        <v>39</v>
      </c>
      <c r="C48" s="2" t="s">
        <v>74</v>
      </c>
      <c r="D48" s="2" t="s">
        <v>35</v>
      </c>
      <c r="E48" s="4">
        <v>0.9</v>
      </c>
      <c r="F48" s="2" t="s">
        <v>537</v>
      </c>
      <c r="G48" s="4" t="s">
        <v>197</v>
      </c>
      <c r="H4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8" s="2" t="str">
        <f>IF(OR(LEFT(Table4[[#This Row],[win_prob]],1)="D",LEFT(Table4[[#This Row],[win_prob]],1)="R"),LEFT(Table4[[#This Row],[win_prob]],1),LEFT(Table4[[#This Row],[Category]],1))</f>
        <v>D</v>
      </c>
      <c r="J4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8" s="16" t="str">
        <f>RIGHT(Table4[[#This Row],[Margin]],LEN(Table4[[#This Row],[Margin]])-FIND("+",Table4[[#This Row],[Margin]]))</f>
        <v>33</v>
      </c>
      <c r="M48" s="20" t="str">
        <f>IF(Table4[[#This Row],[listedprob]]=1,"called",IF(LEFT(Table4[[#This Row],[Margin]],1)="D",(Table4[[#This Row],[Numeric Margin]]/2+50)/100,(-Table4[[#This Row],[Numeric Margin]]/2+50)/100))</f>
        <v>called</v>
      </c>
      <c r="N48" s="20" t="str">
        <f>IFERROR(IF(Table4[[#This Row],[D 2pv]]="called","called",Table4[[#This Row],[D 2pv]]*Table4[[#This Row],[Percent of votes in% In]]),Table4[[#This Row],[D 2pv]]*0.95)</f>
        <v>called</v>
      </c>
      <c r="O48" s="20" t="str">
        <f>IF(Table4[[#This Row],[D pct]]="called","called",(Table4[[#This Row],[D 2pv]]+$E$7))</f>
        <v>called</v>
      </c>
      <c r="P4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8" s="21" t="str">
        <f>IF(Table4[[#This Row],[D captured of remain]]="called","called",Table4[[#This Row],[D captured of remain]]+Table4[[#This Row],[D pct]])</f>
        <v>called</v>
      </c>
      <c r="R48" s="22" t="str">
        <f>IF(Table4[[#This Row],[Expected D]]=1,"D",IF(Table4[[#This Row],[Expected R]]=1,"R",IF(Table4[[#This Row],[D total]]&gt;=0.5,"D","R")))</f>
        <v>D</v>
      </c>
      <c r="S48" s="22"/>
      <c r="V48" s="4"/>
      <c r="W48" s="4"/>
    </row>
    <row r="49" spans="2:23" ht="14.5" customHeight="1" x14ac:dyDescent="0.35">
      <c r="B49" s="27">
        <v>40</v>
      </c>
      <c r="C49" s="2" t="s">
        <v>75</v>
      </c>
      <c r="D49" s="2" t="s">
        <v>35</v>
      </c>
      <c r="E49" s="4" t="s">
        <v>28</v>
      </c>
      <c r="F49" s="2" t="s">
        <v>515</v>
      </c>
      <c r="G49" s="4" t="s">
        <v>197</v>
      </c>
      <c r="H4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9" s="2" t="str">
        <f>IF(OR(LEFT(Table4[[#This Row],[win_prob]],1)="D",LEFT(Table4[[#This Row],[win_prob]],1)="R"),LEFT(Table4[[#This Row],[win_prob]],1),LEFT(Table4[[#This Row],[Category]],1))</f>
        <v>D</v>
      </c>
      <c r="J4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4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49" s="16" t="str">
        <f>RIGHT(Table4[[#This Row],[Margin]],LEN(Table4[[#This Row],[Margin]])-FIND("+",Table4[[#This Row],[Margin]]))</f>
        <v>63</v>
      </c>
      <c r="M49" s="20" t="str">
        <f>IF(Table4[[#This Row],[listedprob]]=1,"called",IF(LEFT(Table4[[#This Row],[Margin]],1)="D",(Table4[[#This Row],[Numeric Margin]]/2+50)/100,(-Table4[[#This Row],[Numeric Margin]]/2+50)/100))</f>
        <v>called</v>
      </c>
      <c r="N49" s="20" t="str">
        <f>IFERROR(IF(Table4[[#This Row],[D 2pv]]="called","called",Table4[[#This Row],[D 2pv]]*Table4[[#This Row],[Percent of votes in% In]]),Table4[[#This Row],[D 2pv]]*0.95)</f>
        <v>called</v>
      </c>
      <c r="O49" s="20" t="str">
        <f>IF(Table4[[#This Row],[D pct]]="called","called",(Table4[[#This Row],[D 2pv]]+$E$7))</f>
        <v>called</v>
      </c>
      <c r="P4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9" s="21" t="str">
        <f>IF(Table4[[#This Row],[D captured of remain]]="called","called",Table4[[#This Row],[D captured of remain]]+Table4[[#This Row],[D pct]])</f>
        <v>called</v>
      </c>
      <c r="R49" s="22" t="str">
        <f>IF(Table4[[#This Row],[Expected D]]=1,"D",IF(Table4[[#This Row],[Expected R]]=1,"R",IF(Table4[[#This Row],[D total]]&gt;=0.5,"D","R")))</f>
        <v>D</v>
      </c>
      <c r="S49" s="22"/>
      <c r="V49" s="4"/>
      <c r="W49" s="4"/>
    </row>
    <row r="50" spans="2:23" ht="14.5" customHeight="1" x14ac:dyDescent="0.35">
      <c r="B50" s="27">
        <v>41</v>
      </c>
      <c r="C50" s="2" t="s">
        <v>76</v>
      </c>
      <c r="D50" s="2" t="s">
        <v>35</v>
      </c>
      <c r="E50" s="4" t="s">
        <v>28</v>
      </c>
      <c r="F50" s="2" t="s">
        <v>556</v>
      </c>
      <c r="G50" s="4" t="s">
        <v>197</v>
      </c>
      <c r="H5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0" s="2" t="str">
        <f>IF(OR(LEFT(Table4[[#This Row],[win_prob]],1)="D",LEFT(Table4[[#This Row],[win_prob]],1)="R"),LEFT(Table4[[#This Row],[win_prob]],1),LEFT(Table4[[#This Row],[Category]],1))</f>
        <v>D</v>
      </c>
      <c r="J5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0" s="16" t="str">
        <f>RIGHT(Table4[[#This Row],[Margin]],LEN(Table4[[#This Row],[Margin]])-FIND("+",Table4[[#This Row],[Margin]]))</f>
        <v>42</v>
      </c>
      <c r="M50" s="20" t="str">
        <f>IF(Table4[[#This Row],[listedprob]]=1,"called",IF(LEFT(Table4[[#This Row],[Margin]],1)="D",(Table4[[#This Row],[Numeric Margin]]/2+50)/100,(-Table4[[#This Row],[Numeric Margin]]/2+50)/100))</f>
        <v>called</v>
      </c>
      <c r="N50" s="20" t="str">
        <f>IFERROR(IF(Table4[[#This Row],[D 2pv]]="called","called",Table4[[#This Row],[D 2pv]]*Table4[[#This Row],[Percent of votes in% In]]),Table4[[#This Row],[D 2pv]]*0.95)</f>
        <v>called</v>
      </c>
      <c r="O50" s="20" t="str">
        <f>IF(Table4[[#This Row],[D pct]]="called","called",(Table4[[#This Row],[D 2pv]]+$E$7))</f>
        <v>called</v>
      </c>
      <c r="P5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0" s="21" t="str">
        <f>IF(Table4[[#This Row],[D captured of remain]]="called","called",Table4[[#This Row],[D captured of remain]]+Table4[[#This Row],[D pct]])</f>
        <v>called</v>
      </c>
      <c r="R50" s="22" t="str">
        <f>IF(Table4[[#This Row],[Expected D]]=1,"D",IF(Table4[[#This Row],[Expected R]]=1,"R",IF(Table4[[#This Row],[D total]]&gt;=0.5,"D","R")))</f>
        <v>D</v>
      </c>
      <c r="S50" s="22"/>
      <c r="V50" s="4"/>
      <c r="W50" s="4"/>
    </row>
    <row r="51" spans="2:23" ht="14.5" customHeight="1" x14ac:dyDescent="0.35">
      <c r="B51" s="27">
        <v>42</v>
      </c>
      <c r="C51" s="2" t="s">
        <v>77</v>
      </c>
      <c r="D51" s="2" t="s">
        <v>35</v>
      </c>
      <c r="E51" s="4" t="s">
        <v>28</v>
      </c>
      <c r="F51" s="2" t="s">
        <v>520</v>
      </c>
      <c r="G51" s="4" t="s">
        <v>197</v>
      </c>
      <c r="H5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1" s="2" t="str">
        <f>IF(OR(LEFT(Table4[[#This Row],[win_prob]],1)="D",LEFT(Table4[[#This Row],[win_prob]],1)="R"),LEFT(Table4[[#This Row],[win_prob]],1),LEFT(Table4[[#This Row],[Category]],1))</f>
        <v>D</v>
      </c>
      <c r="J5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1" s="16" t="str">
        <f>RIGHT(Table4[[#This Row],[Margin]],LEN(Table4[[#This Row],[Margin]])-FIND("+",Table4[[#This Row],[Margin]]))</f>
        <v>23</v>
      </c>
      <c r="M51" s="20" t="str">
        <f>IF(Table4[[#This Row],[listedprob]]=1,"called",IF(LEFT(Table4[[#This Row],[Margin]],1)="D",(Table4[[#This Row],[Numeric Margin]]/2+50)/100,(-Table4[[#This Row],[Numeric Margin]]/2+50)/100))</f>
        <v>called</v>
      </c>
      <c r="N51" s="20" t="str">
        <f>IFERROR(IF(Table4[[#This Row],[D 2pv]]="called","called",Table4[[#This Row],[D 2pv]]*Table4[[#This Row],[Percent of votes in% In]]),Table4[[#This Row],[D 2pv]]*0.95)</f>
        <v>called</v>
      </c>
      <c r="O51" s="20" t="str">
        <f>IF(Table4[[#This Row],[D pct]]="called","called",(Table4[[#This Row],[D 2pv]]+$E$7))</f>
        <v>called</v>
      </c>
      <c r="P5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1" s="21" t="str">
        <f>IF(Table4[[#This Row],[D captured of remain]]="called","called",Table4[[#This Row],[D captured of remain]]+Table4[[#This Row],[D pct]])</f>
        <v>called</v>
      </c>
      <c r="R51" s="22" t="str">
        <f>IF(Table4[[#This Row],[Expected D]]=1,"D",IF(Table4[[#This Row],[Expected R]]=1,"R",IF(Table4[[#This Row],[D total]]&gt;=0.5,"D","R")))</f>
        <v>D</v>
      </c>
      <c r="S51" s="22"/>
      <c r="V51" s="4"/>
      <c r="W51" s="4"/>
    </row>
    <row r="52" spans="2:23" ht="14.5" customHeight="1" x14ac:dyDescent="0.35">
      <c r="B52" s="27">
        <v>43</v>
      </c>
      <c r="C52" s="2" t="s">
        <v>78</v>
      </c>
      <c r="D52" s="2" t="s">
        <v>35</v>
      </c>
      <c r="E52" s="4" t="s">
        <v>28</v>
      </c>
      <c r="F52" s="2" t="s">
        <v>522</v>
      </c>
      <c r="G52" s="4" t="s">
        <v>197</v>
      </c>
      <c r="H5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2" s="2" t="str">
        <f>IF(OR(LEFT(Table4[[#This Row],[win_prob]],1)="D",LEFT(Table4[[#This Row],[win_prob]],1)="R"),LEFT(Table4[[#This Row],[win_prob]],1),LEFT(Table4[[#This Row],[Category]],1))</f>
        <v>D</v>
      </c>
      <c r="J5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2" s="16" t="str">
        <f>RIGHT(Table4[[#This Row],[Margin]],LEN(Table4[[#This Row],[Margin]])-FIND("+",Table4[[#This Row],[Margin]]))</f>
        <v>24</v>
      </c>
      <c r="M52" s="20" t="str">
        <f>IF(Table4[[#This Row],[listedprob]]=1,"called",IF(LEFT(Table4[[#This Row],[Margin]],1)="D",(Table4[[#This Row],[Numeric Margin]]/2+50)/100,(-Table4[[#This Row],[Numeric Margin]]/2+50)/100))</f>
        <v>called</v>
      </c>
      <c r="N52" s="20" t="str">
        <f>IFERROR(IF(Table4[[#This Row],[D 2pv]]="called","called",Table4[[#This Row],[D 2pv]]*Table4[[#This Row],[Percent of votes in% In]]),Table4[[#This Row],[D 2pv]]*0.95)</f>
        <v>called</v>
      </c>
      <c r="O52" s="20" t="str">
        <f>IF(Table4[[#This Row],[D pct]]="called","called",(Table4[[#This Row],[D 2pv]]+$E$7))</f>
        <v>called</v>
      </c>
      <c r="P5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2" s="21" t="str">
        <f>IF(Table4[[#This Row],[D captured of remain]]="called","called",Table4[[#This Row],[D captured of remain]]+Table4[[#This Row],[D pct]])</f>
        <v>called</v>
      </c>
      <c r="R52" s="22" t="str">
        <f>IF(Table4[[#This Row],[Expected D]]=1,"D",IF(Table4[[#This Row],[Expected R]]=1,"R",IF(Table4[[#This Row],[D total]]&gt;=0.5,"D","R")))</f>
        <v>D</v>
      </c>
      <c r="S52" s="22"/>
      <c r="V52" s="4"/>
      <c r="W52" s="4"/>
    </row>
    <row r="53" spans="2:23" ht="14.5" customHeight="1" x14ac:dyDescent="0.35">
      <c r="B53" s="27">
        <v>44</v>
      </c>
      <c r="C53" s="2" t="s">
        <v>79</v>
      </c>
      <c r="D53" s="2" t="s">
        <v>35</v>
      </c>
      <c r="E53" s="4" t="s">
        <v>28</v>
      </c>
      <c r="F53" s="2" t="s">
        <v>527</v>
      </c>
      <c r="G53" s="4" t="s">
        <v>197</v>
      </c>
      <c r="H5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3" s="2" t="str">
        <f>IF(OR(LEFT(Table4[[#This Row],[win_prob]],1)="D",LEFT(Table4[[#This Row],[win_prob]],1)="R"),LEFT(Table4[[#This Row],[win_prob]],1),LEFT(Table4[[#This Row],[Category]],1))</f>
        <v>D</v>
      </c>
      <c r="J5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3" s="16" t="str">
        <f>RIGHT(Table4[[#This Row],[Margin]],LEN(Table4[[#This Row],[Margin]])-FIND("+",Table4[[#This Row],[Margin]]))</f>
        <v>16</v>
      </c>
      <c r="M53" s="20" t="str">
        <f>IF(Table4[[#This Row],[listedprob]]=1,"called",IF(LEFT(Table4[[#This Row],[Margin]],1)="D",(Table4[[#This Row],[Numeric Margin]]/2+50)/100,(-Table4[[#This Row],[Numeric Margin]]/2+50)/100))</f>
        <v>called</v>
      </c>
      <c r="N53" s="20" t="str">
        <f>IFERROR(IF(Table4[[#This Row],[D 2pv]]="called","called",Table4[[#This Row],[D 2pv]]*Table4[[#This Row],[Percent of votes in% In]]),Table4[[#This Row],[D 2pv]]*0.95)</f>
        <v>called</v>
      </c>
      <c r="O53" s="20" t="str">
        <f>IF(Table4[[#This Row],[D pct]]="called","called",(Table4[[#This Row],[D 2pv]]+$E$7))</f>
        <v>called</v>
      </c>
      <c r="P5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3" s="21" t="str">
        <f>IF(Table4[[#This Row],[D captured of remain]]="called","called",Table4[[#This Row],[D captured of remain]]+Table4[[#This Row],[D pct]])</f>
        <v>called</v>
      </c>
      <c r="R53" s="22" t="str">
        <f>IF(Table4[[#This Row],[Expected D]]=1,"D",IF(Table4[[#This Row],[Expected R]]=1,"R",IF(Table4[[#This Row],[D total]]&gt;=0.5,"D","R")))</f>
        <v>D</v>
      </c>
      <c r="S53" s="22"/>
      <c r="V53" s="4"/>
      <c r="W53" s="4"/>
    </row>
    <row r="54" spans="2:23" ht="14.5" customHeight="1" x14ac:dyDescent="0.35">
      <c r="B54" s="27">
        <v>45</v>
      </c>
      <c r="C54" s="2" t="s">
        <v>80</v>
      </c>
      <c r="D54" s="2" t="s">
        <v>35</v>
      </c>
      <c r="E54" s="4" t="s">
        <v>28</v>
      </c>
      <c r="F54" s="2" t="s">
        <v>548</v>
      </c>
      <c r="G54" s="4" t="s">
        <v>197</v>
      </c>
      <c r="H5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4" s="2" t="str">
        <f>IF(OR(LEFT(Table4[[#This Row],[win_prob]],1)="D",LEFT(Table4[[#This Row],[win_prob]],1)="R"),LEFT(Table4[[#This Row],[win_prob]],1),LEFT(Table4[[#This Row],[Category]],1))</f>
        <v>D</v>
      </c>
      <c r="J5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4" s="16" t="str">
        <f>RIGHT(Table4[[#This Row],[Margin]],LEN(Table4[[#This Row],[Margin]])-FIND("+",Table4[[#This Row],[Margin]]))</f>
        <v>19</v>
      </c>
      <c r="M54" s="20" t="str">
        <f>IF(Table4[[#This Row],[listedprob]]=1,"called",IF(LEFT(Table4[[#This Row],[Margin]],1)="D",(Table4[[#This Row],[Numeric Margin]]/2+50)/100,(-Table4[[#This Row],[Numeric Margin]]/2+50)/100))</f>
        <v>called</v>
      </c>
      <c r="N54" s="20" t="str">
        <f>IFERROR(IF(Table4[[#This Row],[D 2pv]]="called","called",Table4[[#This Row],[D 2pv]]*Table4[[#This Row],[Percent of votes in% In]]),Table4[[#This Row],[D 2pv]]*0.95)</f>
        <v>called</v>
      </c>
      <c r="O54" s="20" t="str">
        <f>IF(Table4[[#This Row],[D pct]]="called","called",(Table4[[#This Row],[D 2pv]]+$E$7))</f>
        <v>called</v>
      </c>
      <c r="P5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4" s="21" t="str">
        <f>IF(Table4[[#This Row],[D captured of remain]]="called","called",Table4[[#This Row],[D captured of remain]]+Table4[[#This Row],[D pct]])</f>
        <v>called</v>
      </c>
      <c r="R54" s="22" t="str">
        <f>IF(Table4[[#This Row],[Expected D]]=1,"D",IF(Table4[[#This Row],[Expected R]]=1,"R",IF(Table4[[#This Row],[D total]]&gt;=0.5,"D","R")))</f>
        <v>D</v>
      </c>
      <c r="S54" s="22"/>
      <c r="V54" s="4"/>
      <c r="W54" s="4"/>
    </row>
    <row r="55" spans="2:23" ht="14.5" customHeight="1" x14ac:dyDescent="0.35">
      <c r="B55" s="27">
        <v>46</v>
      </c>
      <c r="C55" s="2" t="s">
        <v>81</v>
      </c>
      <c r="D55" s="2" t="s">
        <v>35</v>
      </c>
      <c r="E55" s="4">
        <v>1</v>
      </c>
      <c r="F55" s="2" t="s">
        <v>272</v>
      </c>
      <c r="G55" s="4" t="s">
        <v>197</v>
      </c>
      <c r="H5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5" s="2" t="str">
        <f>IF(OR(LEFT(Table4[[#This Row],[win_prob]],1)="D",LEFT(Table4[[#This Row],[win_prob]],1)="R"),LEFT(Table4[[#This Row],[win_prob]],1),LEFT(Table4[[#This Row],[Category]],1))</f>
        <v>D</v>
      </c>
      <c r="J5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5" s="16" t="str">
        <f>RIGHT(Table4[[#This Row],[Margin]],LEN(Table4[[#This Row],[Margin]])-FIND("+",Table4[[#This Row],[Margin]]))</f>
        <v>13</v>
      </c>
      <c r="M55" s="20" t="str">
        <f>IF(Table4[[#This Row],[listedprob]]=1,"called",IF(LEFT(Table4[[#This Row],[Margin]],1)="D",(Table4[[#This Row],[Numeric Margin]]/2+50)/100,(-Table4[[#This Row],[Numeric Margin]]/2+50)/100))</f>
        <v>called</v>
      </c>
      <c r="N55" s="20" t="str">
        <f>IFERROR(IF(Table4[[#This Row],[D 2pv]]="called","called",Table4[[#This Row],[D 2pv]]*Table4[[#This Row],[Percent of votes in% In]]),Table4[[#This Row],[D 2pv]]*0.95)</f>
        <v>called</v>
      </c>
      <c r="O55" s="20" t="str">
        <f>IF(Table4[[#This Row],[D pct]]="called","called",(Table4[[#This Row],[D 2pv]]+$E$7))</f>
        <v>called</v>
      </c>
      <c r="P5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5" s="21" t="str">
        <f>IF(Table4[[#This Row],[D captured of remain]]="called","called",Table4[[#This Row],[D captured of remain]]+Table4[[#This Row],[D pct]])</f>
        <v>called</v>
      </c>
      <c r="R55" s="22" t="str">
        <f>IF(Table4[[#This Row],[Expected D]]=1,"D",IF(Table4[[#This Row],[Expected R]]=1,"R",IF(Table4[[#This Row],[D total]]&gt;=0.5,"D","R")))</f>
        <v>D</v>
      </c>
      <c r="S55" s="22"/>
      <c r="V55" s="4"/>
      <c r="W55" s="4"/>
    </row>
    <row r="56" spans="2:23" ht="14.5" customHeight="1" x14ac:dyDescent="0.35">
      <c r="B56" s="27">
        <v>47</v>
      </c>
      <c r="C56" s="2" t="s">
        <v>82</v>
      </c>
      <c r="D56" s="2" t="s">
        <v>35</v>
      </c>
      <c r="E56" s="4" t="s">
        <v>28</v>
      </c>
      <c r="F56" s="2" t="s">
        <v>254</v>
      </c>
      <c r="G56" s="4" t="s">
        <v>197</v>
      </c>
      <c r="H5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6" s="2" t="str">
        <f>IF(OR(LEFT(Table4[[#This Row],[win_prob]],1)="D",LEFT(Table4[[#This Row],[win_prob]],1)="R"),LEFT(Table4[[#This Row],[win_prob]],1),LEFT(Table4[[#This Row],[Category]],1))</f>
        <v>D</v>
      </c>
      <c r="J5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6" s="16" t="str">
        <f>RIGHT(Table4[[#This Row],[Margin]],LEN(Table4[[#This Row],[Margin]])-FIND("+",Table4[[#This Row],[Margin]]))</f>
        <v>7</v>
      </c>
      <c r="M56" s="20" t="str">
        <f>IF(Table4[[#This Row],[listedprob]]=1,"called",IF(LEFT(Table4[[#This Row],[Margin]],1)="D",(Table4[[#This Row],[Numeric Margin]]/2+50)/100,(-Table4[[#This Row],[Numeric Margin]]/2+50)/100))</f>
        <v>called</v>
      </c>
      <c r="N56" s="20" t="str">
        <f>IFERROR(IF(Table4[[#This Row],[D 2pv]]="called","called",Table4[[#This Row],[D 2pv]]*Table4[[#This Row],[Percent of votes in% In]]),Table4[[#This Row],[D 2pv]]*0.95)</f>
        <v>called</v>
      </c>
      <c r="O56" s="20" t="str">
        <f>IF(Table4[[#This Row],[D pct]]="called","called",(Table4[[#This Row],[D 2pv]]+$E$7))</f>
        <v>called</v>
      </c>
      <c r="P5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6" s="21" t="str">
        <f>IF(Table4[[#This Row],[D captured of remain]]="called","called",Table4[[#This Row],[D captured of remain]]+Table4[[#This Row],[D pct]])</f>
        <v>called</v>
      </c>
      <c r="R56" s="22" t="str">
        <f>IF(Table4[[#This Row],[Expected D]]=1,"D",IF(Table4[[#This Row],[Expected R]]=1,"R",IF(Table4[[#This Row],[D total]]&gt;=0.5,"D","R")))</f>
        <v>D</v>
      </c>
      <c r="S56" s="22"/>
      <c r="V56" s="4"/>
      <c r="W56" s="4"/>
    </row>
    <row r="57" spans="2:23" ht="14.5" customHeight="1" x14ac:dyDescent="0.35">
      <c r="B57" s="27">
        <v>48</v>
      </c>
      <c r="C57" s="2" t="s">
        <v>83</v>
      </c>
      <c r="D57" s="2" t="s">
        <v>35</v>
      </c>
      <c r="E57" s="4" t="s">
        <v>28</v>
      </c>
      <c r="F57" s="2" t="s">
        <v>528</v>
      </c>
      <c r="G57" s="4" t="s">
        <v>197</v>
      </c>
      <c r="H5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7" s="2" t="str">
        <f>IF(OR(LEFT(Table4[[#This Row],[win_prob]],1)="D",LEFT(Table4[[#This Row],[win_prob]],1)="R"),LEFT(Table4[[#This Row],[win_prob]],1),LEFT(Table4[[#This Row],[Category]],1))</f>
        <v>D</v>
      </c>
      <c r="J5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7" s="16" t="str">
        <f>RIGHT(Table4[[#This Row],[Margin]],LEN(Table4[[#This Row],[Margin]])-FIND("+",Table4[[#This Row],[Margin]]))</f>
        <v>20</v>
      </c>
      <c r="M57" s="20" t="str">
        <f>IF(Table4[[#This Row],[listedprob]]=1,"called",IF(LEFT(Table4[[#This Row],[Margin]],1)="D",(Table4[[#This Row],[Numeric Margin]]/2+50)/100,(-Table4[[#This Row],[Numeric Margin]]/2+50)/100))</f>
        <v>called</v>
      </c>
      <c r="N57" s="20" t="str">
        <f>IFERROR(IF(Table4[[#This Row],[D 2pv]]="called","called",Table4[[#This Row],[D 2pv]]*Table4[[#This Row],[Percent of votes in% In]]),Table4[[#This Row],[D 2pv]]*0.95)</f>
        <v>called</v>
      </c>
      <c r="O57" s="20" t="str">
        <f>IF(Table4[[#This Row],[D pct]]="called","called",(Table4[[#This Row],[D 2pv]]+$E$7))</f>
        <v>called</v>
      </c>
      <c r="P5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7" s="21" t="str">
        <f>IF(Table4[[#This Row],[D captured of remain]]="called","called",Table4[[#This Row],[D captured of remain]]+Table4[[#This Row],[D pct]])</f>
        <v>called</v>
      </c>
      <c r="R57" s="22" t="str">
        <f>IF(Table4[[#This Row],[Expected D]]=1,"D",IF(Table4[[#This Row],[Expected R]]=1,"R",IF(Table4[[#This Row],[D total]]&gt;=0.5,"D","R")))</f>
        <v>D</v>
      </c>
      <c r="S57" s="22"/>
      <c r="V57" s="4"/>
      <c r="W57" s="4"/>
    </row>
    <row r="58" spans="2:23" ht="14.5" customHeight="1" x14ac:dyDescent="0.35">
      <c r="B58" s="27">
        <v>49</v>
      </c>
      <c r="C58" s="2" t="s">
        <v>84</v>
      </c>
      <c r="D58" s="2" t="s">
        <v>35</v>
      </c>
      <c r="E58" s="4" t="s">
        <v>28</v>
      </c>
      <c r="F58" s="2" t="s">
        <v>530</v>
      </c>
      <c r="G58" s="4" t="s">
        <v>197</v>
      </c>
      <c r="H5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8" s="2" t="str">
        <f>IF(OR(LEFT(Table4[[#This Row],[win_prob]],1)="D",LEFT(Table4[[#This Row],[win_prob]],1)="R"),LEFT(Table4[[#This Row],[win_prob]],1),LEFT(Table4[[#This Row],[Category]],1))</f>
        <v>D</v>
      </c>
      <c r="J5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8" s="16" t="str">
        <f>RIGHT(Table4[[#This Row],[Margin]],LEN(Table4[[#This Row],[Margin]])-FIND("+",Table4[[#This Row],[Margin]]))</f>
        <v>14</v>
      </c>
      <c r="M58" s="20" t="str">
        <f>IF(Table4[[#This Row],[listedprob]]=1,"called",IF(LEFT(Table4[[#This Row],[Margin]],1)="D",(Table4[[#This Row],[Numeric Margin]]/2+50)/100,(-Table4[[#This Row],[Numeric Margin]]/2+50)/100))</f>
        <v>called</v>
      </c>
      <c r="N58" s="20" t="str">
        <f>IFERROR(IF(Table4[[#This Row],[D 2pv]]="called","called",Table4[[#This Row],[D 2pv]]*Table4[[#This Row],[Percent of votes in% In]]),Table4[[#This Row],[D 2pv]]*0.95)</f>
        <v>called</v>
      </c>
      <c r="O58" s="20" t="str">
        <f>IF(Table4[[#This Row],[D pct]]="called","called",(Table4[[#This Row],[D 2pv]]+$E$7))</f>
        <v>called</v>
      </c>
      <c r="P5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8" s="21" t="str">
        <f>IF(Table4[[#This Row],[D captured of remain]]="called","called",Table4[[#This Row],[D captured of remain]]+Table4[[#This Row],[D pct]])</f>
        <v>called</v>
      </c>
      <c r="R58" s="22" t="str">
        <f>IF(Table4[[#This Row],[Expected D]]=1,"D",IF(Table4[[#This Row],[Expected R]]=1,"R",IF(Table4[[#This Row],[D total]]&gt;=0.5,"D","R")))</f>
        <v>D</v>
      </c>
      <c r="S58" s="22"/>
      <c r="V58" s="4"/>
      <c r="W58" s="4"/>
    </row>
    <row r="59" spans="2:23" ht="14.5" customHeight="1" x14ac:dyDescent="0.35">
      <c r="B59" s="27">
        <v>50</v>
      </c>
      <c r="C59" s="2" t="s">
        <v>85</v>
      </c>
      <c r="D59" s="2" t="s">
        <v>35</v>
      </c>
      <c r="E59" s="4" t="s">
        <v>28</v>
      </c>
      <c r="F59" s="2" t="s">
        <v>531</v>
      </c>
      <c r="G59" s="4" t="s">
        <v>197</v>
      </c>
      <c r="H5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59" s="2" t="str">
        <f>IF(OR(LEFT(Table4[[#This Row],[win_prob]],1)="D",LEFT(Table4[[#This Row],[win_prob]],1)="R"),LEFT(Table4[[#This Row],[win_prob]],1),LEFT(Table4[[#This Row],[Category]],1))</f>
        <v>D</v>
      </c>
      <c r="J5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5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59" s="16" t="str">
        <f>RIGHT(Table4[[#This Row],[Margin]],LEN(Table4[[#This Row],[Margin]])-FIND("+",Table4[[#This Row],[Margin]]))</f>
        <v>45</v>
      </c>
      <c r="M59" s="20" t="str">
        <f>IF(Table4[[#This Row],[listedprob]]=1,"called",IF(LEFT(Table4[[#This Row],[Margin]],1)="D",(Table4[[#This Row],[Numeric Margin]]/2+50)/100,(-Table4[[#This Row],[Numeric Margin]]/2+50)/100))</f>
        <v>called</v>
      </c>
      <c r="N59" s="20" t="str">
        <f>IFERROR(IF(Table4[[#This Row],[D 2pv]]="called","called",Table4[[#This Row],[D 2pv]]*Table4[[#This Row],[Percent of votes in% In]]),Table4[[#This Row],[D 2pv]]*0.95)</f>
        <v>called</v>
      </c>
      <c r="O59" s="20" t="str">
        <f>IF(Table4[[#This Row],[D pct]]="called","called",(Table4[[#This Row],[D 2pv]]+$E$7))</f>
        <v>called</v>
      </c>
      <c r="P5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59" s="21" t="str">
        <f>IF(Table4[[#This Row],[D captured of remain]]="called","called",Table4[[#This Row],[D captured of remain]]+Table4[[#This Row],[D pct]])</f>
        <v>called</v>
      </c>
      <c r="R59" s="22" t="str">
        <f>IF(Table4[[#This Row],[Expected D]]=1,"D",IF(Table4[[#This Row],[Expected R]]=1,"R",IF(Table4[[#This Row],[D total]]&gt;=0.5,"D","R")))</f>
        <v>D</v>
      </c>
      <c r="S59" s="22"/>
      <c r="V59" s="4"/>
      <c r="W59" s="4"/>
    </row>
    <row r="60" spans="2:23" ht="14.5" customHeight="1" x14ac:dyDescent="0.35">
      <c r="B60" s="27">
        <v>51</v>
      </c>
      <c r="C60" s="2" t="s">
        <v>86</v>
      </c>
      <c r="D60" s="2" t="s">
        <v>35</v>
      </c>
      <c r="E60" s="4" t="s">
        <v>28</v>
      </c>
      <c r="F60" s="2" t="s">
        <v>523</v>
      </c>
      <c r="G60" s="4" t="s">
        <v>197</v>
      </c>
      <c r="H6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0" s="2" t="str">
        <f>IF(OR(LEFT(Table4[[#This Row],[win_prob]],1)="D",LEFT(Table4[[#This Row],[win_prob]],1)="R"),LEFT(Table4[[#This Row],[win_prob]],1),LEFT(Table4[[#This Row],[Category]],1))</f>
        <v>D</v>
      </c>
      <c r="J6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0" s="16" t="str">
        <f>RIGHT(Table4[[#This Row],[Margin]],LEN(Table4[[#This Row],[Margin]])-FIND("+",Table4[[#This Row],[Margin]]))</f>
        <v>10</v>
      </c>
      <c r="M60" s="20" t="str">
        <f>IF(Table4[[#This Row],[listedprob]]=1,"called",IF(LEFT(Table4[[#This Row],[Margin]],1)="D",(Table4[[#This Row],[Numeric Margin]]/2+50)/100,(-Table4[[#This Row],[Numeric Margin]]/2+50)/100))</f>
        <v>called</v>
      </c>
      <c r="N60" s="20" t="str">
        <f>IFERROR(IF(Table4[[#This Row],[D 2pv]]="called","called",Table4[[#This Row],[D 2pv]]*Table4[[#This Row],[Percent of votes in% In]]),Table4[[#This Row],[D 2pv]]*0.95)</f>
        <v>called</v>
      </c>
      <c r="O60" s="20" t="str">
        <f>IF(Table4[[#This Row],[D pct]]="called","called",(Table4[[#This Row],[D 2pv]]+$E$7))</f>
        <v>called</v>
      </c>
      <c r="P6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0" s="21" t="str">
        <f>IF(Table4[[#This Row],[D captured of remain]]="called","called",Table4[[#This Row],[D captured of remain]]+Table4[[#This Row],[D pct]])</f>
        <v>called</v>
      </c>
      <c r="R60" s="22" t="str">
        <f>IF(Table4[[#This Row],[Expected D]]=1,"D",IF(Table4[[#This Row],[Expected R]]=1,"R",IF(Table4[[#This Row],[D total]]&gt;=0.5,"D","R")))</f>
        <v>D</v>
      </c>
      <c r="S60" s="22"/>
      <c r="V60" s="4"/>
      <c r="W60" s="4"/>
    </row>
    <row r="61" spans="2:23" ht="14.5" customHeight="1" x14ac:dyDescent="0.35">
      <c r="B61" s="27">
        <v>52</v>
      </c>
      <c r="C61" s="2" t="s">
        <v>87</v>
      </c>
      <c r="D61" s="2" t="s">
        <v>35</v>
      </c>
      <c r="E61" s="4" t="s">
        <v>28</v>
      </c>
      <c r="F61" s="2" t="s">
        <v>247</v>
      </c>
      <c r="G61" s="4" t="s">
        <v>197</v>
      </c>
      <c r="H6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1" s="2" t="str">
        <f>IF(OR(LEFT(Table4[[#This Row],[win_prob]],1)="D",LEFT(Table4[[#This Row],[win_prob]],1)="R"),LEFT(Table4[[#This Row],[win_prob]],1),LEFT(Table4[[#This Row],[Category]],1))</f>
        <v>D</v>
      </c>
      <c r="J6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1" s="16" t="str">
        <f>RIGHT(Table4[[#This Row],[Margin]],LEN(Table4[[#This Row],[Margin]])-FIND("+",Table4[[#This Row],[Margin]]))</f>
        <v>5</v>
      </c>
      <c r="M61" s="20" t="str">
        <f>IF(Table4[[#This Row],[listedprob]]=1,"called",IF(LEFT(Table4[[#This Row],[Margin]],1)="D",(Table4[[#This Row],[Numeric Margin]]/2+50)/100,(-Table4[[#This Row],[Numeric Margin]]/2+50)/100))</f>
        <v>called</v>
      </c>
      <c r="N61" s="20" t="str">
        <f>IFERROR(IF(Table4[[#This Row],[D 2pv]]="called","called",Table4[[#This Row],[D 2pv]]*Table4[[#This Row],[Percent of votes in% In]]),Table4[[#This Row],[D 2pv]]*0.95)</f>
        <v>called</v>
      </c>
      <c r="O61" s="20" t="str">
        <f>IF(Table4[[#This Row],[D pct]]="called","called",(Table4[[#This Row],[D 2pv]]+$E$7))</f>
        <v>called</v>
      </c>
      <c r="P6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1" s="21" t="str">
        <f>IF(Table4[[#This Row],[D captured of remain]]="called","called",Table4[[#This Row],[D captured of remain]]+Table4[[#This Row],[D pct]])</f>
        <v>called</v>
      </c>
      <c r="R61" s="22" t="str">
        <f>IF(Table4[[#This Row],[Expected D]]=1,"D",IF(Table4[[#This Row],[Expected R]]=1,"R",IF(Table4[[#This Row],[D total]]&gt;=0.5,"D","R")))</f>
        <v>D</v>
      </c>
      <c r="S61" s="22"/>
      <c r="V61" s="4"/>
      <c r="W61" s="4"/>
    </row>
    <row r="62" spans="2:23" ht="14.5" customHeight="1" x14ac:dyDescent="0.35">
      <c r="B62" s="27">
        <v>53</v>
      </c>
      <c r="C62" s="2" t="s">
        <v>88</v>
      </c>
      <c r="D62" s="2" t="s">
        <v>35</v>
      </c>
      <c r="E62" s="2" t="s">
        <v>28</v>
      </c>
      <c r="F62" s="2" t="s">
        <v>510</v>
      </c>
      <c r="G62" s="4" t="s">
        <v>197</v>
      </c>
      <c r="H6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2" s="2" t="str">
        <f>IF(OR(LEFT(Table4[[#This Row],[win_prob]],1)="D",LEFT(Table4[[#This Row],[win_prob]],1)="R"),LEFT(Table4[[#This Row],[win_prob]],1),LEFT(Table4[[#This Row],[Category]],1))</f>
        <v>D</v>
      </c>
      <c r="J6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2" s="16" t="str">
        <f>RIGHT(Table4[[#This Row],[Margin]],LEN(Table4[[#This Row],[Margin]])-FIND("+",Table4[[#This Row],[Margin]]))</f>
        <v>44</v>
      </c>
      <c r="M62" s="20" t="str">
        <f>IF(Table4[[#This Row],[listedprob]]=1,"called",IF(LEFT(Table4[[#This Row],[Margin]],1)="D",(Table4[[#This Row],[Numeric Margin]]/2+50)/100,(-Table4[[#This Row],[Numeric Margin]]/2+50)/100))</f>
        <v>called</v>
      </c>
      <c r="N62" s="20" t="str">
        <f>IFERROR(IF(Table4[[#This Row],[D 2pv]]="called","called",Table4[[#This Row],[D 2pv]]*Table4[[#This Row],[Percent of votes in% In]]),Table4[[#This Row],[D 2pv]]*0.95)</f>
        <v>called</v>
      </c>
      <c r="O62" s="20" t="str">
        <f>IF(Table4[[#This Row],[D pct]]="called","called",(Table4[[#This Row],[D 2pv]]+$E$7))</f>
        <v>called</v>
      </c>
      <c r="P6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2" s="21" t="str">
        <f>IF(Table4[[#This Row],[D captured of remain]]="called","called",Table4[[#This Row],[D captured of remain]]+Table4[[#This Row],[D pct]])</f>
        <v>called</v>
      </c>
      <c r="R62" s="22" t="str">
        <f>IF(Table4[[#This Row],[Expected D]]=1,"D",IF(Table4[[#This Row],[Expected R]]=1,"R",IF(Table4[[#This Row],[D total]]&gt;=0.5,"D","R")))</f>
        <v>D</v>
      </c>
      <c r="S62" s="22"/>
      <c r="V62" s="4"/>
      <c r="W62" s="4"/>
    </row>
    <row r="63" spans="2:23" ht="14.5" customHeight="1" x14ac:dyDescent="0.35">
      <c r="B63" s="27">
        <v>54</v>
      </c>
      <c r="C63" s="2" t="s">
        <v>89</v>
      </c>
      <c r="D63" s="2" t="s">
        <v>35</v>
      </c>
      <c r="E63" s="2" t="s">
        <v>28</v>
      </c>
      <c r="F63" s="2" t="s">
        <v>523</v>
      </c>
      <c r="G63" s="4" t="s">
        <v>197</v>
      </c>
      <c r="H6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3" s="2" t="str">
        <f>IF(OR(LEFT(Table4[[#This Row],[win_prob]],1)="D",LEFT(Table4[[#This Row],[win_prob]],1)="R"),LEFT(Table4[[#This Row],[win_prob]],1),LEFT(Table4[[#This Row],[Category]],1))</f>
        <v>D</v>
      </c>
      <c r="J6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3" s="16" t="str">
        <f>RIGHT(Table4[[#This Row],[Margin]],LEN(Table4[[#This Row],[Margin]])-FIND("+",Table4[[#This Row],[Margin]]))</f>
        <v>10</v>
      </c>
      <c r="M63" s="20" t="str">
        <f>IF(Table4[[#This Row],[listedprob]]=1,"called",IF(LEFT(Table4[[#This Row],[Margin]],1)="D",(Table4[[#This Row],[Numeric Margin]]/2+50)/100,(-Table4[[#This Row],[Numeric Margin]]/2+50)/100))</f>
        <v>called</v>
      </c>
      <c r="N63" s="20" t="str">
        <f>IFERROR(IF(Table4[[#This Row],[D 2pv]]="called","called",Table4[[#This Row],[D 2pv]]*Table4[[#This Row],[Percent of votes in% In]]),Table4[[#This Row],[D 2pv]]*0.95)</f>
        <v>called</v>
      </c>
      <c r="O63" s="20" t="str">
        <f>IF(Table4[[#This Row],[D pct]]="called","called",(Table4[[#This Row],[D 2pv]]+$E$7))</f>
        <v>called</v>
      </c>
      <c r="P6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3" s="21" t="str">
        <f>IF(Table4[[#This Row],[D captured of remain]]="called","called",Table4[[#This Row],[D captured of remain]]+Table4[[#This Row],[D pct]])</f>
        <v>called</v>
      </c>
      <c r="R63" s="22" t="str">
        <f>IF(Table4[[#This Row],[Expected D]]=1,"D",IF(Table4[[#This Row],[Expected R]]=1,"R",IF(Table4[[#This Row],[D total]]&gt;=0.5,"D","R")))</f>
        <v>D</v>
      </c>
      <c r="S63" s="22"/>
      <c r="V63" s="4"/>
    </row>
    <row r="64" spans="2:23" ht="14.5" customHeight="1" x14ac:dyDescent="0.35">
      <c r="B64" s="27">
        <v>55</v>
      </c>
      <c r="C64" s="2" t="s">
        <v>90</v>
      </c>
      <c r="D64" s="2" t="s">
        <v>35</v>
      </c>
      <c r="E64" s="4" t="s">
        <v>28</v>
      </c>
      <c r="F64" s="2" t="s">
        <v>532</v>
      </c>
      <c r="G64" s="4" t="s">
        <v>197</v>
      </c>
      <c r="H6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4" s="2" t="str">
        <f>IF(OR(LEFT(Table4[[#This Row],[win_prob]],1)="D",LEFT(Table4[[#This Row],[win_prob]],1)="R"),LEFT(Table4[[#This Row],[win_prob]],1),LEFT(Table4[[#This Row],[Category]],1))</f>
        <v>D</v>
      </c>
      <c r="J6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4" s="16" t="str">
        <f>RIGHT(Table4[[#This Row],[Margin]],LEN(Table4[[#This Row],[Margin]])-FIND("+",Table4[[#This Row],[Margin]]))</f>
        <v>57</v>
      </c>
      <c r="M64" s="20" t="str">
        <f>IF(Table4[[#This Row],[listedprob]]=1,"called",IF(LEFT(Table4[[#This Row],[Margin]],1)="D",(Table4[[#This Row],[Numeric Margin]]/2+50)/100,(-Table4[[#This Row],[Numeric Margin]]/2+50)/100))</f>
        <v>called</v>
      </c>
      <c r="N64" s="20" t="str">
        <f>IFERROR(IF(Table4[[#This Row],[D 2pv]]="called","called",Table4[[#This Row],[D 2pv]]*Table4[[#This Row],[Percent of votes in% In]]),Table4[[#This Row],[D 2pv]]*0.95)</f>
        <v>called</v>
      </c>
      <c r="O64" s="20" t="str">
        <f>IF(Table4[[#This Row],[D pct]]="called","called",(Table4[[#This Row],[D 2pv]]+$E$7))</f>
        <v>called</v>
      </c>
      <c r="P6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4" s="21" t="str">
        <f>IF(Table4[[#This Row],[D captured of remain]]="called","called",Table4[[#This Row],[D captured of remain]]+Table4[[#This Row],[D pct]])</f>
        <v>called</v>
      </c>
      <c r="R64" s="22" t="str">
        <f>IF(Table4[[#This Row],[Expected D]]=1,"D",IF(Table4[[#This Row],[Expected R]]=1,"R",IF(Table4[[#This Row],[D total]]&gt;=0.5,"D","R")))</f>
        <v>D</v>
      </c>
      <c r="S64" s="22"/>
      <c r="V64" s="4"/>
    </row>
    <row r="65" spans="2:23" ht="14.5" customHeight="1" x14ac:dyDescent="0.35">
      <c r="B65" s="27">
        <v>56</v>
      </c>
      <c r="C65" s="2" t="s">
        <v>91</v>
      </c>
      <c r="D65" s="2" t="s">
        <v>35</v>
      </c>
      <c r="E65" s="4" t="s">
        <v>28</v>
      </c>
      <c r="F65" s="2" t="s">
        <v>533</v>
      </c>
      <c r="G65" s="4" t="s">
        <v>197</v>
      </c>
      <c r="H6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5" s="2" t="str">
        <f>IF(OR(LEFT(Table4[[#This Row],[win_prob]],1)="D",LEFT(Table4[[#This Row],[win_prob]],1)="R"),LEFT(Table4[[#This Row],[win_prob]],1),LEFT(Table4[[#This Row],[Category]],1))</f>
        <v>D</v>
      </c>
      <c r="J6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5" s="16" t="str">
        <f>RIGHT(Table4[[#This Row],[Margin]],LEN(Table4[[#This Row],[Margin]])-FIND("+",Table4[[#This Row],[Margin]]))</f>
        <v>65</v>
      </c>
      <c r="M65" s="20" t="str">
        <f>IF(Table4[[#This Row],[listedprob]]=1,"called",IF(LEFT(Table4[[#This Row],[Margin]],1)="D",(Table4[[#This Row],[Numeric Margin]]/2+50)/100,(-Table4[[#This Row],[Numeric Margin]]/2+50)/100))</f>
        <v>called</v>
      </c>
      <c r="N65" s="20" t="str">
        <f>IFERROR(IF(Table4[[#This Row],[D 2pv]]="called","called",Table4[[#This Row],[D 2pv]]*Table4[[#This Row],[Percent of votes in% In]]),Table4[[#This Row],[D 2pv]]*0.95)</f>
        <v>called</v>
      </c>
      <c r="O65" s="20" t="str">
        <f>IF(Table4[[#This Row],[D pct]]="called","called",(Table4[[#This Row],[D 2pv]]+$E$7))</f>
        <v>called</v>
      </c>
      <c r="P6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5" s="21" t="str">
        <f>IF(Table4[[#This Row],[D captured of remain]]="called","called",Table4[[#This Row],[D captured of remain]]+Table4[[#This Row],[D pct]])</f>
        <v>called</v>
      </c>
      <c r="R65" s="22" t="str">
        <f>IF(Table4[[#This Row],[Expected D]]=1,"D",IF(Table4[[#This Row],[Expected R]]=1,"R",IF(Table4[[#This Row],[D total]]&gt;=0.5,"D","R")))</f>
        <v>D</v>
      </c>
      <c r="S65" s="22"/>
      <c r="V65" s="4"/>
    </row>
    <row r="66" spans="2:23" ht="14.5" customHeight="1" x14ac:dyDescent="0.35">
      <c r="B66" s="27">
        <v>57</v>
      </c>
      <c r="C66" s="2" t="s">
        <v>92</v>
      </c>
      <c r="D66" s="2" t="s">
        <v>35</v>
      </c>
      <c r="E66" s="4" t="s">
        <v>28</v>
      </c>
      <c r="F66" s="2" t="s">
        <v>534</v>
      </c>
      <c r="G66" s="4" t="s">
        <v>197</v>
      </c>
      <c r="H6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6" s="2" t="str">
        <f>IF(OR(LEFT(Table4[[#This Row],[win_prob]],1)="D",LEFT(Table4[[#This Row],[win_prob]],1)="R"),LEFT(Table4[[#This Row],[win_prob]],1),LEFT(Table4[[#This Row],[Category]],1))</f>
        <v>D</v>
      </c>
      <c r="J6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6" s="16" t="str">
        <f>RIGHT(Table4[[#This Row],[Margin]],LEN(Table4[[#This Row],[Margin]])-FIND("+",Table4[[#This Row],[Margin]]))</f>
        <v>22</v>
      </c>
      <c r="M66" s="20" t="str">
        <f>IF(Table4[[#This Row],[listedprob]]=1,"called",IF(LEFT(Table4[[#This Row],[Margin]],1)="D",(Table4[[#This Row],[Numeric Margin]]/2+50)/100,(-Table4[[#This Row],[Numeric Margin]]/2+50)/100))</f>
        <v>called</v>
      </c>
      <c r="N66" s="20" t="str">
        <f>IFERROR(IF(Table4[[#This Row],[D 2pv]]="called","called",Table4[[#This Row],[D 2pv]]*Table4[[#This Row],[Percent of votes in% In]]),Table4[[#This Row],[D 2pv]]*0.95)</f>
        <v>called</v>
      </c>
      <c r="O66" s="20" t="str">
        <f>IF(Table4[[#This Row],[D pct]]="called","called",(Table4[[#This Row],[D 2pv]]+$E$7))</f>
        <v>called</v>
      </c>
      <c r="P6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6" s="21" t="str">
        <f>IF(Table4[[#This Row],[D captured of remain]]="called","called",Table4[[#This Row],[D captured of remain]]+Table4[[#This Row],[D pct]])</f>
        <v>called</v>
      </c>
      <c r="R66" s="22" t="str">
        <f>IF(Table4[[#This Row],[Expected D]]=1,"D",IF(Table4[[#This Row],[Expected R]]=1,"R",IF(Table4[[#This Row],[D total]]&gt;=0.5,"D","R")))</f>
        <v>D</v>
      </c>
      <c r="S66" s="22"/>
      <c r="V66" s="4"/>
    </row>
    <row r="67" spans="2:23" ht="14.5" customHeight="1" x14ac:dyDescent="0.35">
      <c r="B67" s="27">
        <v>58</v>
      </c>
      <c r="C67" s="2" t="s">
        <v>93</v>
      </c>
      <c r="D67" s="2" t="s">
        <v>35</v>
      </c>
      <c r="E67" s="2" t="s">
        <v>28</v>
      </c>
      <c r="F67" s="2" t="s">
        <v>535</v>
      </c>
      <c r="G67" s="4" t="s">
        <v>197</v>
      </c>
      <c r="H6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7" s="2" t="str">
        <f>IF(OR(LEFT(Table4[[#This Row],[win_prob]],1)="D",LEFT(Table4[[#This Row],[win_prob]],1)="R"),LEFT(Table4[[#This Row],[win_prob]],1),LEFT(Table4[[#This Row],[Category]],1))</f>
        <v>D</v>
      </c>
      <c r="J6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7" s="16" t="str">
        <f>RIGHT(Table4[[#This Row],[Margin]],LEN(Table4[[#This Row],[Margin]])-FIND("+",Table4[[#This Row],[Margin]]))</f>
        <v>64</v>
      </c>
      <c r="M67" s="20" t="str">
        <f>IF(Table4[[#This Row],[listedprob]]=1,"called",IF(LEFT(Table4[[#This Row],[Margin]],1)="D",(Table4[[#This Row],[Numeric Margin]]/2+50)/100,(-Table4[[#This Row],[Numeric Margin]]/2+50)/100))</f>
        <v>called</v>
      </c>
      <c r="N67" s="20" t="str">
        <f>IFERROR(IF(Table4[[#This Row],[D 2pv]]="called","called",Table4[[#This Row],[D 2pv]]*Table4[[#This Row],[Percent of votes in% In]]),Table4[[#This Row],[D 2pv]]*0.95)</f>
        <v>called</v>
      </c>
      <c r="O67" s="20" t="str">
        <f>IF(Table4[[#This Row],[D pct]]="called","called",(Table4[[#This Row],[D 2pv]]+$E$7))</f>
        <v>called</v>
      </c>
      <c r="P6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7" s="21" t="str">
        <f>IF(Table4[[#This Row],[D captured of remain]]="called","called",Table4[[#This Row],[D captured of remain]]+Table4[[#This Row],[D pct]])</f>
        <v>called</v>
      </c>
      <c r="R67" s="22" t="str">
        <f>IF(Table4[[#This Row],[Expected D]]=1,"D",IF(Table4[[#This Row],[Expected R]]=1,"R",IF(Table4[[#This Row],[D total]]&gt;=0.5,"D","R")))</f>
        <v>D</v>
      </c>
      <c r="S67" s="22"/>
      <c r="V67" s="4"/>
    </row>
    <row r="68" spans="2:23" ht="14.5" customHeight="1" x14ac:dyDescent="0.35">
      <c r="B68" s="27">
        <v>59</v>
      </c>
      <c r="C68" s="2" t="s">
        <v>94</v>
      </c>
      <c r="D68" s="2" t="s">
        <v>35</v>
      </c>
      <c r="E68" s="2" t="s">
        <v>28</v>
      </c>
      <c r="F68" s="2" t="s">
        <v>545</v>
      </c>
      <c r="G68" s="4" t="s">
        <v>197</v>
      </c>
      <c r="H6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8" s="2" t="str">
        <f>IF(OR(LEFT(Table4[[#This Row],[win_prob]],1)="D",LEFT(Table4[[#This Row],[win_prob]],1)="R"),LEFT(Table4[[#This Row],[win_prob]],1),LEFT(Table4[[#This Row],[Category]],1))</f>
        <v>D</v>
      </c>
      <c r="J6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8" s="16" t="str">
        <f>RIGHT(Table4[[#This Row],[Margin]],LEN(Table4[[#This Row],[Margin]])-FIND("+",Table4[[#This Row],[Margin]]))</f>
        <v>47</v>
      </c>
      <c r="M68" s="20" t="str">
        <f>IF(Table4[[#This Row],[listedprob]]=1,"called",IF(LEFT(Table4[[#This Row],[Margin]],1)="D",(Table4[[#This Row],[Numeric Margin]]/2+50)/100,(-Table4[[#This Row],[Numeric Margin]]/2+50)/100))</f>
        <v>called</v>
      </c>
      <c r="N68" s="20" t="str">
        <f>IFERROR(IF(Table4[[#This Row],[D 2pv]]="called","called",Table4[[#This Row],[D 2pv]]*Table4[[#This Row],[Percent of votes in% In]]),Table4[[#This Row],[D 2pv]]*0.95)</f>
        <v>called</v>
      </c>
      <c r="O68" s="20" t="str">
        <f>IF(Table4[[#This Row],[D pct]]="called","called",(Table4[[#This Row],[D 2pv]]+$E$7))</f>
        <v>called</v>
      </c>
      <c r="P6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8" s="21" t="str">
        <f>IF(Table4[[#This Row],[D captured of remain]]="called","called",Table4[[#This Row],[D captured of remain]]+Table4[[#This Row],[D pct]])</f>
        <v>called</v>
      </c>
      <c r="R68" s="22" t="str">
        <f>IF(Table4[[#This Row],[Expected D]]=1,"D",IF(Table4[[#This Row],[Expected R]]=1,"R",IF(Table4[[#This Row],[D total]]&gt;=0.5,"D","R")))</f>
        <v>D</v>
      </c>
      <c r="S68" s="22"/>
      <c r="V68" s="4"/>
    </row>
    <row r="69" spans="2:23" ht="14.5" customHeight="1" x14ac:dyDescent="0.35">
      <c r="B69" s="27">
        <v>60</v>
      </c>
      <c r="C69" s="2" t="s">
        <v>95</v>
      </c>
      <c r="D69" s="2" t="s">
        <v>35</v>
      </c>
      <c r="E69" s="4" t="s">
        <v>28</v>
      </c>
      <c r="F69" s="2" t="s">
        <v>544</v>
      </c>
      <c r="G69" s="4" t="s">
        <v>197</v>
      </c>
      <c r="H6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69" s="2" t="str">
        <f>IF(OR(LEFT(Table4[[#This Row],[win_prob]],1)="D",LEFT(Table4[[#This Row],[win_prob]],1)="R"),LEFT(Table4[[#This Row],[win_prob]],1),LEFT(Table4[[#This Row],[Category]],1))</f>
        <v>D</v>
      </c>
      <c r="J6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6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69" s="16" t="str">
        <f>RIGHT(Table4[[#This Row],[Margin]],LEN(Table4[[#This Row],[Margin]])-FIND("+",Table4[[#This Row],[Margin]]))</f>
        <v>27</v>
      </c>
      <c r="M69" s="20" t="str">
        <f>IF(Table4[[#This Row],[listedprob]]=1,"called",IF(LEFT(Table4[[#This Row],[Margin]],1)="D",(Table4[[#This Row],[Numeric Margin]]/2+50)/100,(-Table4[[#This Row],[Numeric Margin]]/2+50)/100))</f>
        <v>called</v>
      </c>
      <c r="N69" s="20" t="str">
        <f>IFERROR(IF(Table4[[#This Row],[D 2pv]]="called","called",Table4[[#This Row],[D 2pv]]*Table4[[#This Row],[Percent of votes in% In]]),Table4[[#This Row],[D 2pv]]*0.95)</f>
        <v>called</v>
      </c>
      <c r="O69" s="20" t="str">
        <f>IF(Table4[[#This Row],[D pct]]="called","called",(Table4[[#This Row],[D 2pv]]+$E$7))</f>
        <v>called</v>
      </c>
      <c r="P6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69" s="21" t="str">
        <f>IF(Table4[[#This Row],[D captured of remain]]="called","called",Table4[[#This Row],[D captured of remain]]+Table4[[#This Row],[D pct]])</f>
        <v>called</v>
      </c>
      <c r="R69" s="22" t="str">
        <f>IF(Table4[[#This Row],[Expected D]]=1,"D",IF(Table4[[#This Row],[Expected R]]=1,"R",IF(Table4[[#This Row],[D total]]&gt;=0.5,"D","R")))</f>
        <v>D</v>
      </c>
      <c r="S69" s="22"/>
      <c r="V69" s="4"/>
    </row>
    <row r="70" spans="2:23" ht="14.5" customHeight="1" x14ac:dyDescent="0.35">
      <c r="B70" s="27">
        <v>61</v>
      </c>
      <c r="C70" s="2" t="s">
        <v>96</v>
      </c>
      <c r="D70" s="2" t="s">
        <v>35</v>
      </c>
      <c r="E70" s="4" t="s">
        <v>28</v>
      </c>
      <c r="F70" s="2" t="s">
        <v>537</v>
      </c>
      <c r="G70" s="4" t="s">
        <v>197</v>
      </c>
      <c r="H7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0" s="2" t="str">
        <f>IF(OR(LEFT(Table4[[#This Row],[win_prob]],1)="D",LEFT(Table4[[#This Row],[win_prob]],1)="R"),LEFT(Table4[[#This Row],[win_prob]],1),LEFT(Table4[[#This Row],[Category]],1))</f>
        <v>D</v>
      </c>
      <c r="J7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0" s="16" t="str">
        <f>RIGHT(Table4[[#This Row],[Margin]],LEN(Table4[[#This Row],[Margin]])-FIND("+",Table4[[#This Row],[Margin]]))</f>
        <v>33</v>
      </c>
      <c r="M70" s="20" t="str">
        <f>IF(Table4[[#This Row],[listedprob]]=1,"called",IF(LEFT(Table4[[#This Row],[Margin]],1)="D",(Table4[[#This Row],[Numeric Margin]]/2+50)/100,(-Table4[[#This Row],[Numeric Margin]]/2+50)/100))</f>
        <v>called</v>
      </c>
      <c r="N70" s="20" t="str">
        <f>IFERROR(IF(Table4[[#This Row],[D 2pv]]="called","called",Table4[[#This Row],[D 2pv]]*Table4[[#This Row],[Percent of votes in% In]]),Table4[[#This Row],[D 2pv]]*0.95)</f>
        <v>called</v>
      </c>
      <c r="O70" s="20" t="str">
        <f>IF(Table4[[#This Row],[D pct]]="called","called",(Table4[[#This Row],[D 2pv]]+$E$7))</f>
        <v>called</v>
      </c>
      <c r="P7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0" s="21" t="str">
        <f>IF(Table4[[#This Row],[D captured of remain]]="called","called",Table4[[#This Row],[D captured of remain]]+Table4[[#This Row],[D pct]])</f>
        <v>called</v>
      </c>
      <c r="R70" s="22" t="str">
        <f>IF(Table4[[#This Row],[Expected D]]=1,"D",IF(Table4[[#This Row],[Expected R]]=1,"R",IF(Table4[[#This Row],[D total]]&gt;=0.5,"D","R")))</f>
        <v>D</v>
      </c>
      <c r="S70" s="22"/>
      <c r="V70" s="4"/>
    </row>
    <row r="71" spans="2:23" ht="14.5" customHeight="1" x14ac:dyDescent="0.35">
      <c r="B71" s="27">
        <v>62</v>
      </c>
      <c r="C71" s="2" t="s">
        <v>97</v>
      </c>
      <c r="D71" s="2" t="s">
        <v>35</v>
      </c>
      <c r="E71" s="2" t="s">
        <v>28</v>
      </c>
      <c r="F71" s="2" t="s">
        <v>538</v>
      </c>
      <c r="G71" s="4" t="s">
        <v>197</v>
      </c>
      <c r="H7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1" s="2" t="str">
        <f>IF(OR(LEFT(Table4[[#This Row],[win_prob]],1)="D",LEFT(Table4[[#This Row],[win_prob]],1)="R"),LEFT(Table4[[#This Row],[win_prob]],1),LEFT(Table4[[#This Row],[Category]],1))</f>
        <v>D</v>
      </c>
      <c r="J7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1" s="16" t="str">
        <f>RIGHT(Table4[[#This Row],[Margin]],LEN(Table4[[#This Row],[Margin]])-FIND("+",Table4[[#This Row],[Margin]]))</f>
        <v>34</v>
      </c>
      <c r="M71" s="20" t="str">
        <f>IF(Table4[[#This Row],[listedprob]]=1,"called",IF(LEFT(Table4[[#This Row],[Margin]],1)="D",(Table4[[#This Row],[Numeric Margin]]/2+50)/100,(-Table4[[#This Row],[Numeric Margin]]/2+50)/100))</f>
        <v>called</v>
      </c>
      <c r="N71" s="20" t="str">
        <f>IFERROR(IF(Table4[[#This Row],[D 2pv]]="called","called",Table4[[#This Row],[D 2pv]]*Table4[[#This Row],[Percent of votes in% In]]),Table4[[#This Row],[D 2pv]]*0.95)</f>
        <v>called</v>
      </c>
      <c r="O71" s="20" t="str">
        <f>IF(Table4[[#This Row],[D pct]]="called","called",(Table4[[#This Row],[D 2pv]]+$E$7))</f>
        <v>called</v>
      </c>
      <c r="P7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1" s="21" t="str">
        <f>IF(Table4[[#This Row],[D captured of remain]]="called","called",Table4[[#This Row],[D captured of remain]]+Table4[[#This Row],[D pct]])</f>
        <v>called</v>
      </c>
      <c r="R71" s="22" t="str">
        <f>IF(Table4[[#This Row],[Expected D]]=1,"D",IF(Table4[[#This Row],[Expected R]]=1,"R",IF(Table4[[#This Row],[D total]]&gt;=0.5,"D","R")))</f>
        <v>D</v>
      </c>
      <c r="S71" s="22"/>
      <c r="V71" s="4"/>
    </row>
    <row r="72" spans="2:23" ht="14.5" customHeight="1" x14ac:dyDescent="0.35">
      <c r="B72" s="27">
        <v>63</v>
      </c>
      <c r="C72" s="2" t="s">
        <v>98</v>
      </c>
      <c r="D72" s="2" t="s">
        <v>35</v>
      </c>
      <c r="E72" s="2" t="s">
        <v>28</v>
      </c>
      <c r="F72" s="2" t="s">
        <v>538</v>
      </c>
      <c r="G72" s="4" t="s">
        <v>197</v>
      </c>
      <c r="H7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2" s="2" t="str">
        <f>IF(OR(LEFT(Table4[[#This Row],[win_prob]],1)="D",LEFT(Table4[[#This Row],[win_prob]],1)="R"),LEFT(Table4[[#This Row],[win_prob]],1),LEFT(Table4[[#This Row],[Category]],1))</f>
        <v>D</v>
      </c>
      <c r="J7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2" s="16" t="str">
        <f>RIGHT(Table4[[#This Row],[Margin]],LEN(Table4[[#This Row],[Margin]])-FIND("+",Table4[[#This Row],[Margin]]))</f>
        <v>34</v>
      </c>
      <c r="M72" s="20" t="str">
        <f>IF(Table4[[#This Row],[listedprob]]=1,"called",IF(LEFT(Table4[[#This Row],[Margin]],1)="D",(Table4[[#This Row],[Numeric Margin]]/2+50)/100,(-Table4[[#This Row],[Numeric Margin]]/2+50)/100))</f>
        <v>called</v>
      </c>
      <c r="N72" s="20" t="str">
        <f>IFERROR(IF(Table4[[#This Row],[D 2pv]]="called","called",Table4[[#This Row],[D 2pv]]*Table4[[#This Row],[Percent of votes in% In]]),Table4[[#This Row],[D 2pv]]*0.95)</f>
        <v>called</v>
      </c>
      <c r="O72" s="20" t="str">
        <f>IF(Table4[[#This Row],[D pct]]="called","called",(Table4[[#This Row],[D 2pv]]+$E$7))</f>
        <v>called</v>
      </c>
      <c r="P7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2" s="21" t="str">
        <f>IF(Table4[[#This Row],[D captured of remain]]="called","called",Table4[[#This Row],[D captured of remain]]+Table4[[#This Row],[D pct]])</f>
        <v>called</v>
      </c>
      <c r="R72" s="22" t="str">
        <f>IF(Table4[[#This Row],[Expected D]]=1,"D",IF(Table4[[#This Row],[Expected R]]=1,"R",IF(Table4[[#This Row],[D total]]&gt;=0.5,"D","R")))</f>
        <v>D</v>
      </c>
      <c r="S72" s="22"/>
      <c r="V72" s="4"/>
    </row>
    <row r="73" spans="2:23" ht="14.5" customHeight="1" x14ac:dyDescent="0.35">
      <c r="B73" s="27">
        <v>64</v>
      </c>
      <c r="C73" s="2" t="s">
        <v>99</v>
      </c>
      <c r="D73" s="2" t="s">
        <v>35</v>
      </c>
      <c r="E73" s="4" t="s">
        <v>28</v>
      </c>
      <c r="F73" s="2" t="s">
        <v>517</v>
      </c>
      <c r="G73" s="4" t="s">
        <v>197</v>
      </c>
      <c r="H7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3" s="2" t="str">
        <f>IF(OR(LEFT(Table4[[#This Row],[win_prob]],1)="D",LEFT(Table4[[#This Row],[win_prob]],1)="R"),LEFT(Table4[[#This Row],[win_prob]],1),LEFT(Table4[[#This Row],[Category]],1))</f>
        <v>D</v>
      </c>
      <c r="J7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3" s="16" t="str">
        <f>RIGHT(Table4[[#This Row],[Margin]],LEN(Table4[[#This Row],[Margin]])-FIND("+",Table4[[#This Row],[Margin]]))</f>
        <v>39</v>
      </c>
      <c r="M73" s="20" t="str">
        <f>IF(Table4[[#This Row],[listedprob]]=1,"called",IF(LEFT(Table4[[#This Row],[Margin]],1)="D",(Table4[[#This Row],[Numeric Margin]]/2+50)/100,(-Table4[[#This Row],[Numeric Margin]]/2+50)/100))</f>
        <v>called</v>
      </c>
      <c r="N73" s="20" t="str">
        <f>IFERROR(IF(Table4[[#This Row],[D 2pv]]="called","called",Table4[[#This Row],[D 2pv]]*Table4[[#This Row],[Percent of votes in% In]]),Table4[[#This Row],[D 2pv]]*0.95)</f>
        <v>called</v>
      </c>
      <c r="O73" s="20" t="str">
        <f>IF(Table4[[#This Row],[D pct]]="called","called",(Table4[[#This Row],[D 2pv]]+$E$7))</f>
        <v>called</v>
      </c>
      <c r="P7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3" s="21" t="str">
        <f>IF(Table4[[#This Row],[D captured of remain]]="called","called",Table4[[#This Row],[D captured of remain]]+Table4[[#This Row],[D pct]])</f>
        <v>called</v>
      </c>
      <c r="R73" s="22" t="str">
        <f>IF(Table4[[#This Row],[Expected D]]=1,"D",IF(Table4[[#This Row],[Expected R]]=1,"R",IF(Table4[[#This Row],[D total]]&gt;=0.5,"D","R")))</f>
        <v>D</v>
      </c>
      <c r="S73" s="22"/>
      <c r="V73" s="4"/>
    </row>
    <row r="74" spans="2:23" ht="14.5" customHeight="1" x14ac:dyDescent="0.35">
      <c r="B74" s="27">
        <v>65</v>
      </c>
      <c r="C74" s="2" t="s">
        <v>100</v>
      </c>
      <c r="D74" s="2" t="s">
        <v>35</v>
      </c>
      <c r="E74" s="4" t="s">
        <v>28</v>
      </c>
      <c r="F74" s="2" t="s">
        <v>539</v>
      </c>
      <c r="G74" s="4" t="s">
        <v>197</v>
      </c>
      <c r="H7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4" s="2" t="str">
        <f>IF(OR(LEFT(Table4[[#This Row],[win_prob]],1)="D",LEFT(Table4[[#This Row],[win_prob]],1)="R"),LEFT(Table4[[#This Row],[win_prob]],1),LEFT(Table4[[#This Row],[Category]],1))</f>
        <v>D</v>
      </c>
      <c r="J7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4" s="16" t="str">
        <f>RIGHT(Table4[[#This Row],[Margin]],LEN(Table4[[#This Row],[Margin]])-FIND("+",Table4[[#This Row],[Margin]]))</f>
        <v>37</v>
      </c>
      <c r="M74" s="20" t="str">
        <f>IF(Table4[[#This Row],[listedprob]]=1,"called",IF(LEFT(Table4[[#This Row],[Margin]],1)="D",(Table4[[#This Row],[Numeric Margin]]/2+50)/100,(-Table4[[#This Row],[Numeric Margin]]/2+50)/100))</f>
        <v>called</v>
      </c>
      <c r="N74" s="20" t="str">
        <f>IFERROR(IF(Table4[[#This Row],[D 2pv]]="called","called",Table4[[#This Row],[D 2pv]]*Table4[[#This Row],[Percent of votes in% In]]),Table4[[#This Row],[D 2pv]]*0.95)</f>
        <v>called</v>
      </c>
      <c r="O74" s="20" t="str">
        <f>IF(Table4[[#This Row],[D pct]]="called","called",(Table4[[#This Row],[D 2pv]]+$E$7))</f>
        <v>called</v>
      </c>
      <c r="P7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4" s="21" t="str">
        <f>IF(Table4[[#This Row],[D captured of remain]]="called","called",Table4[[#This Row],[D captured of remain]]+Table4[[#This Row],[D pct]])</f>
        <v>called</v>
      </c>
      <c r="R74" s="22" t="str">
        <f>IF(Table4[[#This Row],[Expected D]]=1,"D",IF(Table4[[#This Row],[Expected R]]=1,"R",IF(Table4[[#This Row],[D total]]&gt;=0.5,"D","R")))</f>
        <v>D</v>
      </c>
      <c r="S74" s="22"/>
      <c r="V74" s="4"/>
    </row>
    <row r="75" spans="2:23" ht="14.5" customHeight="1" x14ac:dyDescent="0.35">
      <c r="B75" s="27">
        <v>66</v>
      </c>
      <c r="C75" s="2" t="s">
        <v>101</v>
      </c>
      <c r="D75" s="2" t="s">
        <v>102</v>
      </c>
      <c r="E75" s="4">
        <v>0</v>
      </c>
      <c r="F75" s="2" t="s">
        <v>540</v>
      </c>
      <c r="G75" s="4" t="s">
        <v>197</v>
      </c>
      <c r="H7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5" s="2" t="str">
        <f>IF(OR(LEFT(Table4[[#This Row],[win_prob]],1)="D",LEFT(Table4[[#This Row],[win_prob]],1)="R"),LEFT(Table4[[#This Row],[win_prob]],1),LEFT(Table4[[#This Row],[Category]],1))</f>
        <v>D</v>
      </c>
      <c r="J7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5" s="16" t="e">
        <f>RIGHT(Table4[[#This Row],[Margin]],LEN(Table4[[#This Row],[Margin]])-FIND("+",Table4[[#This Row],[Margin]]))</f>
        <v>#VALUE!</v>
      </c>
      <c r="M75" s="20" t="str">
        <f>IF(Table4[[#This Row],[listedprob]]=1,"called",IF(LEFT(Table4[[#This Row],[Margin]],1)="D",(Table4[[#This Row],[Numeric Margin]]/2+50)/100,(-Table4[[#This Row],[Numeric Margin]]/2+50)/100))</f>
        <v>called</v>
      </c>
      <c r="N75" s="20" t="str">
        <f>IFERROR(IF(Table4[[#This Row],[D 2pv]]="called","called",Table4[[#This Row],[D 2pv]]*Table4[[#This Row],[Percent of votes in% In]]),Table4[[#This Row],[D 2pv]]*0.95)</f>
        <v>called</v>
      </c>
      <c r="O75" s="20" t="str">
        <f>IF(Table4[[#This Row],[D pct]]="called","called",(Table4[[#This Row],[D 2pv]]+$E$7))</f>
        <v>called</v>
      </c>
      <c r="P7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5" s="21" t="str">
        <f>IF(Table4[[#This Row],[D captured of remain]]="called","called",Table4[[#This Row],[D captured of remain]]+Table4[[#This Row],[D pct]])</f>
        <v>called</v>
      </c>
      <c r="R75" s="22" t="str">
        <f>IF(Table4[[#This Row],[Expected D]]=1,"D",IF(Table4[[#This Row],[Expected R]]=1,"R",IF(Table4[[#This Row],[D total]]&gt;=0.5,"D","R")))</f>
        <v>D</v>
      </c>
      <c r="S75" s="22"/>
      <c r="V75" s="4"/>
    </row>
    <row r="76" spans="2:23" ht="14.5" customHeight="1" x14ac:dyDescent="0.35">
      <c r="B76" s="27">
        <v>67</v>
      </c>
      <c r="C76" s="2" t="s">
        <v>103</v>
      </c>
      <c r="D76" s="2" t="s">
        <v>35</v>
      </c>
      <c r="E76" s="4" t="s">
        <v>28</v>
      </c>
      <c r="F76" s="2" t="s">
        <v>530</v>
      </c>
      <c r="G76" s="4" t="s">
        <v>197</v>
      </c>
      <c r="H7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6" s="2" t="str">
        <f>IF(OR(LEFT(Table4[[#This Row],[win_prob]],1)="D",LEFT(Table4[[#This Row],[win_prob]],1)="R"),LEFT(Table4[[#This Row],[win_prob]],1),LEFT(Table4[[#This Row],[Category]],1))</f>
        <v>D</v>
      </c>
      <c r="J7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6" s="16" t="str">
        <f>RIGHT(Table4[[#This Row],[Margin]],LEN(Table4[[#This Row],[Margin]])-FIND("+",Table4[[#This Row],[Margin]]))</f>
        <v>14</v>
      </c>
      <c r="M76" s="20" t="str">
        <f>IF(Table4[[#This Row],[listedprob]]=1,"called",IF(LEFT(Table4[[#This Row],[Margin]],1)="D",(Table4[[#This Row],[Numeric Margin]]/2+50)/100,(-Table4[[#This Row],[Numeric Margin]]/2+50)/100))</f>
        <v>called</v>
      </c>
      <c r="N76" s="20" t="str">
        <f>IFERROR(IF(Table4[[#This Row],[D 2pv]]="called","called",Table4[[#This Row],[D 2pv]]*Table4[[#This Row],[Percent of votes in% In]]),Table4[[#This Row],[D 2pv]]*0.95)</f>
        <v>called</v>
      </c>
      <c r="O76" s="20" t="str">
        <f>IF(Table4[[#This Row],[D pct]]="called","called",(Table4[[#This Row],[D 2pv]]+$E$7))</f>
        <v>called</v>
      </c>
      <c r="P7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6" s="21" t="str">
        <f>IF(Table4[[#This Row],[D captured of remain]]="called","called",Table4[[#This Row],[D captured of remain]]+Table4[[#This Row],[D pct]])</f>
        <v>called</v>
      </c>
      <c r="R76" s="22" t="str">
        <f>IF(Table4[[#This Row],[Expected D]]=1,"D",IF(Table4[[#This Row],[Expected R]]=1,"R",IF(Table4[[#This Row],[D total]]&gt;=0.5,"D","R")))</f>
        <v>D</v>
      </c>
      <c r="S76" s="22"/>
      <c r="V76" s="4"/>
    </row>
    <row r="77" spans="2:23" ht="14.5" customHeight="1" x14ac:dyDescent="0.35">
      <c r="B77" s="27">
        <v>68</v>
      </c>
      <c r="C77" s="2" t="s">
        <v>104</v>
      </c>
      <c r="D77" s="2" t="s">
        <v>35</v>
      </c>
      <c r="E77" s="4" t="s">
        <v>28</v>
      </c>
      <c r="F77" s="2" t="s">
        <v>556</v>
      </c>
      <c r="G77" s="4" t="s">
        <v>197</v>
      </c>
      <c r="H7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7" s="2" t="str">
        <f>IF(OR(LEFT(Table4[[#This Row],[win_prob]],1)="D",LEFT(Table4[[#This Row],[win_prob]],1)="R"),LEFT(Table4[[#This Row],[win_prob]],1),LEFT(Table4[[#This Row],[Category]],1))</f>
        <v>D</v>
      </c>
      <c r="J7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7" s="16" t="str">
        <f>RIGHT(Table4[[#This Row],[Margin]],LEN(Table4[[#This Row],[Margin]])-FIND("+",Table4[[#This Row],[Margin]]))</f>
        <v>42</v>
      </c>
      <c r="M77" s="20" t="str">
        <f>IF(Table4[[#This Row],[listedprob]]=1,"called",IF(LEFT(Table4[[#This Row],[Margin]],1)="D",(Table4[[#This Row],[Numeric Margin]]/2+50)/100,(-Table4[[#This Row],[Numeric Margin]]/2+50)/100))</f>
        <v>called</v>
      </c>
      <c r="N77" s="20" t="str">
        <f>IFERROR(IF(Table4[[#This Row],[D 2pv]]="called","called",Table4[[#This Row],[D 2pv]]*Table4[[#This Row],[Percent of votes in% In]]),Table4[[#This Row],[D 2pv]]*0.95)</f>
        <v>called</v>
      </c>
      <c r="O77" s="20" t="str">
        <f>IF(Table4[[#This Row],[D pct]]="called","called",(Table4[[#This Row],[D 2pv]]+$E$7))</f>
        <v>called</v>
      </c>
      <c r="P7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7" s="21" t="str">
        <f>IF(Table4[[#This Row],[D captured of remain]]="called","called",Table4[[#This Row],[D captured of remain]]+Table4[[#This Row],[D pct]])</f>
        <v>called</v>
      </c>
      <c r="R77" s="22" t="str">
        <f>IF(Table4[[#This Row],[Expected D]]=1,"D",IF(Table4[[#This Row],[Expected R]]=1,"R",IF(Table4[[#This Row],[D total]]&gt;=0.5,"D","R")))</f>
        <v>D</v>
      </c>
      <c r="S77" s="22"/>
      <c r="V77" s="4"/>
      <c r="W77" s="4"/>
    </row>
    <row r="78" spans="2:23" ht="14.5" customHeight="1" x14ac:dyDescent="0.35">
      <c r="B78" s="27">
        <v>69</v>
      </c>
      <c r="C78" s="2" t="s">
        <v>105</v>
      </c>
      <c r="D78" s="2" t="s">
        <v>35</v>
      </c>
      <c r="E78" s="4">
        <v>0.88</v>
      </c>
      <c r="F78" s="2" t="s">
        <v>553</v>
      </c>
      <c r="G78" s="4" t="s">
        <v>197</v>
      </c>
      <c r="H7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8" s="2" t="str">
        <f>IF(OR(LEFT(Table4[[#This Row],[win_prob]],1)="D",LEFT(Table4[[#This Row],[win_prob]],1)="R"),LEFT(Table4[[#This Row],[win_prob]],1),LEFT(Table4[[#This Row],[Category]],1))</f>
        <v>D</v>
      </c>
      <c r="J7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8" s="16" t="str">
        <f>RIGHT(Table4[[#This Row],[Margin]],LEN(Table4[[#This Row],[Margin]])-FIND("+",Table4[[#This Row],[Margin]]))</f>
        <v>25</v>
      </c>
      <c r="M78" s="20" t="str">
        <f>IF(Table4[[#This Row],[listedprob]]=1,"called",IF(LEFT(Table4[[#This Row],[Margin]],1)="D",(Table4[[#This Row],[Numeric Margin]]/2+50)/100,(-Table4[[#This Row],[Numeric Margin]]/2+50)/100))</f>
        <v>called</v>
      </c>
      <c r="N78" s="20" t="str">
        <f>IFERROR(IF(Table4[[#This Row],[D 2pv]]="called","called",Table4[[#This Row],[D 2pv]]*Table4[[#This Row],[Percent of votes in% In]]),Table4[[#This Row],[D 2pv]]*0.95)</f>
        <v>called</v>
      </c>
      <c r="O78" s="20" t="str">
        <f>IF(Table4[[#This Row],[D pct]]="called","called",(Table4[[#This Row],[D 2pv]]+$E$7))</f>
        <v>called</v>
      </c>
      <c r="P7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8" s="21" t="str">
        <f>IF(Table4[[#This Row],[D captured of remain]]="called","called",Table4[[#This Row],[D captured of remain]]+Table4[[#This Row],[D pct]])</f>
        <v>called</v>
      </c>
      <c r="R78" s="22" t="str">
        <f>IF(Table4[[#This Row],[Expected D]]=1,"D",IF(Table4[[#This Row],[Expected R]]=1,"R",IF(Table4[[#This Row],[D total]]&gt;=0.5,"D","R")))</f>
        <v>D</v>
      </c>
      <c r="S78" s="22"/>
      <c r="V78" s="4"/>
      <c r="W78" s="4"/>
    </row>
    <row r="79" spans="2:23" ht="14.5" customHeight="1" x14ac:dyDescent="0.35">
      <c r="B79" s="27">
        <v>70</v>
      </c>
      <c r="C79" s="2" t="s">
        <v>106</v>
      </c>
      <c r="D79" s="2" t="s">
        <v>35</v>
      </c>
      <c r="E79" s="4" t="s">
        <v>28</v>
      </c>
      <c r="F79" s="2" t="s">
        <v>526</v>
      </c>
      <c r="G79" s="4" t="s">
        <v>197</v>
      </c>
      <c r="H7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79" s="2" t="str">
        <f>IF(OR(LEFT(Table4[[#This Row],[win_prob]],1)="D",LEFT(Table4[[#This Row],[win_prob]],1)="R"),LEFT(Table4[[#This Row],[win_prob]],1),LEFT(Table4[[#This Row],[Category]],1))</f>
        <v>D</v>
      </c>
      <c r="J7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7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79" s="16" t="str">
        <f>RIGHT(Table4[[#This Row],[Margin]],LEN(Table4[[#This Row],[Margin]])-FIND("+",Table4[[#This Row],[Margin]]))</f>
        <v>36</v>
      </c>
      <c r="M79" s="20" t="str">
        <f>IF(Table4[[#This Row],[listedprob]]=1,"called",IF(LEFT(Table4[[#This Row],[Margin]],1)="D",(Table4[[#This Row],[Numeric Margin]]/2+50)/100,(-Table4[[#This Row],[Numeric Margin]]/2+50)/100))</f>
        <v>called</v>
      </c>
      <c r="N79" s="20" t="str">
        <f>IFERROR(IF(Table4[[#This Row],[D 2pv]]="called","called",Table4[[#This Row],[D 2pv]]*Table4[[#This Row],[Percent of votes in% In]]),Table4[[#This Row],[D 2pv]]*0.95)</f>
        <v>called</v>
      </c>
      <c r="O79" s="20" t="str">
        <f>IF(Table4[[#This Row],[D pct]]="called","called",(Table4[[#This Row],[D 2pv]]+$E$7))</f>
        <v>called</v>
      </c>
      <c r="P7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79" s="21" t="str">
        <f>IF(Table4[[#This Row],[D captured of remain]]="called","called",Table4[[#This Row],[D captured of remain]]+Table4[[#This Row],[D pct]])</f>
        <v>called</v>
      </c>
      <c r="R79" s="22" t="str">
        <f>IF(Table4[[#This Row],[Expected D]]=1,"D",IF(Table4[[#This Row],[Expected R]]=1,"R",IF(Table4[[#This Row],[D total]]&gt;=0.5,"D","R")))</f>
        <v>D</v>
      </c>
      <c r="S79" s="22"/>
      <c r="V79" s="4"/>
      <c r="W79" s="4"/>
    </row>
    <row r="80" spans="2:23" ht="14.5" customHeight="1" x14ac:dyDescent="0.35">
      <c r="B80" s="27">
        <v>71</v>
      </c>
      <c r="C80" s="2" t="s">
        <v>107</v>
      </c>
      <c r="D80" s="2" t="s">
        <v>35</v>
      </c>
      <c r="E80" s="4" t="s">
        <v>28</v>
      </c>
      <c r="F80" s="2" t="s">
        <v>522</v>
      </c>
      <c r="G80" s="4" t="s">
        <v>197</v>
      </c>
      <c r="H8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0" s="2" t="str">
        <f>IF(OR(LEFT(Table4[[#This Row],[win_prob]],1)="D",LEFT(Table4[[#This Row],[win_prob]],1)="R"),LEFT(Table4[[#This Row],[win_prob]],1),LEFT(Table4[[#This Row],[Category]],1))</f>
        <v>D</v>
      </c>
      <c r="J8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0" s="16" t="str">
        <f>RIGHT(Table4[[#This Row],[Margin]],LEN(Table4[[#This Row],[Margin]])-FIND("+",Table4[[#This Row],[Margin]]))</f>
        <v>24</v>
      </c>
      <c r="M80" s="20" t="str">
        <f>IF(Table4[[#This Row],[listedprob]]=1,"called",IF(LEFT(Table4[[#This Row],[Margin]],1)="D",(Table4[[#This Row],[Numeric Margin]]/2+50)/100,(-Table4[[#This Row],[Numeric Margin]]/2+50)/100))</f>
        <v>called</v>
      </c>
      <c r="N80" s="20" t="str">
        <f>IFERROR(IF(Table4[[#This Row],[D 2pv]]="called","called",Table4[[#This Row],[D 2pv]]*Table4[[#This Row],[Percent of votes in% In]]),Table4[[#This Row],[D 2pv]]*0.95)</f>
        <v>called</v>
      </c>
      <c r="O80" s="20" t="str">
        <f>IF(Table4[[#This Row],[D pct]]="called","called",(Table4[[#This Row],[D 2pv]]+$E$7))</f>
        <v>called</v>
      </c>
      <c r="P8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0" s="21" t="str">
        <f>IF(Table4[[#This Row],[D captured of remain]]="called","called",Table4[[#This Row],[D captured of remain]]+Table4[[#This Row],[D pct]])</f>
        <v>called</v>
      </c>
      <c r="R80" s="22" t="str">
        <f>IF(Table4[[#This Row],[Expected D]]=1,"D",IF(Table4[[#This Row],[Expected R]]=1,"R",IF(Table4[[#This Row],[D total]]&gt;=0.5,"D","R")))</f>
        <v>D</v>
      </c>
      <c r="S80" s="22"/>
      <c r="V80" s="4"/>
      <c r="W80" s="4"/>
    </row>
    <row r="81" spans="2:23" ht="14.5" customHeight="1" x14ac:dyDescent="0.35">
      <c r="B81" s="27">
        <v>72</v>
      </c>
      <c r="C81" s="2" t="s">
        <v>108</v>
      </c>
      <c r="D81" s="2" t="s">
        <v>35</v>
      </c>
      <c r="E81" s="4" t="s">
        <v>28</v>
      </c>
      <c r="F81" s="2" t="s">
        <v>541</v>
      </c>
      <c r="G81" s="4" t="s">
        <v>197</v>
      </c>
      <c r="H8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1" s="2" t="str">
        <f>IF(OR(LEFT(Table4[[#This Row],[win_prob]],1)="D",LEFT(Table4[[#This Row],[win_prob]],1)="R"),LEFT(Table4[[#This Row],[win_prob]],1),LEFT(Table4[[#This Row],[Category]],1))</f>
        <v>D</v>
      </c>
      <c r="J8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1" s="16" t="str">
        <f>RIGHT(Table4[[#This Row],[Margin]],LEN(Table4[[#This Row],[Margin]])-FIND("+",Table4[[#This Row],[Margin]]))</f>
        <v>54</v>
      </c>
      <c r="M81" s="20" t="str">
        <f>IF(Table4[[#This Row],[listedprob]]=1,"called",IF(LEFT(Table4[[#This Row],[Margin]],1)="D",(Table4[[#This Row],[Numeric Margin]]/2+50)/100,(-Table4[[#This Row],[Numeric Margin]]/2+50)/100))</f>
        <v>called</v>
      </c>
      <c r="N81" s="20" t="str">
        <f>IFERROR(IF(Table4[[#This Row],[D 2pv]]="called","called",Table4[[#This Row],[D 2pv]]*Table4[[#This Row],[Percent of votes in% In]]),Table4[[#This Row],[D 2pv]]*0.95)</f>
        <v>called</v>
      </c>
      <c r="O81" s="20" t="str">
        <f>IF(Table4[[#This Row],[D pct]]="called","called",(Table4[[#This Row],[D 2pv]]+$E$7))</f>
        <v>called</v>
      </c>
      <c r="P8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1" s="21" t="str">
        <f>IF(Table4[[#This Row],[D captured of remain]]="called","called",Table4[[#This Row],[D captured of remain]]+Table4[[#This Row],[D pct]])</f>
        <v>called</v>
      </c>
      <c r="R81" s="22" t="str">
        <f>IF(Table4[[#This Row],[Expected D]]=1,"D",IF(Table4[[#This Row],[Expected R]]=1,"R",IF(Table4[[#This Row],[D total]]&gt;=0.5,"D","R")))</f>
        <v>D</v>
      </c>
      <c r="S81" s="22"/>
      <c r="V81" s="4"/>
      <c r="W81" s="4"/>
    </row>
    <row r="82" spans="2:23" ht="14.5" customHeight="1" x14ac:dyDescent="0.35">
      <c r="B82" s="27">
        <v>73</v>
      </c>
      <c r="C82" s="2" t="s">
        <v>109</v>
      </c>
      <c r="D82" s="2" t="s">
        <v>35</v>
      </c>
      <c r="E82" s="4" t="s">
        <v>28</v>
      </c>
      <c r="F82" s="2" t="s">
        <v>521</v>
      </c>
      <c r="G82" s="4" t="s">
        <v>197</v>
      </c>
      <c r="H8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2" s="2" t="str">
        <f>IF(OR(LEFT(Table4[[#This Row],[win_prob]],1)="D",LEFT(Table4[[#This Row],[win_prob]],1)="R"),LEFT(Table4[[#This Row],[win_prob]],1),LEFT(Table4[[#This Row],[Category]],1))</f>
        <v>D</v>
      </c>
      <c r="J8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2" s="16" t="str">
        <f>RIGHT(Table4[[#This Row],[Margin]],LEN(Table4[[#This Row],[Margin]])-FIND("+",Table4[[#This Row],[Margin]]))</f>
        <v>26</v>
      </c>
      <c r="M82" s="20" t="str">
        <f>IF(Table4[[#This Row],[listedprob]]=1,"called",IF(LEFT(Table4[[#This Row],[Margin]],1)="D",(Table4[[#This Row],[Numeric Margin]]/2+50)/100,(-Table4[[#This Row],[Numeric Margin]]/2+50)/100))</f>
        <v>called</v>
      </c>
      <c r="N82" s="20" t="str">
        <f>IFERROR(IF(Table4[[#This Row],[D 2pv]]="called","called",Table4[[#This Row],[D 2pv]]*Table4[[#This Row],[Percent of votes in% In]]),Table4[[#This Row],[D 2pv]]*0.95)</f>
        <v>called</v>
      </c>
      <c r="O82" s="20" t="str">
        <f>IF(Table4[[#This Row],[D pct]]="called","called",(Table4[[#This Row],[D 2pv]]+$E$7))</f>
        <v>called</v>
      </c>
      <c r="P8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2" s="21" t="str">
        <f>IF(Table4[[#This Row],[D captured of remain]]="called","called",Table4[[#This Row],[D captured of remain]]+Table4[[#This Row],[D pct]])</f>
        <v>called</v>
      </c>
      <c r="R82" s="22" t="str">
        <f>IF(Table4[[#This Row],[Expected D]]=1,"D",IF(Table4[[#This Row],[Expected R]]=1,"R",IF(Table4[[#This Row],[D total]]&gt;=0.5,"D","R")))</f>
        <v>D</v>
      </c>
      <c r="S82" s="22"/>
      <c r="V82" s="4"/>
    </row>
    <row r="83" spans="2:23" ht="14.5" customHeight="1" x14ac:dyDescent="0.35">
      <c r="B83" s="27">
        <v>74</v>
      </c>
      <c r="C83" s="2" t="s">
        <v>110</v>
      </c>
      <c r="D83" s="2" t="s">
        <v>35</v>
      </c>
      <c r="E83" s="4">
        <v>0.92</v>
      </c>
      <c r="F83" s="2" t="s">
        <v>272</v>
      </c>
      <c r="G83" s="4" t="s">
        <v>197</v>
      </c>
      <c r="H8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3" s="2" t="str">
        <f>IF(OR(LEFT(Table4[[#This Row],[win_prob]],1)="D",LEFT(Table4[[#This Row],[win_prob]],1)="R"),LEFT(Table4[[#This Row],[win_prob]],1),LEFT(Table4[[#This Row],[Category]],1))</f>
        <v>D</v>
      </c>
      <c r="J8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3" s="16" t="str">
        <f>RIGHT(Table4[[#This Row],[Margin]],LEN(Table4[[#This Row],[Margin]])-FIND("+",Table4[[#This Row],[Margin]]))</f>
        <v>13</v>
      </c>
      <c r="M83" s="20" t="str">
        <f>IF(Table4[[#This Row],[listedprob]]=1,"called",IF(LEFT(Table4[[#This Row],[Margin]],1)="D",(Table4[[#This Row],[Numeric Margin]]/2+50)/100,(-Table4[[#This Row],[Numeric Margin]]/2+50)/100))</f>
        <v>called</v>
      </c>
      <c r="N83" s="20" t="str">
        <f>IFERROR(IF(Table4[[#This Row],[D 2pv]]="called","called",Table4[[#This Row],[D 2pv]]*Table4[[#This Row],[Percent of votes in% In]]),Table4[[#This Row],[D 2pv]]*0.95)</f>
        <v>called</v>
      </c>
      <c r="O83" s="20" t="str">
        <f>IF(Table4[[#This Row],[D pct]]="called","called",(Table4[[#This Row],[D 2pv]]+$E$7))</f>
        <v>called</v>
      </c>
      <c r="P8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3" s="21" t="str">
        <f>IF(Table4[[#This Row],[D captured of remain]]="called","called",Table4[[#This Row],[D captured of remain]]+Table4[[#This Row],[D pct]])</f>
        <v>called</v>
      </c>
      <c r="R83" s="22" t="str">
        <f>IF(Table4[[#This Row],[Expected D]]=1,"D",IF(Table4[[#This Row],[Expected R]]=1,"R",IF(Table4[[#This Row],[D total]]&gt;=0.5,"D","R")))</f>
        <v>D</v>
      </c>
      <c r="S83" s="22"/>
      <c r="V83" s="4"/>
    </row>
    <row r="84" spans="2:23" ht="14.5" customHeight="1" x14ac:dyDescent="0.35">
      <c r="B84" s="27">
        <v>75</v>
      </c>
      <c r="C84" s="2" t="s">
        <v>111</v>
      </c>
      <c r="D84" s="2" t="s">
        <v>35</v>
      </c>
      <c r="E84" s="4" t="s">
        <v>28</v>
      </c>
      <c r="F84" s="2" t="s">
        <v>516</v>
      </c>
      <c r="G84" s="4" t="s">
        <v>197</v>
      </c>
      <c r="H8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4" s="2" t="str">
        <f>IF(OR(LEFT(Table4[[#This Row],[win_prob]],1)="D",LEFT(Table4[[#This Row],[win_prob]],1)="R"),LEFT(Table4[[#This Row],[win_prob]],1),LEFT(Table4[[#This Row],[Category]],1))</f>
        <v>D</v>
      </c>
      <c r="J8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4" s="16" t="str">
        <f>RIGHT(Table4[[#This Row],[Margin]],LEN(Table4[[#This Row],[Margin]])-FIND("+",Table4[[#This Row],[Margin]]))</f>
        <v>17</v>
      </c>
      <c r="M84" s="20" t="str">
        <f>IF(Table4[[#This Row],[listedprob]]=1,"called",IF(LEFT(Table4[[#This Row],[Margin]],1)="D",(Table4[[#This Row],[Numeric Margin]]/2+50)/100,(-Table4[[#This Row],[Numeric Margin]]/2+50)/100))</f>
        <v>called</v>
      </c>
      <c r="N84" s="20" t="str">
        <f>IFERROR(IF(Table4[[#This Row],[D 2pv]]="called","called",Table4[[#This Row],[D 2pv]]*Table4[[#This Row],[Percent of votes in% In]]),Table4[[#This Row],[D 2pv]]*0.95)</f>
        <v>called</v>
      </c>
      <c r="O84" s="20" t="str">
        <f>IF(Table4[[#This Row],[D pct]]="called","called",(Table4[[#This Row],[D 2pv]]+$E$7))</f>
        <v>called</v>
      </c>
      <c r="P8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4" s="21" t="str">
        <f>IF(Table4[[#This Row],[D captured of remain]]="called","called",Table4[[#This Row],[D captured of remain]]+Table4[[#This Row],[D pct]])</f>
        <v>called</v>
      </c>
      <c r="R84" s="22" t="str">
        <f>IF(Table4[[#This Row],[Expected D]]=1,"D",IF(Table4[[#This Row],[Expected R]]=1,"R",IF(Table4[[#This Row],[D total]]&gt;=0.5,"D","R")))</f>
        <v>D</v>
      </c>
      <c r="S84" s="22"/>
      <c r="V84" s="4"/>
      <c r="W84" s="4"/>
    </row>
    <row r="85" spans="2:23" ht="14.5" customHeight="1" x14ac:dyDescent="0.35">
      <c r="B85" s="27">
        <v>76</v>
      </c>
      <c r="C85" s="2" t="s">
        <v>112</v>
      </c>
      <c r="D85" s="2" t="s">
        <v>35</v>
      </c>
      <c r="E85" s="4" t="s">
        <v>28</v>
      </c>
      <c r="F85" s="2" t="s">
        <v>669</v>
      </c>
      <c r="G85" s="4" t="s">
        <v>197</v>
      </c>
      <c r="H8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5" s="2" t="str">
        <f>IF(OR(LEFT(Table4[[#This Row],[win_prob]],1)="D",LEFT(Table4[[#This Row],[win_prob]],1)="R"),LEFT(Table4[[#This Row],[win_prob]],1),LEFT(Table4[[#This Row],[Category]],1))</f>
        <v>D</v>
      </c>
      <c r="J8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5" s="16" t="str">
        <f>RIGHT(Table4[[#This Row],[Margin]],LEN(Table4[[#This Row],[Margin]])-FIND("+",Table4[[#This Row],[Margin]]))</f>
        <v>80</v>
      </c>
      <c r="M85" s="20" t="str">
        <f>IF(Table4[[#This Row],[listedprob]]=1,"called",IF(LEFT(Table4[[#This Row],[Margin]],1)="D",(Table4[[#This Row],[Numeric Margin]]/2+50)/100,(-Table4[[#This Row],[Numeric Margin]]/2+50)/100))</f>
        <v>called</v>
      </c>
      <c r="N85" s="20" t="str">
        <f>IFERROR(IF(Table4[[#This Row],[D 2pv]]="called","called",Table4[[#This Row],[D 2pv]]*Table4[[#This Row],[Percent of votes in% In]]),Table4[[#This Row],[D 2pv]]*0.95)</f>
        <v>called</v>
      </c>
      <c r="O85" s="20" t="str">
        <f>IF(Table4[[#This Row],[D pct]]="called","called",(Table4[[#This Row],[D 2pv]]+$E$7))</f>
        <v>called</v>
      </c>
      <c r="P8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5" s="21" t="str">
        <f>IF(Table4[[#This Row],[D captured of remain]]="called","called",Table4[[#This Row],[D captured of remain]]+Table4[[#This Row],[D pct]])</f>
        <v>called</v>
      </c>
      <c r="R85" s="22" t="str">
        <f>IF(Table4[[#This Row],[Expected D]]=1,"D",IF(Table4[[#This Row],[Expected R]]=1,"R",IF(Table4[[#This Row],[D total]]&gt;=0.5,"D","R")))</f>
        <v>D</v>
      </c>
      <c r="S85" s="22"/>
      <c r="V85" s="4"/>
      <c r="W85" s="4"/>
    </row>
    <row r="86" spans="2:23" ht="14.5" customHeight="1" x14ac:dyDescent="0.35">
      <c r="B86" s="27">
        <v>77</v>
      </c>
      <c r="C86" s="2" t="s">
        <v>113</v>
      </c>
      <c r="D86" s="2" t="s">
        <v>35</v>
      </c>
      <c r="E86" s="4" t="s">
        <v>28</v>
      </c>
      <c r="F86" s="2" t="s">
        <v>508</v>
      </c>
      <c r="G86" s="4" t="s">
        <v>197</v>
      </c>
      <c r="H8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6" s="2" t="str">
        <f>IF(OR(LEFT(Table4[[#This Row],[win_prob]],1)="D",LEFT(Table4[[#This Row],[win_prob]],1)="R"),LEFT(Table4[[#This Row],[win_prob]],1),LEFT(Table4[[#This Row],[Category]],1))</f>
        <v>D</v>
      </c>
      <c r="J8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6" s="16" t="str">
        <f>RIGHT(Table4[[#This Row],[Margin]],LEN(Table4[[#This Row],[Margin]])-FIND("+",Table4[[#This Row],[Margin]]))</f>
        <v>29</v>
      </c>
      <c r="M86" s="20" t="str">
        <f>IF(Table4[[#This Row],[listedprob]]=1,"called",IF(LEFT(Table4[[#This Row],[Margin]],1)="D",(Table4[[#This Row],[Numeric Margin]]/2+50)/100,(-Table4[[#This Row],[Numeric Margin]]/2+50)/100))</f>
        <v>called</v>
      </c>
      <c r="N86" s="20" t="str">
        <f>IFERROR(IF(Table4[[#This Row],[D 2pv]]="called","called",Table4[[#This Row],[D 2pv]]*Table4[[#This Row],[Percent of votes in% In]]),Table4[[#This Row],[D 2pv]]*0.95)</f>
        <v>called</v>
      </c>
      <c r="O86" s="20" t="str">
        <f>IF(Table4[[#This Row],[D pct]]="called","called",(Table4[[#This Row],[D 2pv]]+$E$7))</f>
        <v>called</v>
      </c>
      <c r="P8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6" s="21" t="str">
        <f>IF(Table4[[#This Row],[D captured of remain]]="called","called",Table4[[#This Row],[D captured of remain]]+Table4[[#This Row],[D pct]])</f>
        <v>called</v>
      </c>
      <c r="R86" s="22" t="str">
        <f>IF(Table4[[#This Row],[Expected D]]=1,"D",IF(Table4[[#This Row],[Expected R]]=1,"R",IF(Table4[[#This Row],[D total]]&gt;=0.5,"D","R")))</f>
        <v>D</v>
      </c>
      <c r="S86" s="22"/>
      <c r="V86" s="4"/>
    </row>
    <row r="87" spans="2:23" ht="14.5" customHeight="1" x14ac:dyDescent="0.35">
      <c r="B87" s="27">
        <v>78</v>
      </c>
      <c r="C87" s="2" t="s">
        <v>114</v>
      </c>
      <c r="D87" s="2" t="s">
        <v>35</v>
      </c>
      <c r="E87" s="4">
        <v>0.93</v>
      </c>
      <c r="F87" s="2" t="s">
        <v>515</v>
      </c>
      <c r="G87" s="4" t="s">
        <v>197</v>
      </c>
      <c r="H8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7" s="2" t="str">
        <f>IF(OR(LEFT(Table4[[#This Row],[win_prob]],1)="D",LEFT(Table4[[#This Row],[win_prob]],1)="R"),LEFT(Table4[[#This Row],[win_prob]],1),LEFT(Table4[[#This Row],[Category]],1))</f>
        <v>D</v>
      </c>
      <c r="J8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7" s="16" t="str">
        <f>RIGHT(Table4[[#This Row],[Margin]],LEN(Table4[[#This Row],[Margin]])-FIND("+",Table4[[#This Row],[Margin]]))</f>
        <v>63</v>
      </c>
      <c r="M87" s="20" t="str">
        <f>IF(Table4[[#This Row],[listedprob]]=1,"called",IF(LEFT(Table4[[#This Row],[Margin]],1)="D",(Table4[[#This Row],[Numeric Margin]]/2+50)/100,(-Table4[[#This Row],[Numeric Margin]]/2+50)/100))</f>
        <v>called</v>
      </c>
      <c r="N87" s="20" t="str">
        <f>IFERROR(IF(Table4[[#This Row],[D 2pv]]="called","called",Table4[[#This Row],[D 2pv]]*Table4[[#This Row],[Percent of votes in% In]]),Table4[[#This Row],[D 2pv]]*0.95)</f>
        <v>called</v>
      </c>
      <c r="O87" s="20" t="str">
        <f>IF(Table4[[#This Row],[D pct]]="called","called",(Table4[[#This Row],[D 2pv]]+$E$7))</f>
        <v>called</v>
      </c>
      <c r="P8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7" s="21" t="str">
        <f>IF(Table4[[#This Row],[D captured of remain]]="called","called",Table4[[#This Row],[D captured of remain]]+Table4[[#This Row],[D pct]])</f>
        <v>called</v>
      </c>
      <c r="R87" s="22" t="str">
        <f>IF(Table4[[#This Row],[Expected D]]=1,"D",IF(Table4[[#This Row],[Expected R]]=1,"R",IF(Table4[[#This Row],[D total]]&gt;=0.5,"D","R")))</f>
        <v>D</v>
      </c>
      <c r="S87" s="22"/>
      <c r="V87" s="4"/>
    </row>
    <row r="88" spans="2:23" ht="14.5" customHeight="1" x14ac:dyDescent="0.35">
      <c r="B88" s="27">
        <v>79</v>
      </c>
      <c r="C88" s="2" t="s">
        <v>115</v>
      </c>
      <c r="D88" s="2" t="s">
        <v>35</v>
      </c>
      <c r="E88" s="4" t="s">
        <v>28</v>
      </c>
      <c r="F88" s="2" t="s">
        <v>654</v>
      </c>
      <c r="G88" s="4" t="s">
        <v>197</v>
      </c>
      <c r="H8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8" s="2" t="str">
        <f>IF(OR(LEFT(Table4[[#This Row],[win_prob]],1)="D",LEFT(Table4[[#This Row],[win_prob]],1)="R"),LEFT(Table4[[#This Row],[win_prob]],1),LEFT(Table4[[#This Row],[Category]],1))</f>
        <v>D</v>
      </c>
      <c r="J8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8" s="16" t="str">
        <f>RIGHT(Table4[[#This Row],[Margin]],LEN(Table4[[#This Row],[Margin]])-FIND("+",Table4[[#This Row],[Margin]]))</f>
        <v>60</v>
      </c>
      <c r="M88" s="20" t="str">
        <f>IF(Table4[[#This Row],[listedprob]]=1,"called",IF(LEFT(Table4[[#This Row],[Margin]],1)="D",(Table4[[#This Row],[Numeric Margin]]/2+50)/100,(-Table4[[#This Row],[Numeric Margin]]/2+50)/100))</f>
        <v>called</v>
      </c>
      <c r="N88" s="20" t="str">
        <f>IFERROR(IF(Table4[[#This Row],[D 2pv]]="called","called",Table4[[#This Row],[D 2pv]]*Table4[[#This Row],[Percent of votes in% In]]),Table4[[#This Row],[D 2pv]]*0.95)</f>
        <v>called</v>
      </c>
      <c r="O88" s="20" t="str">
        <f>IF(Table4[[#This Row],[D pct]]="called","called",(Table4[[#This Row],[D 2pv]]+$E$7))</f>
        <v>called</v>
      </c>
      <c r="P8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8" s="21" t="str">
        <f>IF(Table4[[#This Row],[D captured of remain]]="called","called",Table4[[#This Row],[D captured of remain]]+Table4[[#This Row],[D pct]])</f>
        <v>called</v>
      </c>
      <c r="R88" s="22" t="str">
        <f>IF(Table4[[#This Row],[Expected D]]=1,"D",IF(Table4[[#This Row],[Expected R]]=1,"R",IF(Table4[[#This Row],[D total]]&gt;=0.5,"D","R")))</f>
        <v>D</v>
      </c>
      <c r="S88" s="22"/>
      <c r="V88" s="4"/>
    </row>
    <row r="89" spans="2:23" ht="14.5" customHeight="1" x14ac:dyDescent="0.35">
      <c r="B89" s="27">
        <v>80</v>
      </c>
      <c r="C89" s="2" t="s">
        <v>116</v>
      </c>
      <c r="D89" s="2" t="s">
        <v>35</v>
      </c>
      <c r="E89" s="4" t="s">
        <v>28</v>
      </c>
      <c r="F89" s="2" t="s">
        <v>520</v>
      </c>
      <c r="G89" s="4" t="s">
        <v>197</v>
      </c>
      <c r="H8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89" s="2" t="str">
        <f>IF(OR(LEFT(Table4[[#This Row],[win_prob]],1)="D",LEFT(Table4[[#This Row],[win_prob]],1)="R"),LEFT(Table4[[#This Row],[win_prob]],1),LEFT(Table4[[#This Row],[Category]],1))</f>
        <v>D</v>
      </c>
      <c r="J8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8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89" s="16" t="str">
        <f>RIGHT(Table4[[#This Row],[Margin]],LEN(Table4[[#This Row],[Margin]])-FIND("+",Table4[[#This Row],[Margin]]))</f>
        <v>23</v>
      </c>
      <c r="M89" s="20" t="str">
        <f>IF(Table4[[#This Row],[listedprob]]=1,"called",IF(LEFT(Table4[[#This Row],[Margin]],1)="D",(Table4[[#This Row],[Numeric Margin]]/2+50)/100,(-Table4[[#This Row],[Numeric Margin]]/2+50)/100))</f>
        <v>called</v>
      </c>
      <c r="N89" s="20" t="str">
        <f>IFERROR(IF(Table4[[#This Row],[D 2pv]]="called","called",Table4[[#This Row],[D 2pv]]*Table4[[#This Row],[Percent of votes in% In]]),Table4[[#This Row],[D 2pv]]*0.95)</f>
        <v>called</v>
      </c>
      <c r="O89" s="20" t="str">
        <f>IF(Table4[[#This Row],[D pct]]="called","called",(Table4[[#This Row],[D 2pv]]+$E$7))</f>
        <v>called</v>
      </c>
      <c r="P8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89" s="21" t="str">
        <f>IF(Table4[[#This Row],[D captured of remain]]="called","called",Table4[[#This Row],[D captured of remain]]+Table4[[#This Row],[D pct]])</f>
        <v>called</v>
      </c>
      <c r="R89" s="22" t="str">
        <f>IF(Table4[[#This Row],[Expected D]]=1,"D",IF(Table4[[#This Row],[Expected R]]=1,"R",IF(Table4[[#This Row],[D total]]&gt;=0.5,"D","R")))</f>
        <v>D</v>
      </c>
      <c r="S89" s="22"/>
      <c r="V89" s="4"/>
    </row>
    <row r="90" spans="2:23" ht="14.5" customHeight="1" x14ac:dyDescent="0.35">
      <c r="B90" s="27">
        <v>81</v>
      </c>
      <c r="C90" s="2" t="s">
        <v>117</v>
      </c>
      <c r="D90" s="2" t="s">
        <v>35</v>
      </c>
      <c r="E90" s="4" t="s">
        <v>28</v>
      </c>
      <c r="F90" s="2" t="s">
        <v>543</v>
      </c>
      <c r="G90" s="4" t="s">
        <v>197</v>
      </c>
      <c r="H9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0" s="2" t="str">
        <f>IF(OR(LEFT(Table4[[#This Row],[win_prob]],1)="D",LEFT(Table4[[#This Row],[win_prob]],1)="R"),LEFT(Table4[[#This Row],[win_prob]],1),LEFT(Table4[[#This Row],[Category]],1))</f>
        <v>D</v>
      </c>
      <c r="J9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0" s="16" t="str">
        <f>RIGHT(Table4[[#This Row],[Margin]],LEN(Table4[[#This Row],[Margin]])-FIND("+",Table4[[#This Row],[Margin]]))</f>
        <v>32</v>
      </c>
      <c r="M90" s="20" t="str">
        <f>IF(Table4[[#This Row],[listedprob]]=1,"called",IF(LEFT(Table4[[#This Row],[Margin]],1)="D",(Table4[[#This Row],[Numeric Margin]]/2+50)/100,(-Table4[[#This Row],[Numeric Margin]]/2+50)/100))</f>
        <v>called</v>
      </c>
      <c r="N90" s="20" t="str">
        <f>IFERROR(IF(Table4[[#This Row],[D 2pv]]="called","called",Table4[[#This Row],[D 2pv]]*Table4[[#This Row],[Percent of votes in% In]]),Table4[[#This Row],[D 2pv]]*0.95)</f>
        <v>called</v>
      </c>
      <c r="O90" s="20" t="str">
        <f>IF(Table4[[#This Row],[D pct]]="called","called",(Table4[[#This Row],[D 2pv]]+$E$7))</f>
        <v>called</v>
      </c>
      <c r="P9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0" s="21" t="str">
        <f>IF(Table4[[#This Row],[D captured of remain]]="called","called",Table4[[#This Row],[D captured of remain]]+Table4[[#This Row],[D pct]])</f>
        <v>called</v>
      </c>
      <c r="R90" s="22" t="str">
        <f>IF(Table4[[#This Row],[Expected D]]=1,"D",IF(Table4[[#This Row],[Expected R]]=1,"R",IF(Table4[[#This Row],[D total]]&gt;=0.5,"D","R")))</f>
        <v>D</v>
      </c>
      <c r="S90" s="22"/>
      <c r="V90" s="4"/>
    </row>
    <row r="91" spans="2:23" ht="14.5" customHeight="1" x14ac:dyDescent="0.35">
      <c r="B91" s="27">
        <v>82</v>
      </c>
      <c r="C91" s="2" t="s">
        <v>118</v>
      </c>
      <c r="D91" s="2" t="s">
        <v>35</v>
      </c>
      <c r="E91" s="4" t="s">
        <v>28</v>
      </c>
      <c r="F91" s="2" t="s">
        <v>509</v>
      </c>
      <c r="G91" s="4" t="s">
        <v>197</v>
      </c>
      <c r="H9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1" s="2" t="str">
        <f>IF(OR(LEFT(Table4[[#This Row],[win_prob]],1)="D",LEFT(Table4[[#This Row],[win_prob]],1)="R"),LEFT(Table4[[#This Row],[win_prob]],1),LEFT(Table4[[#This Row],[Category]],1))</f>
        <v>D</v>
      </c>
      <c r="J9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1" s="16" t="str">
        <f>RIGHT(Table4[[#This Row],[Margin]],LEN(Table4[[#This Row],[Margin]])-FIND("+",Table4[[#This Row],[Margin]]))</f>
        <v>28</v>
      </c>
      <c r="M91" s="20" t="str">
        <f>IF(Table4[[#This Row],[listedprob]]=1,"called",IF(LEFT(Table4[[#This Row],[Margin]],1)="D",(Table4[[#This Row],[Numeric Margin]]/2+50)/100,(-Table4[[#This Row],[Numeric Margin]]/2+50)/100))</f>
        <v>called</v>
      </c>
      <c r="N91" s="20" t="str">
        <f>IFERROR(IF(Table4[[#This Row],[D 2pv]]="called","called",Table4[[#This Row],[D 2pv]]*Table4[[#This Row],[Percent of votes in% In]]),Table4[[#This Row],[D 2pv]]*0.95)</f>
        <v>called</v>
      </c>
      <c r="O91" s="20" t="str">
        <f>IF(Table4[[#This Row],[D pct]]="called","called",(Table4[[#This Row],[D 2pv]]+$E$7))</f>
        <v>called</v>
      </c>
      <c r="P9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1" s="21" t="str">
        <f>IF(Table4[[#This Row],[D captured of remain]]="called","called",Table4[[#This Row],[D captured of remain]]+Table4[[#This Row],[D pct]])</f>
        <v>called</v>
      </c>
      <c r="R91" s="22" t="str">
        <f>IF(Table4[[#This Row],[Expected D]]=1,"D",IF(Table4[[#This Row],[Expected R]]=1,"R",IF(Table4[[#This Row],[D total]]&gt;=0.5,"D","R")))</f>
        <v>D</v>
      </c>
      <c r="S91" s="22"/>
      <c r="V91" s="4"/>
    </row>
    <row r="92" spans="2:23" ht="14.5" customHeight="1" x14ac:dyDescent="0.35">
      <c r="B92" s="27">
        <v>83</v>
      </c>
      <c r="C92" s="2" t="s">
        <v>119</v>
      </c>
      <c r="D92" s="2" t="s">
        <v>102</v>
      </c>
      <c r="E92" s="4">
        <v>0</v>
      </c>
      <c r="F92" s="2" t="s">
        <v>540</v>
      </c>
      <c r="G92" s="4" t="s">
        <v>197</v>
      </c>
      <c r="H9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2" s="2" t="str">
        <f>IF(OR(LEFT(Table4[[#This Row],[win_prob]],1)="D",LEFT(Table4[[#This Row],[win_prob]],1)="R"),LEFT(Table4[[#This Row],[win_prob]],1),LEFT(Table4[[#This Row],[Category]],1))</f>
        <v>D</v>
      </c>
      <c r="J9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2" s="16" t="e">
        <f>RIGHT(Table4[[#This Row],[Margin]],LEN(Table4[[#This Row],[Margin]])-FIND("+",Table4[[#This Row],[Margin]]))</f>
        <v>#VALUE!</v>
      </c>
      <c r="M92" s="20" t="str">
        <f>IF(Table4[[#This Row],[listedprob]]=1,"called",IF(LEFT(Table4[[#This Row],[Margin]],1)="D",(Table4[[#This Row],[Numeric Margin]]/2+50)/100,(-Table4[[#This Row],[Numeric Margin]]/2+50)/100))</f>
        <v>called</v>
      </c>
      <c r="N92" s="20" t="str">
        <f>IFERROR(IF(Table4[[#This Row],[D 2pv]]="called","called",Table4[[#This Row],[D 2pv]]*Table4[[#This Row],[Percent of votes in% In]]),Table4[[#This Row],[D 2pv]]*0.95)</f>
        <v>called</v>
      </c>
      <c r="O92" s="20" t="str">
        <f>IF(Table4[[#This Row],[D pct]]="called","called",(Table4[[#This Row],[D 2pv]]+$E$7))</f>
        <v>called</v>
      </c>
      <c r="P9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2" s="21" t="str">
        <f>IF(Table4[[#This Row],[D captured of remain]]="called","called",Table4[[#This Row],[D captured of remain]]+Table4[[#This Row],[D pct]])</f>
        <v>called</v>
      </c>
      <c r="R92" s="22" t="str">
        <f>IF(Table4[[#This Row],[Expected D]]=1,"D",IF(Table4[[#This Row],[Expected R]]=1,"R",IF(Table4[[#This Row],[D total]]&gt;=0.5,"D","R")))</f>
        <v>D</v>
      </c>
      <c r="S92" s="22"/>
      <c r="V92" s="4"/>
      <c r="W92" s="4"/>
    </row>
    <row r="93" spans="2:23" ht="14.5" customHeight="1" x14ac:dyDescent="0.35">
      <c r="B93" s="27">
        <v>84</v>
      </c>
      <c r="C93" s="2" t="s">
        <v>120</v>
      </c>
      <c r="D93" s="2" t="s">
        <v>35</v>
      </c>
      <c r="E93" s="4" t="s">
        <v>28</v>
      </c>
      <c r="F93" s="2" t="s">
        <v>525</v>
      </c>
      <c r="G93" s="4" t="s">
        <v>197</v>
      </c>
      <c r="H9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3" s="2" t="str">
        <f>IF(OR(LEFT(Table4[[#This Row],[win_prob]],1)="D",LEFT(Table4[[#This Row],[win_prob]],1)="R"),LEFT(Table4[[#This Row],[win_prob]],1),LEFT(Table4[[#This Row],[Category]],1))</f>
        <v>D</v>
      </c>
      <c r="J9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3" s="16" t="str">
        <f>RIGHT(Table4[[#This Row],[Margin]],LEN(Table4[[#This Row],[Margin]])-FIND("+",Table4[[#This Row],[Margin]]))</f>
        <v>48</v>
      </c>
      <c r="M93" s="20" t="str">
        <f>IF(Table4[[#This Row],[listedprob]]=1,"called",IF(LEFT(Table4[[#This Row],[Margin]],1)="D",(Table4[[#This Row],[Numeric Margin]]/2+50)/100,(-Table4[[#This Row],[Numeric Margin]]/2+50)/100))</f>
        <v>called</v>
      </c>
      <c r="N93" s="20" t="str">
        <f>IFERROR(IF(Table4[[#This Row],[D 2pv]]="called","called",Table4[[#This Row],[D 2pv]]*Table4[[#This Row],[Percent of votes in% In]]),Table4[[#This Row],[D 2pv]]*0.95)</f>
        <v>called</v>
      </c>
      <c r="O93" s="20" t="str">
        <f>IF(Table4[[#This Row],[D pct]]="called","called",(Table4[[#This Row],[D 2pv]]+$E$7))</f>
        <v>called</v>
      </c>
      <c r="P9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3" s="21" t="str">
        <f>IF(Table4[[#This Row],[D captured of remain]]="called","called",Table4[[#This Row],[D captured of remain]]+Table4[[#This Row],[D pct]])</f>
        <v>called</v>
      </c>
      <c r="R93" s="22" t="str">
        <f>IF(Table4[[#This Row],[Expected D]]=1,"D",IF(Table4[[#This Row],[Expected R]]=1,"R",IF(Table4[[#This Row],[D total]]&gt;=0.5,"D","R")))</f>
        <v>D</v>
      </c>
      <c r="S93" s="22"/>
      <c r="V93" s="4"/>
      <c r="W93" s="4"/>
    </row>
    <row r="94" spans="2:23" ht="14.5" customHeight="1" x14ac:dyDescent="0.35">
      <c r="B94" s="27">
        <v>85</v>
      </c>
      <c r="C94" s="2" t="s">
        <v>121</v>
      </c>
      <c r="D94" s="2" t="s">
        <v>35</v>
      </c>
      <c r="E94" s="4" t="s">
        <v>28</v>
      </c>
      <c r="F94" s="2" t="s">
        <v>544</v>
      </c>
      <c r="G94" s="4" t="s">
        <v>197</v>
      </c>
      <c r="H9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4" s="2" t="str">
        <f>IF(OR(LEFT(Table4[[#This Row],[win_prob]],1)="D",LEFT(Table4[[#This Row],[win_prob]],1)="R"),LEFT(Table4[[#This Row],[win_prob]],1),LEFT(Table4[[#This Row],[Category]],1))</f>
        <v>D</v>
      </c>
      <c r="J9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4" s="16" t="str">
        <f>RIGHT(Table4[[#This Row],[Margin]],LEN(Table4[[#This Row],[Margin]])-FIND("+",Table4[[#This Row],[Margin]]))</f>
        <v>27</v>
      </c>
      <c r="M94" s="20" t="str">
        <f>IF(Table4[[#This Row],[listedprob]]=1,"called",IF(LEFT(Table4[[#This Row],[Margin]],1)="D",(Table4[[#This Row],[Numeric Margin]]/2+50)/100,(-Table4[[#This Row],[Numeric Margin]]/2+50)/100))</f>
        <v>called</v>
      </c>
      <c r="N94" s="20" t="str">
        <f>IFERROR(IF(Table4[[#This Row],[D 2pv]]="called","called",Table4[[#This Row],[D 2pv]]*Table4[[#This Row],[Percent of votes in% In]]),Table4[[#This Row],[D 2pv]]*0.95)</f>
        <v>called</v>
      </c>
      <c r="O94" s="20" t="str">
        <f>IF(Table4[[#This Row],[D pct]]="called","called",(Table4[[#This Row],[D 2pv]]+$E$7))</f>
        <v>called</v>
      </c>
      <c r="P9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4" s="21" t="str">
        <f>IF(Table4[[#This Row],[D captured of remain]]="called","called",Table4[[#This Row],[D captured of remain]]+Table4[[#This Row],[D pct]])</f>
        <v>called</v>
      </c>
      <c r="R94" s="22" t="str">
        <f>IF(Table4[[#This Row],[Expected D]]=1,"D",IF(Table4[[#This Row],[Expected R]]=1,"R",IF(Table4[[#This Row],[D total]]&gt;=0.5,"D","R")))</f>
        <v>D</v>
      </c>
      <c r="S94" s="22"/>
      <c r="V94" s="4"/>
      <c r="W94" s="4"/>
    </row>
    <row r="95" spans="2:23" ht="14.5" customHeight="1" x14ac:dyDescent="0.35">
      <c r="B95" s="27">
        <v>86</v>
      </c>
      <c r="C95" s="2" t="s">
        <v>122</v>
      </c>
      <c r="D95" s="2" t="s">
        <v>35</v>
      </c>
      <c r="E95" s="4" t="s">
        <v>28</v>
      </c>
      <c r="F95" s="2" t="s">
        <v>546</v>
      </c>
      <c r="G95" s="4" t="s">
        <v>197</v>
      </c>
      <c r="H9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5" s="2" t="str">
        <f>IF(OR(LEFT(Table4[[#This Row],[win_prob]],1)="D",LEFT(Table4[[#This Row],[win_prob]],1)="R"),LEFT(Table4[[#This Row],[win_prob]],1),LEFT(Table4[[#This Row],[Category]],1))</f>
        <v>D</v>
      </c>
      <c r="J9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5" s="16" t="str">
        <f>RIGHT(Table4[[#This Row],[Margin]],LEN(Table4[[#This Row],[Margin]])-FIND("+",Table4[[#This Row],[Margin]]))</f>
        <v>69</v>
      </c>
      <c r="M95" s="20" t="str">
        <f>IF(Table4[[#This Row],[listedprob]]=1,"called",IF(LEFT(Table4[[#This Row],[Margin]],1)="D",(Table4[[#This Row],[Numeric Margin]]/2+50)/100,(-Table4[[#This Row],[Numeric Margin]]/2+50)/100))</f>
        <v>called</v>
      </c>
      <c r="N95" s="20" t="str">
        <f>IFERROR(IF(Table4[[#This Row],[D 2pv]]="called","called",Table4[[#This Row],[D 2pv]]*Table4[[#This Row],[Percent of votes in% In]]),Table4[[#This Row],[D 2pv]]*0.95)</f>
        <v>called</v>
      </c>
      <c r="O95" s="20" t="str">
        <f>IF(Table4[[#This Row],[D pct]]="called","called",(Table4[[#This Row],[D 2pv]]+$E$7))</f>
        <v>called</v>
      </c>
      <c r="P9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5" s="21" t="str">
        <f>IF(Table4[[#This Row],[D captured of remain]]="called","called",Table4[[#This Row],[D captured of remain]]+Table4[[#This Row],[D pct]])</f>
        <v>called</v>
      </c>
      <c r="R95" s="22" t="str">
        <f>IF(Table4[[#This Row],[Expected D]]=1,"D",IF(Table4[[#This Row],[Expected R]]=1,"R",IF(Table4[[#This Row],[D total]]&gt;=0.5,"D","R")))</f>
        <v>D</v>
      </c>
      <c r="S95" s="22"/>
      <c r="V95" s="4"/>
      <c r="W95" s="4"/>
    </row>
    <row r="96" spans="2:23" ht="14.5" customHeight="1" x14ac:dyDescent="0.35">
      <c r="B96" s="27">
        <v>87</v>
      </c>
      <c r="C96" s="2" t="s">
        <v>123</v>
      </c>
      <c r="D96" s="2" t="s">
        <v>35</v>
      </c>
      <c r="E96" s="4" t="s">
        <v>28</v>
      </c>
      <c r="F96" s="2" t="s">
        <v>517</v>
      </c>
      <c r="G96" s="4" t="s">
        <v>197</v>
      </c>
      <c r="H9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6" s="2" t="str">
        <f>IF(OR(LEFT(Table4[[#This Row],[win_prob]],1)="D",LEFT(Table4[[#This Row],[win_prob]],1)="R"),LEFT(Table4[[#This Row],[win_prob]],1),LEFT(Table4[[#This Row],[Category]],1))</f>
        <v>D</v>
      </c>
      <c r="J9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6" s="16" t="str">
        <f>RIGHT(Table4[[#This Row],[Margin]],LEN(Table4[[#This Row],[Margin]])-FIND("+",Table4[[#This Row],[Margin]]))</f>
        <v>39</v>
      </c>
      <c r="M96" s="20" t="str">
        <f>IF(Table4[[#This Row],[listedprob]]=1,"called",IF(LEFT(Table4[[#This Row],[Margin]],1)="D",(Table4[[#This Row],[Numeric Margin]]/2+50)/100,(-Table4[[#This Row],[Numeric Margin]]/2+50)/100))</f>
        <v>called</v>
      </c>
      <c r="N96" s="20" t="str">
        <f>IFERROR(IF(Table4[[#This Row],[D 2pv]]="called","called",Table4[[#This Row],[D 2pv]]*Table4[[#This Row],[Percent of votes in% In]]),Table4[[#This Row],[D 2pv]]*0.95)</f>
        <v>called</v>
      </c>
      <c r="O96" s="20" t="str">
        <f>IF(Table4[[#This Row],[D pct]]="called","called",(Table4[[#This Row],[D 2pv]]+$E$7))</f>
        <v>called</v>
      </c>
      <c r="P9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6" s="21" t="str">
        <f>IF(Table4[[#This Row],[D captured of remain]]="called","called",Table4[[#This Row],[D captured of remain]]+Table4[[#This Row],[D pct]])</f>
        <v>called</v>
      </c>
      <c r="R96" s="22" t="str">
        <f>IF(Table4[[#This Row],[Expected D]]=1,"D",IF(Table4[[#This Row],[Expected R]]=1,"R",IF(Table4[[#This Row],[D total]]&gt;=0.5,"D","R")))</f>
        <v>D</v>
      </c>
      <c r="S96" s="22"/>
      <c r="V96" s="4"/>
      <c r="W96" s="4"/>
    </row>
    <row r="97" spans="2:23" ht="14.5" customHeight="1" x14ac:dyDescent="0.35">
      <c r="B97" s="27">
        <v>88</v>
      </c>
      <c r="C97" s="2" t="s">
        <v>124</v>
      </c>
      <c r="D97" s="2" t="s">
        <v>35</v>
      </c>
      <c r="E97" s="4" t="s">
        <v>28</v>
      </c>
      <c r="F97" s="2" t="s">
        <v>548</v>
      </c>
      <c r="G97" s="4" t="s">
        <v>197</v>
      </c>
      <c r="H9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7" s="2" t="str">
        <f>IF(OR(LEFT(Table4[[#This Row],[win_prob]],1)="D",LEFT(Table4[[#This Row],[win_prob]],1)="R"),LEFT(Table4[[#This Row],[win_prob]],1),LEFT(Table4[[#This Row],[Category]],1))</f>
        <v>D</v>
      </c>
      <c r="J9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7" s="16" t="str">
        <f>RIGHT(Table4[[#This Row],[Margin]],LEN(Table4[[#This Row],[Margin]])-FIND("+",Table4[[#This Row],[Margin]]))</f>
        <v>19</v>
      </c>
      <c r="M97" s="20" t="str">
        <f>IF(Table4[[#This Row],[listedprob]]=1,"called",IF(LEFT(Table4[[#This Row],[Margin]],1)="D",(Table4[[#This Row],[Numeric Margin]]/2+50)/100,(-Table4[[#This Row],[Numeric Margin]]/2+50)/100))</f>
        <v>called</v>
      </c>
      <c r="N97" s="20" t="str">
        <f>IFERROR(IF(Table4[[#This Row],[D 2pv]]="called","called",Table4[[#This Row],[D 2pv]]*Table4[[#This Row],[Percent of votes in% In]]),Table4[[#This Row],[D 2pv]]*0.95)</f>
        <v>called</v>
      </c>
      <c r="O97" s="20" t="str">
        <f>IF(Table4[[#This Row],[D pct]]="called","called",(Table4[[#This Row],[D 2pv]]+$E$7))</f>
        <v>called</v>
      </c>
      <c r="P9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7" s="21" t="str">
        <f>IF(Table4[[#This Row],[D captured of remain]]="called","called",Table4[[#This Row],[D captured of remain]]+Table4[[#This Row],[D pct]])</f>
        <v>called</v>
      </c>
      <c r="R97" s="22" t="str">
        <f>IF(Table4[[#This Row],[Expected D]]=1,"D",IF(Table4[[#This Row],[Expected R]]=1,"R",IF(Table4[[#This Row],[D total]]&gt;=0.5,"D","R")))</f>
        <v>D</v>
      </c>
      <c r="S97" s="22"/>
      <c r="V97" s="4"/>
      <c r="W97" s="4"/>
    </row>
    <row r="98" spans="2:23" ht="14.5" customHeight="1" x14ac:dyDescent="0.35">
      <c r="B98" s="27">
        <v>89</v>
      </c>
      <c r="C98" s="2" t="s">
        <v>125</v>
      </c>
      <c r="D98" s="2" t="s">
        <v>35</v>
      </c>
      <c r="E98" s="2" t="s">
        <v>28</v>
      </c>
      <c r="F98" s="2" t="s">
        <v>543</v>
      </c>
      <c r="G98" s="4" t="s">
        <v>197</v>
      </c>
      <c r="H9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8" s="2" t="str">
        <f>IF(OR(LEFT(Table4[[#This Row],[win_prob]],1)="D",LEFT(Table4[[#This Row],[win_prob]],1)="R"),LEFT(Table4[[#This Row],[win_prob]],1),LEFT(Table4[[#This Row],[Category]],1))</f>
        <v>D</v>
      </c>
      <c r="J9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8" s="16" t="str">
        <f>RIGHT(Table4[[#This Row],[Margin]],LEN(Table4[[#This Row],[Margin]])-FIND("+",Table4[[#This Row],[Margin]]))</f>
        <v>32</v>
      </c>
      <c r="M98" s="20" t="str">
        <f>IF(Table4[[#This Row],[listedprob]]=1,"called",IF(LEFT(Table4[[#This Row],[Margin]],1)="D",(Table4[[#This Row],[Numeric Margin]]/2+50)/100,(-Table4[[#This Row],[Numeric Margin]]/2+50)/100))</f>
        <v>called</v>
      </c>
      <c r="N98" s="20" t="str">
        <f>IFERROR(IF(Table4[[#This Row],[D 2pv]]="called","called",Table4[[#This Row],[D 2pv]]*Table4[[#This Row],[Percent of votes in% In]]),Table4[[#This Row],[D 2pv]]*0.95)</f>
        <v>called</v>
      </c>
      <c r="O98" s="20" t="str">
        <f>IF(Table4[[#This Row],[D pct]]="called","called",(Table4[[#This Row],[D 2pv]]+$E$7))</f>
        <v>called</v>
      </c>
      <c r="P9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8" s="21" t="str">
        <f>IF(Table4[[#This Row],[D captured of remain]]="called","called",Table4[[#This Row],[D captured of remain]]+Table4[[#This Row],[D pct]])</f>
        <v>called</v>
      </c>
      <c r="R98" s="22" t="str">
        <f>IF(Table4[[#This Row],[Expected D]]=1,"D",IF(Table4[[#This Row],[Expected R]]=1,"R",IF(Table4[[#This Row],[D total]]&gt;=0.5,"D","R")))</f>
        <v>D</v>
      </c>
      <c r="S98" s="22"/>
      <c r="V98" s="4"/>
      <c r="W98" s="4"/>
    </row>
    <row r="99" spans="2:23" ht="14.5" customHeight="1" x14ac:dyDescent="0.35">
      <c r="B99" s="27">
        <v>90</v>
      </c>
      <c r="C99" s="2" t="s">
        <v>126</v>
      </c>
      <c r="D99" s="2" t="s">
        <v>35</v>
      </c>
      <c r="E99" s="4" t="s">
        <v>28</v>
      </c>
      <c r="F99" s="2" t="s">
        <v>520</v>
      </c>
      <c r="G99" s="4" t="s">
        <v>197</v>
      </c>
      <c r="H9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99" s="2" t="str">
        <f>IF(OR(LEFT(Table4[[#This Row],[win_prob]],1)="D",LEFT(Table4[[#This Row],[win_prob]],1)="R"),LEFT(Table4[[#This Row],[win_prob]],1),LEFT(Table4[[#This Row],[Category]],1))</f>
        <v>D</v>
      </c>
      <c r="J9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9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99" s="16" t="str">
        <f>RIGHT(Table4[[#This Row],[Margin]],LEN(Table4[[#This Row],[Margin]])-FIND("+",Table4[[#This Row],[Margin]]))</f>
        <v>23</v>
      </c>
      <c r="M99" s="20" t="str">
        <f>IF(Table4[[#This Row],[listedprob]]=1,"called",IF(LEFT(Table4[[#This Row],[Margin]],1)="D",(Table4[[#This Row],[Numeric Margin]]/2+50)/100,(-Table4[[#This Row],[Numeric Margin]]/2+50)/100))</f>
        <v>called</v>
      </c>
      <c r="N99" s="20" t="str">
        <f>IFERROR(IF(Table4[[#This Row],[D 2pv]]="called","called",Table4[[#This Row],[D 2pv]]*Table4[[#This Row],[Percent of votes in% In]]),Table4[[#This Row],[D 2pv]]*0.95)</f>
        <v>called</v>
      </c>
      <c r="O99" s="20" t="str">
        <f>IF(Table4[[#This Row],[D pct]]="called","called",(Table4[[#This Row],[D 2pv]]+$E$7))</f>
        <v>called</v>
      </c>
      <c r="P9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99" s="21" t="str">
        <f>IF(Table4[[#This Row],[D captured of remain]]="called","called",Table4[[#This Row],[D captured of remain]]+Table4[[#This Row],[D pct]])</f>
        <v>called</v>
      </c>
      <c r="R99" s="22" t="str">
        <f>IF(Table4[[#This Row],[Expected D]]=1,"D",IF(Table4[[#This Row],[Expected R]]=1,"R",IF(Table4[[#This Row],[D total]]&gt;=0.5,"D","R")))</f>
        <v>D</v>
      </c>
      <c r="S99" s="22"/>
      <c r="V99" s="4"/>
      <c r="W99" s="4"/>
    </row>
    <row r="100" spans="2:23" ht="14.5" customHeight="1" x14ac:dyDescent="0.35">
      <c r="B100" s="27">
        <v>91</v>
      </c>
      <c r="C100" s="2" t="s">
        <v>127</v>
      </c>
      <c r="D100" s="2" t="s">
        <v>35</v>
      </c>
      <c r="E100" s="4" t="s">
        <v>28</v>
      </c>
      <c r="F100" s="2" t="s">
        <v>531</v>
      </c>
      <c r="G100" s="4" t="s">
        <v>197</v>
      </c>
      <c r="H10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0" s="2" t="str">
        <f>IF(OR(LEFT(Table4[[#This Row],[win_prob]],1)="D",LEFT(Table4[[#This Row],[win_prob]],1)="R"),LEFT(Table4[[#This Row],[win_prob]],1),LEFT(Table4[[#This Row],[Category]],1))</f>
        <v>D</v>
      </c>
      <c r="J10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0" s="16" t="str">
        <f>RIGHT(Table4[[#This Row],[Margin]],LEN(Table4[[#This Row],[Margin]])-FIND("+",Table4[[#This Row],[Margin]]))</f>
        <v>45</v>
      </c>
      <c r="M100" s="20" t="str">
        <f>IF(Table4[[#This Row],[listedprob]]=1,"called",IF(LEFT(Table4[[#This Row],[Margin]],1)="D",(Table4[[#This Row],[Numeric Margin]]/2+50)/100,(-Table4[[#This Row],[Numeric Margin]]/2+50)/100))</f>
        <v>called</v>
      </c>
      <c r="N100" s="20" t="str">
        <f>IFERROR(IF(Table4[[#This Row],[D 2pv]]="called","called",Table4[[#This Row],[D 2pv]]*Table4[[#This Row],[Percent of votes in% In]]),Table4[[#This Row],[D 2pv]]*0.95)</f>
        <v>called</v>
      </c>
      <c r="O100" s="20" t="str">
        <f>IF(Table4[[#This Row],[D pct]]="called","called",(Table4[[#This Row],[D 2pv]]+$E$7))</f>
        <v>called</v>
      </c>
      <c r="P10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0" s="21" t="str">
        <f>IF(Table4[[#This Row],[D captured of remain]]="called","called",Table4[[#This Row],[D captured of remain]]+Table4[[#This Row],[D pct]])</f>
        <v>called</v>
      </c>
      <c r="R100" s="22" t="str">
        <f>IF(Table4[[#This Row],[Expected D]]=1,"D",IF(Table4[[#This Row],[Expected R]]=1,"R",IF(Table4[[#This Row],[D total]]&gt;=0.5,"D","R")))</f>
        <v>D</v>
      </c>
      <c r="S100" s="22"/>
      <c r="V100" s="4"/>
      <c r="W100" s="4"/>
    </row>
    <row r="101" spans="2:23" ht="14.5" customHeight="1" x14ac:dyDescent="0.35">
      <c r="B101" s="27">
        <v>92</v>
      </c>
      <c r="C101" s="2" t="s">
        <v>128</v>
      </c>
      <c r="D101" s="2" t="s">
        <v>35</v>
      </c>
      <c r="E101" s="2" t="s">
        <v>28</v>
      </c>
      <c r="F101" s="2" t="s">
        <v>545</v>
      </c>
      <c r="G101" s="4" t="s">
        <v>197</v>
      </c>
      <c r="H10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1" s="2" t="str">
        <f>IF(OR(LEFT(Table4[[#This Row],[win_prob]],1)="D",LEFT(Table4[[#This Row],[win_prob]],1)="R"),LEFT(Table4[[#This Row],[win_prob]],1),LEFT(Table4[[#This Row],[Category]],1))</f>
        <v>D</v>
      </c>
      <c r="J10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1" s="16" t="str">
        <f>RIGHT(Table4[[#This Row],[Margin]],LEN(Table4[[#This Row],[Margin]])-FIND("+",Table4[[#This Row],[Margin]]))</f>
        <v>47</v>
      </c>
      <c r="M101" s="20" t="str">
        <f>IF(Table4[[#This Row],[listedprob]]=1,"called",IF(LEFT(Table4[[#This Row],[Margin]],1)="D",(Table4[[#This Row],[Numeric Margin]]/2+50)/100,(-Table4[[#This Row],[Numeric Margin]]/2+50)/100))</f>
        <v>called</v>
      </c>
      <c r="N101" s="20" t="str">
        <f>IFERROR(IF(Table4[[#This Row],[D 2pv]]="called","called",Table4[[#This Row],[D 2pv]]*Table4[[#This Row],[Percent of votes in% In]]),Table4[[#This Row],[D 2pv]]*0.95)</f>
        <v>called</v>
      </c>
      <c r="O101" s="20" t="str">
        <f>IF(Table4[[#This Row],[D pct]]="called","called",(Table4[[#This Row],[D 2pv]]+$E$7))</f>
        <v>called</v>
      </c>
      <c r="P10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1" s="21" t="str">
        <f>IF(Table4[[#This Row],[D captured of remain]]="called","called",Table4[[#This Row],[D captured of remain]]+Table4[[#This Row],[D pct]])</f>
        <v>called</v>
      </c>
      <c r="R101" s="22" t="str">
        <f>IF(Table4[[#This Row],[Expected D]]=1,"D",IF(Table4[[#This Row],[Expected R]]=1,"R",IF(Table4[[#This Row],[D total]]&gt;=0.5,"D","R")))</f>
        <v>D</v>
      </c>
      <c r="S101" s="22"/>
      <c r="V101" s="4"/>
      <c r="W101" s="4"/>
    </row>
    <row r="102" spans="2:23" ht="14.5" customHeight="1" x14ac:dyDescent="0.35">
      <c r="B102" s="27">
        <v>93</v>
      </c>
      <c r="C102" s="2" t="s">
        <v>129</v>
      </c>
      <c r="D102" s="2" t="s">
        <v>35</v>
      </c>
      <c r="E102" s="2" t="s">
        <v>28</v>
      </c>
      <c r="F102" s="2" t="s">
        <v>548</v>
      </c>
      <c r="G102" s="4" t="s">
        <v>197</v>
      </c>
      <c r="H10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2" s="2" t="str">
        <f>IF(OR(LEFT(Table4[[#This Row],[win_prob]],1)="D",LEFT(Table4[[#This Row],[win_prob]],1)="R"),LEFT(Table4[[#This Row],[win_prob]],1),LEFT(Table4[[#This Row],[Category]],1))</f>
        <v>D</v>
      </c>
      <c r="J10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2" s="16" t="str">
        <f>RIGHT(Table4[[#This Row],[Margin]],LEN(Table4[[#This Row],[Margin]])-FIND("+",Table4[[#This Row],[Margin]]))</f>
        <v>19</v>
      </c>
      <c r="M102" s="20" t="str">
        <f>IF(Table4[[#This Row],[listedprob]]=1,"called",IF(LEFT(Table4[[#This Row],[Margin]],1)="D",(Table4[[#This Row],[Numeric Margin]]/2+50)/100,(-Table4[[#This Row],[Numeric Margin]]/2+50)/100))</f>
        <v>called</v>
      </c>
      <c r="N102" s="20" t="str">
        <f>IFERROR(IF(Table4[[#This Row],[D 2pv]]="called","called",Table4[[#This Row],[D 2pv]]*Table4[[#This Row],[Percent of votes in% In]]),Table4[[#This Row],[D 2pv]]*0.95)</f>
        <v>called</v>
      </c>
      <c r="O102" s="20" t="str">
        <f>IF(Table4[[#This Row],[D pct]]="called","called",(Table4[[#This Row],[D 2pv]]+$E$7))</f>
        <v>called</v>
      </c>
      <c r="P10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2" s="21" t="str">
        <f>IF(Table4[[#This Row],[D captured of remain]]="called","called",Table4[[#This Row],[D captured of remain]]+Table4[[#This Row],[D pct]])</f>
        <v>called</v>
      </c>
      <c r="R102" s="22" t="str">
        <f>IF(Table4[[#This Row],[Expected D]]=1,"D",IF(Table4[[#This Row],[Expected R]]=1,"R",IF(Table4[[#This Row],[D total]]&gt;=0.5,"D","R")))</f>
        <v>D</v>
      </c>
      <c r="S102" s="22"/>
      <c r="V102" s="4"/>
      <c r="W102" s="4"/>
    </row>
    <row r="103" spans="2:23" ht="14.5" customHeight="1" x14ac:dyDescent="0.35">
      <c r="B103" s="27">
        <v>94</v>
      </c>
      <c r="C103" s="2" t="s">
        <v>130</v>
      </c>
      <c r="D103" s="2" t="s">
        <v>35</v>
      </c>
      <c r="E103" s="4" t="s">
        <v>28</v>
      </c>
      <c r="F103" s="2" t="s">
        <v>511</v>
      </c>
      <c r="G103" s="4" t="s">
        <v>197</v>
      </c>
      <c r="H10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3" s="2" t="str">
        <f>IF(OR(LEFT(Table4[[#This Row],[win_prob]],1)="D",LEFT(Table4[[#This Row],[win_prob]],1)="R"),LEFT(Table4[[#This Row],[win_prob]],1),LEFT(Table4[[#This Row],[Category]],1))</f>
        <v>D</v>
      </c>
      <c r="J10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3" s="16" t="str">
        <f>RIGHT(Table4[[#This Row],[Margin]],LEN(Table4[[#This Row],[Margin]])-FIND("+",Table4[[#This Row],[Margin]]))</f>
        <v>35</v>
      </c>
      <c r="M103" s="20" t="str">
        <f>IF(Table4[[#This Row],[listedprob]]=1,"called",IF(LEFT(Table4[[#This Row],[Margin]],1)="D",(Table4[[#This Row],[Numeric Margin]]/2+50)/100,(-Table4[[#This Row],[Numeric Margin]]/2+50)/100))</f>
        <v>called</v>
      </c>
      <c r="N103" s="20" t="str">
        <f>IFERROR(IF(Table4[[#This Row],[D 2pv]]="called","called",Table4[[#This Row],[D 2pv]]*Table4[[#This Row],[Percent of votes in% In]]),Table4[[#This Row],[D 2pv]]*0.95)</f>
        <v>called</v>
      </c>
      <c r="O103" s="20" t="str">
        <f>IF(Table4[[#This Row],[D pct]]="called","called",(Table4[[#This Row],[D 2pv]]+$E$7))</f>
        <v>called</v>
      </c>
      <c r="P10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3" s="21" t="str">
        <f>IF(Table4[[#This Row],[D captured of remain]]="called","called",Table4[[#This Row],[D captured of remain]]+Table4[[#This Row],[D pct]])</f>
        <v>called</v>
      </c>
      <c r="R103" s="22" t="str">
        <f>IF(Table4[[#This Row],[Expected D]]=1,"D",IF(Table4[[#This Row],[Expected R]]=1,"R",IF(Table4[[#This Row],[D total]]&gt;=0.5,"D","R")))</f>
        <v>D</v>
      </c>
      <c r="S103" s="22"/>
      <c r="V103" s="4"/>
    </row>
    <row r="104" spans="2:23" ht="14.5" customHeight="1" x14ac:dyDescent="0.35">
      <c r="B104" s="27">
        <v>95</v>
      </c>
      <c r="C104" s="2" t="s">
        <v>131</v>
      </c>
      <c r="D104" s="2" t="s">
        <v>35</v>
      </c>
      <c r="E104" s="4" t="s">
        <v>28</v>
      </c>
      <c r="F104" s="2" t="s">
        <v>536</v>
      </c>
      <c r="G104" s="4" t="s">
        <v>197</v>
      </c>
      <c r="H10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4" s="2" t="str">
        <f>IF(OR(LEFT(Table4[[#This Row],[win_prob]],1)="D",LEFT(Table4[[#This Row],[win_prob]],1)="R"),LEFT(Table4[[#This Row],[win_prob]],1),LEFT(Table4[[#This Row],[Category]],1))</f>
        <v>D</v>
      </c>
      <c r="J10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4" s="16" t="str">
        <f>RIGHT(Table4[[#This Row],[Margin]],LEN(Table4[[#This Row],[Margin]])-FIND("+",Table4[[#This Row],[Margin]]))</f>
        <v>50</v>
      </c>
      <c r="M104" s="20" t="str">
        <f>IF(Table4[[#This Row],[listedprob]]=1,"called",IF(LEFT(Table4[[#This Row],[Margin]],1)="D",(Table4[[#This Row],[Numeric Margin]]/2+50)/100,(-Table4[[#This Row],[Numeric Margin]]/2+50)/100))</f>
        <v>called</v>
      </c>
      <c r="N104" s="20" t="str">
        <f>IFERROR(IF(Table4[[#This Row],[D 2pv]]="called","called",Table4[[#This Row],[D 2pv]]*Table4[[#This Row],[Percent of votes in% In]]),Table4[[#This Row],[D 2pv]]*0.95)</f>
        <v>called</v>
      </c>
      <c r="O104" s="20" t="str">
        <f>IF(Table4[[#This Row],[D pct]]="called","called",(Table4[[#This Row],[D 2pv]]+$E$7))</f>
        <v>called</v>
      </c>
      <c r="P10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4" s="21" t="str">
        <f>IF(Table4[[#This Row],[D captured of remain]]="called","called",Table4[[#This Row],[D captured of remain]]+Table4[[#This Row],[D pct]])</f>
        <v>called</v>
      </c>
      <c r="R104" s="22" t="str">
        <f>IF(Table4[[#This Row],[Expected D]]=1,"D",IF(Table4[[#This Row],[Expected R]]=1,"R",IF(Table4[[#This Row],[D total]]&gt;=0.5,"D","R")))</f>
        <v>D</v>
      </c>
      <c r="S104" s="22"/>
      <c r="V104" s="4"/>
    </row>
    <row r="105" spans="2:23" ht="14.5" customHeight="1" x14ac:dyDescent="0.35">
      <c r="B105" s="27">
        <v>96</v>
      </c>
      <c r="C105" s="2" t="s">
        <v>132</v>
      </c>
      <c r="D105" s="2" t="s">
        <v>35</v>
      </c>
      <c r="E105" s="4" t="s">
        <v>28</v>
      </c>
      <c r="F105" s="2" t="s">
        <v>548</v>
      </c>
      <c r="G105" s="4" t="s">
        <v>197</v>
      </c>
      <c r="H10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5" s="2" t="str">
        <f>IF(OR(LEFT(Table4[[#This Row],[win_prob]],1)="D",LEFT(Table4[[#This Row],[win_prob]],1)="R"),LEFT(Table4[[#This Row],[win_prob]],1),LEFT(Table4[[#This Row],[Category]],1))</f>
        <v>D</v>
      </c>
      <c r="J10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5" s="16" t="str">
        <f>RIGHT(Table4[[#This Row],[Margin]],LEN(Table4[[#This Row],[Margin]])-FIND("+",Table4[[#This Row],[Margin]]))</f>
        <v>19</v>
      </c>
      <c r="M105" s="20" t="str">
        <f>IF(Table4[[#This Row],[listedprob]]=1,"called",IF(LEFT(Table4[[#This Row],[Margin]],1)="D",(Table4[[#This Row],[Numeric Margin]]/2+50)/100,(-Table4[[#This Row],[Numeric Margin]]/2+50)/100))</f>
        <v>called</v>
      </c>
      <c r="N105" s="20" t="str">
        <f>IFERROR(IF(Table4[[#This Row],[D 2pv]]="called","called",Table4[[#This Row],[D 2pv]]*Table4[[#This Row],[Percent of votes in% In]]),Table4[[#This Row],[D 2pv]]*0.95)</f>
        <v>called</v>
      </c>
      <c r="O105" s="20" t="str">
        <f>IF(Table4[[#This Row],[D pct]]="called","called",(Table4[[#This Row],[D 2pv]]+$E$7))</f>
        <v>called</v>
      </c>
      <c r="P10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5" s="21" t="str">
        <f>IF(Table4[[#This Row],[D captured of remain]]="called","called",Table4[[#This Row],[D captured of remain]]+Table4[[#This Row],[D pct]])</f>
        <v>called</v>
      </c>
      <c r="R105" s="22" t="str">
        <f>IF(Table4[[#This Row],[Expected D]]=1,"D",IF(Table4[[#This Row],[Expected R]]=1,"R",IF(Table4[[#This Row],[D total]]&gt;=0.5,"D","R")))</f>
        <v>D</v>
      </c>
      <c r="S105" s="22"/>
      <c r="W105" s="4"/>
    </row>
    <row r="106" spans="2:23" ht="14.5" customHeight="1" x14ac:dyDescent="0.35">
      <c r="B106" s="27">
        <v>97</v>
      </c>
      <c r="C106" s="2" t="s">
        <v>133</v>
      </c>
      <c r="D106" s="2" t="s">
        <v>35</v>
      </c>
      <c r="E106" s="4" t="s">
        <v>28</v>
      </c>
      <c r="F106" s="2" t="s">
        <v>525</v>
      </c>
      <c r="G106" s="4" t="s">
        <v>197</v>
      </c>
      <c r="H10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6" s="2" t="str">
        <f>IF(OR(LEFT(Table4[[#This Row],[win_prob]],1)="D",LEFT(Table4[[#This Row],[win_prob]],1)="R"),LEFT(Table4[[#This Row],[win_prob]],1),LEFT(Table4[[#This Row],[Category]],1))</f>
        <v>D</v>
      </c>
      <c r="J10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6" s="16" t="str">
        <f>RIGHT(Table4[[#This Row],[Margin]],LEN(Table4[[#This Row],[Margin]])-FIND("+",Table4[[#This Row],[Margin]]))</f>
        <v>48</v>
      </c>
      <c r="M106" s="20" t="str">
        <f>IF(Table4[[#This Row],[listedprob]]=1,"called",IF(LEFT(Table4[[#This Row],[Margin]],1)="D",(Table4[[#This Row],[Numeric Margin]]/2+50)/100,(-Table4[[#This Row],[Numeric Margin]]/2+50)/100))</f>
        <v>called</v>
      </c>
      <c r="N106" s="20" t="str">
        <f>IFERROR(IF(Table4[[#This Row],[D 2pv]]="called","called",Table4[[#This Row],[D 2pv]]*Table4[[#This Row],[Percent of votes in% In]]),Table4[[#This Row],[D 2pv]]*0.95)</f>
        <v>called</v>
      </c>
      <c r="O106" s="20" t="str">
        <f>IF(Table4[[#This Row],[D pct]]="called","called",(Table4[[#This Row],[D 2pv]]+$E$7))</f>
        <v>called</v>
      </c>
      <c r="P10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6" s="21" t="str">
        <f>IF(Table4[[#This Row],[D captured of remain]]="called","called",Table4[[#This Row],[D captured of remain]]+Table4[[#This Row],[D pct]])</f>
        <v>called</v>
      </c>
      <c r="R106" s="22" t="str">
        <f>IF(Table4[[#This Row],[Expected D]]=1,"D",IF(Table4[[#This Row],[Expected R]]=1,"R",IF(Table4[[#This Row],[D total]]&gt;=0.5,"D","R")))</f>
        <v>D</v>
      </c>
      <c r="S106" s="22"/>
      <c r="W106" s="4"/>
    </row>
    <row r="107" spans="2:23" ht="14.5" customHeight="1" x14ac:dyDescent="0.35">
      <c r="B107" s="27">
        <v>98</v>
      </c>
      <c r="C107" s="2" t="s">
        <v>134</v>
      </c>
      <c r="D107" s="2" t="s">
        <v>35</v>
      </c>
      <c r="E107" s="4" t="s">
        <v>28</v>
      </c>
      <c r="F107" s="2" t="s">
        <v>522</v>
      </c>
      <c r="G107" s="4" t="s">
        <v>197</v>
      </c>
      <c r="H10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7" s="2" t="str">
        <f>IF(OR(LEFT(Table4[[#This Row],[win_prob]],1)="D",LEFT(Table4[[#This Row],[win_prob]],1)="R"),LEFT(Table4[[#This Row],[win_prob]],1),LEFT(Table4[[#This Row],[Category]],1))</f>
        <v>D</v>
      </c>
      <c r="J10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7" s="16" t="str">
        <f>RIGHT(Table4[[#This Row],[Margin]],LEN(Table4[[#This Row],[Margin]])-FIND("+",Table4[[#This Row],[Margin]]))</f>
        <v>24</v>
      </c>
      <c r="M107" s="20" t="str">
        <f>IF(Table4[[#This Row],[listedprob]]=1,"called",IF(LEFT(Table4[[#This Row],[Margin]],1)="D",(Table4[[#This Row],[Numeric Margin]]/2+50)/100,(-Table4[[#This Row],[Numeric Margin]]/2+50)/100))</f>
        <v>called</v>
      </c>
      <c r="N107" s="20" t="str">
        <f>IFERROR(IF(Table4[[#This Row],[D 2pv]]="called","called",Table4[[#This Row],[D 2pv]]*Table4[[#This Row],[Percent of votes in% In]]),Table4[[#This Row],[D 2pv]]*0.95)</f>
        <v>called</v>
      </c>
      <c r="O107" s="20" t="str">
        <f>IF(Table4[[#This Row],[D pct]]="called","called",(Table4[[#This Row],[D 2pv]]+$E$7))</f>
        <v>called</v>
      </c>
      <c r="P10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7" s="21" t="str">
        <f>IF(Table4[[#This Row],[D captured of remain]]="called","called",Table4[[#This Row],[D captured of remain]]+Table4[[#This Row],[D pct]])</f>
        <v>called</v>
      </c>
      <c r="R107" s="22" t="str">
        <f>IF(Table4[[#This Row],[Expected D]]=1,"D",IF(Table4[[#This Row],[Expected R]]=1,"R",IF(Table4[[#This Row],[D total]]&gt;=0.5,"D","R")))</f>
        <v>D</v>
      </c>
      <c r="S107" s="22"/>
      <c r="V107" s="4"/>
    </row>
    <row r="108" spans="2:23" ht="14.5" customHeight="1" x14ac:dyDescent="0.35">
      <c r="B108" s="27">
        <v>99</v>
      </c>
      <c r="C108" s="2" t="s">
        <v>135</v>
      </c>
      <c r="D108" s="2" t="s">
        <v>35</v>
      </c>
      <c r="E108" s="2" t="s">
        <v>28</v>
      </c>
      <c r="F108" s="2" t="s">
        <v>544</v>
      </c>
      <c r="G108" s="4" t="s">
        <v>197</v>
      </c>
      <c r="H10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8" s="2" t="str">
        <f>IF(OR(LEFT(Table4[[#This Row],[win_prob]],1)="D",LEFT(Table4[[#This Row],[win_prob]],1)="R"),LEFT(Table4[[#This Row],[win_prob]],1),LEFT(Table4[[#This Row],[Category]],1))</f>
        <v>D</v>
      </c>
      <c r="J10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8" s="16" t="str">
        <f>RIGHT(Table4[[#This Row],[Margin]],LEN(Table4[[#This Row],[Margin]])-FIND("+",Table4[[#This Row],[Margin]]))</f>
        <v>27</v>
      </c>
      <c r="M108" s="20" t="str">
        <f>IF(Table4[[#This Row],[listedprob]]=1,"called",IF(LEFT(Table4[[#This Row],[Margin]],1)="D",(Table4[[#This Row],[Numeric Margin]]/2+50)/100,(-Table4[[#This Row],[Numeric Margin]]/2+50)/100))</f>
        <v>called</v>
      </c>
      <c r="N108" s="20" t="str">
        <f>IFERROR(IF(Table4[[#This Row],[D 2pv]]="called","called",Table4[[#This Row],[D 2pv]]*Table4[[#This Row],[Percent of votes in% In]]),Table4[[#This Row],[D 2pv]]*0.95)</f>
        <v>called</v>
      </c>
      <c r="O108" s="20" t="str">
        <f>IF(Table4[[#This Row],[D pct]]="called","called",(Table4[[#This Row],[D 2pv]]+$E$7))</f>
        <v>called</v>
      </c>
      <c r="P10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8" s="21" t="str">
        <f>IF(Table4[[#This Row],[D captured of remain]]="called","called",Table4[[#This Row],[D captured of remain]]+Table4[[#This Row],[D pct]])</f>
        <v>called</v>
      </c>
      <c r="R108" s="22" t="str">
        <f>IF(Table4[[#This Row],[Expected D]]=1,"D",IF(Table4[[#This Row],[Expected R]]=1,"R",IF(Table4[[#This Row],[D total]]&gt;=0.5,"D","R")))</f>
        <v>D</v>
      </c>
      <c r="S108" s="22"/>
      <c r="V108" s="4"/>
    </row>
    <row r="109" spans="2:23" ht="14.5" customHeight="1" x14ac:dyDescent="0.35">
      <c r="B109" s="27">
        <v>100</v>
      </c>
      <c r="C109" s="2" t="s">
        <v>136</v>
      </c>
      <c r="D109" s="2" t="s">
        <v>35</v>
      </c>
      <c r="E109" s="4" t="s">
        <v>28</v>
      </c>
      <c r="F109" s="2" t="s">
        <v>527</v>
      </c>
      <c r="G109" s="4" t="s">
        <v>197</v>
      </c>
      <c r="H10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09" s="2" t="str">
        <f>IF(OR(LEFT(Table4[[#This Row],[win_prob]],1)="D",LEFT(Table4[[#This Row],[win_prob]],1)="R"),LEFT(Table4[[#This Row],[win_prob]],1),LEFT(Table4[[#This Row],[Category]],1))</f>
        <v>D</v>
      </c>
      <c r="J10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0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09" s="16" t="str">
        <f>RIGHT(Table4[[#This Row],[Margin]],LEN(Table4[[#This Row],[Margin]])-FIND("+",Table4[[#This Row],[Margin]]))</f>
        <v>16</v>
      </c>
      <c r="M109" s="20" t="str">
        <f>IF(Table4[[#This Row],[listedprob]]=1,"called",IF(LEFT(Table4[[#This Row],[Margin]],1)="D",(Table4[[#This Row],[Numeric Margin]]/2+50)/100,(-Table4[[#This Row],[Numeric Margin]]/2+50)/100))</f>
        <v>called</v>
      </c>
      <c r="N109" s="20" t="str">
        <f>IFERROR(IF(Table4[[#This Row],[D 2pv]]="called","called",Table4[[#This Row],[D 2pv]]*Table4[[#This Row],[Percent of votes in% In]]),Table4[[#This Row],[D 2pv]]*0.95)</f>
        <v>called</v>
      </c>
      <c r="O109" s="20" t="str">
        <f>IF(Table4[[#This Row],[D pct]]="called","called",(Table4[[#This Row],[D 2pv]]+$E$7))</f>
        <v>called</v>
      </c>
      <c r="P10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09" s="21" t="str">
        <f>IF(Table4[[#This Row],[D captured of remain]]="called","called",Table4[[#This Row],[D captured of remain]]+Table4[[#This Row],[D pct]])</f>
        <v>called</v>
      </c>
      <c r="R109" s="22" t="str">
        <f>IF(Table4[[#This Row],[Expected D]]=1,"D",IF(Table4[[#This Row],[Expected R]]=1,"R",IF(Table4[[#This Row],[D total]]&gt;=0.5,"D","R")))</f>
        <v>D</v>
      </c>
      <c r="S109" s="22"/>
      <c r="V109" s="4"/>
    </row>
    <row r="110" spans="2:23" ht="14.5" customHeight="1" x14ac:dyDescent="0.35">
      <c r="B110" s="27">
        <v>101</v>
      </c>
      <c r="C110" s="2" t="s">
        <v>137</v>
      </c>
      <c r="D110" s="2" t="s">
        <v>35</v>
      </c>
      <c r="E110" s="4" t="s">
        <v>28</v>
      </c>
      <c r="F110" s="2" t="s">
        <v>514</v>
      </c>
      <c r="G110" s="4" t="s">
        <v>197</v>
      </c>
      <c r="H11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0" s="2" t="str">
        <f>IF(OR(LEFT(Table4[[#This Row],[win_prob]],1)="D",LEFT(Table4[[#This Row],[win_prob]],1)="R"),LEFT(Table4[[#This Row],[win_prob]],1),LEFT(Table4[[#This Row],[Category]],1))</f>
        <v>D</v>
      </c>
      <c r="J11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0" s="16" t="str">
        <f>RIGHT(Table4[[#This Row],[Margin]],LEN(Table4[[#This Row],[Margin]])-FIND("+",Table4[[#This Row],[Margin]]))</f>
        <v>49</v>
      </c>
      <c r="M110" s="20" t="str">
        <f>IF(Table4[[#This Row],[listedprob]]=1,"called",IF(LEFT(Table4[[#This Row],[Margin]],1)="D",(Table4[[#This Row],[Numeric Margin]]/2+50)/100,(-Table4[[#This Row],[Numeric Margin]]/2+50)/100))</f>
        <v>called</v>
      </c>
      <c r="N110" s="20" t="str">
        <f>IFERROR(IF(Table4[[#This Row],[D 2pv]]="called","called",Table4[[#This Row],[D 2pv]]*Table4[[#This Row],[Percent of votes in% In]]),Table4[[#This Row],[D 2pv]]*0.95)</f>
        <v>called</v>
      </c>
      <c r="O110" s="20" t="str">
        <f>IF(Table4[[#This Row],[D pct]]="called","called",(Table4[[#This Row],[D 2pv]]+$E$7))</f>
        <v>called</v>
      </c>
      <c r="P11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0" s="21" t="str">
        <f>IF(Table4[[#This Row],[D captured of remain]]="called","called",Table4[[#This Row],[D captured of remain]]+Table4[[#This Row],[D pct]])</f>
        <v>called</v>
      </c>
      <c r="R110" s="22" t="str">
        <f>IF(Table4[[#This Row],[Expected D]]=1,"D",IF(Table4[[#This Row],[Expected R]]=1,"R",IF(Table4[[#This Row],[D total]]&gt;=0.5,"D","R")))</f>
        <v>D</v>
      </c>
      <c r="S110" s="22"/>
    </row>
    <row r="111" spans="2:23" ht="14.5" customHeight="1" x14ac:dyDescent="0.35">
      <c r="B111" s="27">
        <v>102</v>
      </c>
      <c r="C111" s="2" t="s">
        <v>138</v>
      </c>
      <c r="D111" s="2" t="s">
        <v>35</v>
      </c>
      <c r="E111" s="4" t="s">
        <v>28</v>
      </c>
      <c r="F111" s="2" t="s">
        <v>523</v>
      </c>
      <c r="G111" s="4" t="s">
        <v>197</v>
      </c>
      <c r="H11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1" s="2" t="str">
        <f>IF(OR(LEFT(Table4[[#This Row],[win_prob]],1)="D",LEFT(Table4[[#This Row],[win_prob]],1)="R"),LEFT(Table4[[#This Row],[win_prob]],1),LEFT(Table4[[#This Row],[Category]],1))</f>
        <v>D</v>
      </c>
      <c r="J11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1" s="16" t="str">
        <f>RIGHT(Table4[[#This Row],[Margin]],LEN(Table4[[#This Row],[Margin]])-FIND("+",Table4[[#This Row],[Margin]]))</f>
        <v>10</v>
      </c>
      <c r="M111" s="20" t="str">
        <f>IF(Table4[[#This Row],[listedprob]]=1,"called",IF(LEFT(Table4[[#This Row],[Margin]],1)="D",(Table4[[#This Row],[Numeric Margin]]/2+50)/100,(-Table4[[#This Row],[Numeric Margin]]/2+50)/100))</f>
        <v>called</v>
      </c>
      <c r="N111" s="20" t="str">
        <f>IFERROR(IF(Table4[[#This Row],[D 2pv]]="called","called",Table4[[#This Row],[D 2pv]]*Table4[[#This Row],[Percent of votes in% In]]),Table4[[#This Row],[D 2pv]]*0.95)</f>
        <v>called</v>
      </c>
      <c r="O111" s="20" t="str">
        <f>IF(Table4[[#This Row],[D pct]]="called","called",(Table4[[#This Row],[D 2pv]]+$E$7))</f>
        <v>called</v>
      </c>
      <c r="P11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1" s="21" t="str">
        <f>IF(Table4[[#This Row],[D captured of remain]]="called","called",Table4[[#This Row],[D captured of remain]]+Table4[[#This Row],[D pct]])</f>
        <v>called</v>
      </c>
      <c r="R111" s="22" t="str">
        <f>IF(Table4[[#This Row],[Expected D]]=1,"D",IF(Table4[[#This Row],[Expected R]]=1,"R",IF(Table4[[#This Row],[D total]]&gt;=0.5,"D","R")))</f>
        <v>D</v>
      </c>
      <c r="S111" s="22"/>
    </row>
    <row r="112" spans="2:23" ht="14.5" customHeight="1" x14ac:dyDescent="0.35">
      <c r="B112" s="27">
        <v>103</v>
      </c>
      <c r="C112" s="2" t="s">
        <v>139</v>
      </c>
      <c r="D112" s="2" t="s">
        <v>35</v>
      </c>
      <c r="E112" s="4" t="s">
        <v>28</v>
      </c>
      <c r="F112" s="2" t="s">
        <v>532</v>
      </c>
      <c r="G112" s="4" t="s">
        <v>197</v>
      </c>
      <c r="H11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2" s="2" t="str">
        <f>IF(OR(LEFT(Table4[[#This Row],[win_prob]],1)="D",LEFT(Table4[[#This Row],[win_prob]],1)="R"),LEFT(Table4[[#This Row],[win_prob]],1),LEFT(Table4[[#This Row],[Category]],1))</f>
        <v>D</v>
      </c>
      <c r="J11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2" s="16" t="str">
        <f>RIGHT(Table4[[#This Row],[Margin]],LEN(Table4[[#This Row],[Margin]])-FIND("+",Table4[[#This Row],[Margin]]))</f>
        <v>57</v>
      </c>
      <c r="M112" s="20" t="str">
        <f>IF(Table4[[#This Row],[listedprob]]=1,"called",IF(LEFT(Table4[[#This Row],[Margin]],1)="D",(Table4[[#This Row],[Numeric Margin]]/2+50)/100,(-Table4[[#This Row],[Numeric Margin]]/2+50)/100))</f>
        <v>called</v>
      </c>
      <c r="N112" s="20" t="str">
        <f>IFERROR(IF(Table4[[#This Row],[D 2pv]]="called","called",Table4[[#This Row],[D 2pv]]*Table4[[#This Row],[Percent of votes in% In]]),Table4[[#This Row],[D 2pv]]*0.95)</f>
        <v>called</v>
      </c>
      <c r="O112" s="20" t="str">
        <f>IF(Table4[[#This Row],[D pct]]="called","called",(Table4[[#This Row],[D 2pv]]+$E$7))</f>
        <v>called</v>
      </c>
      <c r="P11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2" s="21" t="str">
        <f>IF(Table4[[#This Row],[D captured of remain]]="called","called",Table4[[#This Row],[D captured of remain]]+Table4[[#This Row],[D pct]])</f>
        <v>called</v>
      </c>
      <c r="R112" s="22" t="str">
        <f>IF(Table4[[#This Row],[Expected D]]=1,"D",IF(Table4[[#This Row],[Expected R]]=1,"R",IF(Table4[[#This Row],[D total]]&gt;=0.5,"D","R")))</f>
        <v>D</v>
      </c>
      <c r="S112" s="22"/>
      <c r="V112" s="4"/>
    </row>
    <row r="113" spans="2:23" ht="14.5" customHeight="1" x14ac:dyDescent="0.35">
      <c r="B113" s="27">
        <v>104</v>
      </c>
      <c r="C113" s="2" t="s">
        <v>140</v>
      </c>
      <c r="D113" s="2" t="s">
        <v>35</v>
      </c>
      <c r="E113" s="4" t="s">
        <v>28</v>
      </c>
      <c r="F113" s="2" t="s">
        <v>516</v>
      </c>
      <c r="G113" s="4" t="s">
        <v>197</v>
      </c>
      <c r="H11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3" s="2" t="str">
        <f>IF(OR(LEFT(Table4[[#This Row],[win_prob]],1)="D",LEFT(Table4[[#This Row],[win_prob]],1)="R"),LEFT(Table4[[#This Row],[win_prob]],1),LEFT(Table4[[#This Row],[Category]],1))</f>
        <v>D</v>
      </c>
      <c r="J11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3" s="16" t="str">
        <f>RIGHT(Table4[[#This Row],[Margin]],LEN(Table4[[#This Row],[Margin]])-FIND("+",Table4[[#This Row],[Margin]]))</f>
        <v>17</v>
      </c>
      <c r="M113" s="20" t="str">
        <f>IF(Table4[[#This Row],[listedprob]]=1,"called",IF(LEFT(Table4[[#This Row],[Margin]],1)="D",(Table4[[#This Row],[Numeric Margin]]/2+50)/100,(-Table4[[#This Row],[Numeric Margin]]/2+50)/100))</f>
        <v>called</v>
      </c>
      <c r="N113" s="20" t="str">
        <f>IFERROR(IF(Table4[[#This Row],[D 2pv]]="called","called",Table4[[#This Row],[D 2pv]]*Table4[[#This Row],[Percent of votes in% In]]),Table4[[#This Row],[D 2pv]]*0.95)</f>
        <v>called</v>
      </c>
      <c r="O113" s="20" t="str">
        <f>IF(Table4[[#This Row],[D pct]]="called","called",(Table4[[#This Row],[D 2pv]]+$E$7))</f>
        <v>called</v>
      </c>
      <c r="P11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3" s="21" t="str">
        <f>IF(Table4[[#This Row],[D captured of remain]]="called","called",Table4[[#This Row],[D captured of remain]]+Table4[[#This Row],[D pct]])</f>
        <v>called</v>
      </c>
      <c r="R113" s="22" t="str">
        <f>IF(Table4[[#This Row],[Expected D]]=1,"D",IF(Table4[[#This Row],[Expected R]]=1,"R",IF(Table4[[#This Row],[D total]]&gt;=0.5,"D","R")))</f>
        <v>D</v>
      </c>
      <c r="S113" s="22"/>
      <c r="V113" s="4"/>
    </row>
    <row r="114" spans="2:23" ht="14.5" customHeight="1" x14ac:dyDescent="0.35">
      <c r="B114" s="27">
        <v>105</v>
      </c>
      <c r="C114" s="2" t="s">
        <v>141</v>
      </c>
      <c r="D114" s="2" t="s">
        <v>35</v>
      </c>
      <c r="E114" s="4" t="s">
        <v>28</v>
      </c>
      <c r="F114" s="2" t="s">
        <v>534</v>
      </c>
      <c r="G114" s="4" t="s">
        <v>197</v>
      </c>
      <c r="H11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4" s="2" t="str">
        <f>IF(OR(LEFT(Table4[[#This Row],[win_prob]],1)="D",LEFT(Table4[[#This Row],[win_prob]],1)="R"),LEFT(Table4[[#This Row],[win_prob]],1),LEFT(Table4[[#This Row],[Category]],1))</f>
        <v>D</v>
      </c>
      <c r="J11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4" s="16" t="str">
        <f>RIGHT(Table4[[#This Row],[Margin]],LEN(Table4[[#This Row],[Margin]])-FIND("+",Table4[[#This Row],[Margin]]))</f>
        <v>22</v>
      </c>
      <c r="M114" s="20" t="str">
        <f>IF(Table4[[#This Row],[listedprob]]=1,"called",IF(LEFT(Table4[[#This Row],[Margin]],1)="D",(Table4[[#This Row],[Numeric Margin]]/2+50)/100,(-Table4[[#This Row],[Numeric Margin]]/2+50)/100))</f>
        <v>called</v>
      </c>
      <c r="N114" s="20" t="str">
        <f>IFERROR(IF(Table4[[#This Row],[D 2pv]]="called","called",Table4[[#This Row],[D 2pv]]*Table4[[#This Row],[Percent of votes in% In]]),Table4[[#This Row],[D 2pv]]*0.95)</f>
        <v>called</v>
      </c>
      <c r="O114" s="20" t="str">
        <f>IF(Table4[[#This Row],[D pct]]="called","called",(Table4[[#This Row],[D 2pv]]+$E$7))</f>
        <v>called</v>
      </c>
      <c r="P11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4" s="21" t="str">
        <f>IF(Table4[[#This Row],[D captured of remain]]="called","called",Table4[[#This Row],[D captured of remain]]+Table4[[#This Row],[D pct]])</f>
        <v>called</v>
      </c>
      <c r="R114" s="22" t="str">
        <f>IF(Table4[[#This Row],[Expected D]]=1,"D",IF(Table4[[#This Row],[Expected R]]=1,"R",IF(Table4[[#This Row],[D total]]&gt;=0.5,"D","R")))</f>
        <v>D</v>
      </c>
      <c r="S114" s="22"/>
      <c r="W114" s="4"/>
    </row>
    <row r="115" spans="2:23" ht="14.5" customHeight="1" x14ac:dyDescent="0.35">
      <c r="B115" s="27">
        <v>106</v>
      </c>
      <c r="C115" s="2" t="s">
        <v>142</v>
      </c>
      <c r="D115" s="2" t="s">
        <v>35</v>
      </c>
      <c r="E115" s="4" t="s">
        <v>28</v>
      </c>
      <c r="F115" s="2" t="s">
        <v>550</v>
      </c>
      <c r="G115" s="4" t="s">
        <v>197</v>
      </c>
      <c r="H11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5" s="2" t="str">
        <f>IF(OR(LEFT(Table4[[#This Row],[win_prob]],1)="D",LEFT(Table4[[#This Row],[win_prob]],1)="R"),LEFT(Table4[[#This Row],[win_prob]],1),LEFT(Table4[[#This Row],[Category]],1))</f>
        <v>D</v>
      </c>
      <c r="J11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5" s="16" t="str">
        <f>RIGHT(Table4[[#This Row],[Margin]],LEN(Table4[[#This Row],[Margin]])-FIND("+",Table4[[#This Row],[Margin]]))</f>
        <v>11</v>
      </c>
      <c r="M115" s="20" t="str">
        <f>IF(Table4[[#This Row],[listedprob]]=1,"called",IF(LEFT(Table4[[#This Row],[Margin]],1)="D",(Table4[[#This Row],[Numeric Margin]]/2+50)/100,(-Table4[[#This Row],[Numeric Margin]]/2+50)/100))</f>
        <v>called</v>
      </c>
      <c r="N115" s="20" t="str">
        <f>IFERROR(IF(Table4[[#This Row],[D 2pv]]="called","called",Table4[[#This Row],[D 2pv]]*Table4[[#This Row],[Percent of votes in% In]]),Table4[[#This Row],[D 2pv]]*0.95)</f>
        <v>called</v>
      </c>
      <c r="O115" s="20" t="str">
        <f>IF(Table4[[#This Row],[D pct]]="called","called",(Table4[[#This Row],[D 2pv]]+$E$7))</f>
        <v>called</v>
      </c>
      <c r="P11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5" s="21" t="str">
        <f>IF(Table4[[#This Row],[D captured of remain]]="called","called",Table4[[#This Row],[D captured of remain]]+Table4[[#This Row],[D pct]])</f>
        <v>called</v>
      </c>
      <c r="R115" s="22" t="str">
        <f>IF(Table4[[#This Row],[Expected D]]=1,"D",IF(Table4[[#This Row],[Expected R]]=1,"R",IF(Table4[[#This Row],[D total]]&gt;=0.5,"D","R")))</f>
        <v>D</v>
      </c>
      <c r="S115" s="22"/>
      <c r="W115" s="4"/>
    </row>
    <row r="116" spans="2:23" ht="14.5" customHeight="1" x14ac:dyDescent="0.35">
      <c r="B116" s="27">
        <v>107</v>
      </c>
      <c r="C116" s="2" t="s">
        <v>143</v>
      </c>
      <c r="D116" s="2" t="s">
        <v>35</v>
      </c>
      <c r="E116" s="4" t="s">
        <v>28</v>
      </c>
      <c r="F116" s="2" t="s">
        <v>536</v>
      </c>
      <c r="G116" s="4" t="s">
        <v>197</v>
      </c>
      <c r="H11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6" s="2" t="str">
        <f>IF(OR(LEFT(Table4[[#This Row],[win_prob]],1)="D",LEFT(Table4[[#This Row],[win_prob]],1)="R"),LEFT(Table4[[#This Row],[win_prob]],1),LEFT(Table4[[#This Row],[Category]],1))</f>
        <v>D</v>
      </c>
      <c r="J11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6" s="16" t="str">
        <f>RIGHT(Table4[[#This Row],[Margin]],LEN(Table4[[#This Row],[Margin]])-FIND("+",Table4[[#This Row],[Margin]]))</f>
        <v>50</v>
      </c>
      <c r="M116" s="20" t="str">
        <f>IF(Table4[[#This Row],[listedprob]]=1,"called",IF(LEFT(Table4[[#This Row],[Margin]],1)="D",(Table4[[#This Row],[Numeric Margin]]/2+50)/100,(-Table4[[#This Row],[Numeric Margin]]/2+50)/100))</f>
        <v>called</v>
      </c>
      <c r="N116" s="20" t="str">
        <f>IFERROR(IF(Table4[[#This Row],[D 2pv]]="called","called",Table4[[#This Row],[D 2pv]]*Table4[[#This Row],[Percent of votes in% In]]),Table4[[#This Row],[D 2pv]]*0.95)</f>
        <v>called</v>
      </c>
      <c r="O116" s="20" t="str">
        <f>IF(Table4[[#This Row],[D pct]]="called","called",(Table4[[#This Row],[D 2pv]]+$E$7))</f>
        <v>called</v>
      </c>
      <c r="P11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6" s="21" t="str">
        <f>IF(Table4[[#This Row],[D captured of remain]]="called","called",Table4[[#This Row],[D captured of remain]]+Table4[[#This Row],[D pct]])</f>
        <v>called</v>
      </c>
      <c r="R116" s="22" t="str">
        <f>IF(Table4[[#This Row],[Expected D]]=1,"D",IF(Table4[[#This Row],[Expected R]]=1,"R",IF(Table4[[#This Row],[D total]]&gt;=0.5,"D","R")))</f>
        <v>D</v>
      </c>
      <c r="S116" s="22"/>
      <c r="V116" s="4"/>
    </row>
    <row r="117" spans="2:23" ht="14.5" customHeight="1" x14ac:dyDescent="0.35">
      <c r="B117" s="27">
        <v>108</v>
      </c>
      <c r="C117" s="2" t="s">
        <v>144</v>
      </c>
      <c r="D117" s="2" t="s">
        <v>35</v>
      </c>
      <c r="E117" s="4" t="s">
        <v>28</v>
      </c>
      <c r="F117" s="2" t="s">
        <v>544</v>
      </c>
      <c r="G117" s="4" t="s">
        <v>197</v>
      </c>
      <c r="H11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7" s="2" t="str">
        <f>IF(OR(LEFT(Table4[[#This Row],[win_prob]],1)="D",LEFT(Table4[[#This Row],[win_prob]],1)="R"),LEFT(Table4[[#This Row],[win_prob]],1),LEFT(Table4[[#This Row],[Category]],1))</f>
        <v>D</v>
      </c>
      <c r="J11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7" s="16" t="str">
        <f>RIGHT(Table4[[#This Row],[Margin]],LEN(Table4[[#This Row],[Margin]])-FIND("+",Table4[[#This Row],[Margin]]))</f>
        <v>27</v>
      </c>
      <c r="M117" s="20" t="str">
        <f>IF(Table4[[#This Row],[listedprob]]=1,"called",IF(LEFT(Table4[[#This Row],[Margin]],1)="D",(Table4[[#This Row],[Numeric Margin]]/2+50)/100,(-Table4[[#This Row],[Numeric Margin]]/2+50)/100))</f>
        <v>called</v>
      </c>
      <c r="N117" s="20" t="str">
        <f>IFERROR(IF(Table4[[#This Row],[D 2pv]]="called","called",Table4[[#This Row],[D 2pv]]*Table4[[#This Row],[Percent of votes in% In]]),Table4[[#This Row],[D 2pv]]*0.95)</f>
        <v>called</v>
      </c>
      <c r="O117" s="20" t="str">
        <f>IF(Table4[[#This Row],[D pct]]="called","called",(Table4[[#This Row],[D 2pv]]+$E$7))</f>
        <v>called</v>
      </c>
      <c r="P11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7" s="21" t="str">
        <f>IF(Table4[[#This Row],[D captured of remain]]="called","called",Table4[[#This Row],[D captured of remain]]+Table4[[#This Row],[D pct]])</f>
        <v>called</v>
      </c>
      <c r="R117" s="22" t="str">
        <f>IF(Table4[[#This Row],[Expected D]]=1,"D",IF(Table4[[#This Row],[Expected R]]=1,"R",IF(Table4[[#This Row],[D total]]&gt;=0.5,"D","R")))</f>
        <v>D</v>
      </c>
      <c r="S117" s="22"/>
      <c r="V117" s="4"/>
    </row>
    <row r="118" spans="2:23" ht="14.5" customHeight="1" x14ac:dyDescent="0.35">
      <c r="B118" s="27">
        <v>109</v>
      </c>
      <c r="C118" s="2" t="s">
        <v>145</v>
      </c>
      <c r="D118" s="2" t="s">
        <v>35</v>
      </c>
      <c r="E118" s="4" t="s">
        <v>28</v>
      </c>
      <c r="F118" s="2" t="s">
        <v>551</v>
      </c>
      <c r="G118" s="4" t="s">
        <v>197</v>
      </c>
      <c r="H11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8" s="2" t="str">
        <f>IF(OR(LEFT(Table4[[#This Row],[win_prob]],1)="D",LEFT(Table4[[#This Row],[win_prob]],1)="R"),LEFT(Table4[[#This Row],[win_prob]],1),LEFT(Table4[[#This Row],[Category]],1))</f>
        <v>D</v>
      </c>
      <c r="J11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8" s="16" t="str">
        <f>RIGHT(Table4[[#This Row],[Margin]],LEN(Table4[[#This Row],[Margin]])-FIND("+",Table4[[#This Row],[Margin]]))</f>
        <v>61</v>
      </c>
      <c r="M118" s="20" t="str">
        <f>IF(Table4[[#This Row],[listedprob]]=1,"called",IF(LEFT(Table4[[#This Row],[Margin]],1)="D",(Table4[[#This Row],[Numeric Margin]]/2+50)/100,(-Table4[[#This Row],[Numeric Margin]]/2+50)/100))</f>
        <v>called</v>
      </c>
      <c r="N118" s="20" t="str">
        <f>IFERROR(IF(Table4[[#This Row],[D 2pv]]="called","called",Table4[[#This Row],[D 2pv]]*Table4[[#This Row],[Percent of votes in% In]]),Table4[[#This Row],[D 2pv]]*0.95)</f>
        <v>called</v>
      </c>
      <c r="O118" s="20" t="str">
        <f>IF(Table4[[#This Row],[D pct]]="called","called",(Table4[[#This Row],[D 2pv]]+$E$7))</f>
        <v>called</v>
      </c>
      <c r="P11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8" s="21" t="str">
        <f>IF(Table4[[#This Row],[D captured of remain]]="called","called",Table4[[#This Row],[D captured of remain]]+Table4[[#This Row],[D pct]])</f>
        <v>called</v>
      </c>
      <c r="R118" s="22" t="str">
        <f>IF(Table4[[#This Row],[Expected D]]=1,"D",IF(Table4[[#This Row],[Expected R]]=1,"R",IF(Table4[[#This Row],[D total]]&gt;=0.5,"D","R")))</f>
        <v>D</v>
      </c>
      <c r="S118" s="22"/>
      <c r="V118" s="4"/>
    </row>
    <row r="119" spans="2:23" ht="14.5" customHeight="1" x14ac:dyDescent="0.35">
      <c r="B119" s="27">
        <v>110</v>
      </c>
      <c r="C119" s="2" t="s">
        <v>146</v>
      </c>
      <c r="D119" s="2" t="s">
        <v>35</v>
      </c>
      <c r="E119" s="4" t="s">
        <v>28</v>
      </c>
      <c r="F119" s="2" t="s">
        <v>531</v>
      </c>
      <c r="G119" s="4" t="s">
        <v>197</v>
      </c>
      <c r="H11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19" s="2" t="str">
        <f>IF(OR(LEFT(Table4[[#This Row],[win_prob]],1)="D",LEFT(Table4[[#This Row],[win_prob]],1)="R"),LEFT(Table4[[#This Row],[win_prob]],1),LEFT(Table4[[#This Row],[Category]],1))</f>
        <v>D</v>
      </c>
      <c r="J11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1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19" s="16" t="str">
        <f>RIGHT(Table4[[#This Row],[Margin]],LEN(Table4[[#This Row],[Margin]])-FIND("+",Table4[[#This Row],[Margin]]))</f>
        <v>45</v>
      </c>
      <c r="M119" s="20" t="str">
        <f>IF(Table4[[#This Row],[listedprob]]=1,"called",IF(LEFT(Table4[[#This Row],[Margin]],1)="D",(Table4[[#This Row],[Numeric Margin]]/2+50)/100,(-Table4[[#This Row],[Numeric Margin]]/2+50)/100))</f>
        <v>called</v>
      </c>
      <c r="N119" s="20" t="str">
        <f>IFERROR(IF(Table4[[#This Row],[D 2pv]]="called","called",Table4[[#This Row],[D 2pv]]*Table4[[#This Row],[Percent of votes in% In]]),Table4[[#This Row],[D 2pv]]*0.95)</f>
        <v>called</v>
      </c>
      <c r="O119" s="20" t="str">
        <f>IF(Table4[[#This Row],[D pct]]="called","called",(Table4[[#This Row],[D 2pv]]+$E$7))</f>
        <v>called</v>
      </c>
      <c r="P11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19" s="21" t="str">
        <f>IF(Table4[[#This Row],[D captured of remain]]="called","called",Table4[[#This Row],[D captured of remain]]+Table4[[#This Row],[D pct]])</f>
        <v>called</v>
      </c>
      <c r="R119" s="22" t="str">
        <f>IF(Table4[[#This Row],[Expected D]]=1,"D",IF(Table4[[#This Row],[Expected R]]=1,"R",IF(Table4[[#This Row],[D total]]&gt;=0.5,"D","R")))</f>
        <v>D</v>
      </c>
      <c r="S119" s="22"/>
      <c r="V119" s="4"/>
    </row>
    <row r="120" spans="2:23" ht="14.5" customHeight="1" x14ac:dyDescent="0.35">
      <c r="B120" s="27">
        <v>111</v>
      </c>
      <c r="C120" s="2" t="s">
        <v>147</v>
      </c>
      <c r="D120" s="2" t="s">
        <v>35</v>
      </c>
      <c r="E120" s="4" t="s">
        <v>28</v>
      </c>
      <c r="F120" s="2" t="s">
        <v>535</v>
      </c>
      <c r="G120" s="4" t="s">
        <v>197</v>
      </c>
      <c r="H12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0" s="2" t="str">
        <f>IF(OR(LEFT(Table4[[#This Row],[win_prob]],1)="D",LEFT(Table4[[#This Row],[win_prob]],1)="R"),LEFT(Table4[[#This Row],[win_prob]],1),LEFT(Table4[[#This Row],[Category]],1))</f>
        <v>D</v>
      </c>
      <c r="J12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0" s="16" t="str">
        <f>RIGHT(Table4[[#This Row],[Margin]],LEN(Table4[[#This Row],[Margin]])-FIND("+",Table4[[#This Row],[Margin]]))</f>
        <v>64</v>
      </c>
      <c r="M120" s="20" t="str">
        <f>IF(Table4[[#This Row],[listedprob]]=1,"called",IF(LEFT(Table4[[#This Row],[Margin]],1)="D",(Table4[[#This Row],[Numeric Margin]]/2+50)/100,(-Table4[[#This Row],[Numeric Margin]]/2+50)/100))</f>
        <v>called</v>
      </c>
      <c r="N120" s="20" t="str">
        <f>IFERROR(IF(Table4[[#This Row],[D 2pv]]="called","called",Table4[[#This Row],[D 2pv]]*Table4[[#This Row],[Percent of votes in% In]]),Table4[[#This Row],[D 2pv]]*0.95)</f>
        <v>called</v>
      </c>
      <c r="O120" s="20" t="str">
        <f>IF(Table4[[#This Row],[D pct]]="called","called",(Table4[[#This Row],[D 2pv]]+$E$7))</f>
        <v>called</v>
      </c>
      <c r="P12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0" s="21" t="str">
        <f>IF(Table4[[#This Row],[D captured of remain]]="called","called",Table4[[#This Row],[D captured of remain]]+Table4[[#This Row],[D pct]])</f>
        <v>called</v>
      </c>
      <c r="R120" s="22" t="str">
        <f>IF(Table4[[#This Row],[Expected D]]=1,"D",IF(Table4[[#This Row],[Expected R]]=1,"R",IF(Table4[[#This Row],[D total]]&gt;=0.5,"D","R")))</f>
        <v>D</v>
      </c>
      <c r="S120" s="22"/>
      <c r="V120" s="4"/>
    </row>
    <row r="121" spans="2:23" ht="14.5" customHeight="1" x14ac:dyDescent="0.35">
      <c r="B121" s="27">
        <v>112</v>
      </c>
      <c r="C121" s="2" t="s">
        <v>148</v>
      </c>
      <c r="D121" s="2" t="s">
        <v>35</v>
      </c>
      <c r="E121" s="4" t="s">
        <v>28</v>
      </c>
      <c r="F121" s="2" t="s">
        <v>546</v>
      </c>
      <c r="G121" s="4" t="s">
        <v>197</v>
      </c>
      <c r="H12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1" s="2" t="str">
        <f>IF(OR(LEFT(Table4[[#This Row],[win_prob]],1)="D",LEFT(Table4[[#This Row],[win_prob]],1)="R"),LEFT(Table4[[#This Row],[win_prob]],1),LEFT(Table4[[#This Row],[Category]],1))</f>
        <v>D</v>
      </c>
      <c r="J12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1" s="16" t="str">
        <f>RIGHT(Table4[[#This Row],[Margin]],LEN(Table4[[#This Row],[Margin]])-FIND("+",Table4[[#This Row],[Margin]]))</f>
        <v>69</v>
      </c>
      <c r="M121" s="20" t="str">
        <f>IF(Table4[[#This Row],[listedprob]]=1,"called",IF(LEFT(Table4[[#This Row],[Margin]],1)="D",(Table4[[#This Row],[Numeric Margin]]/2+50)/100,(-Table4[[#This Row],[Numeric Margin]]/2+50)/100))</f>
        <v>called</v>
      </c>
      <c r="N121" s="20" t="str">
        <f>IFERROR(IF(Table4[[#This Row],[D 2pv]]="called","called",Table4[[#This Row],[D 2pv]]*Table4[[#This Row],[Percent of votes in% In]]),Table4[[#This Row],[D 2pv]]*0.95)</f>
        <v>called</v>
      </c>
      <c r="O121" s="20" t="str">
        <f>IF(Table4[[#This Row],[D pct]]="called","called",(Table4[[#This Row],[D 2pv]]+$E$7))</f>
        <v>called</v>
      </c>
      <c r="P12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1" s="21" t="str">
        <f>IF(Table4[[#This Row],[D captured of remain]]="called","called",Table4[[#This Row],[D captured of remain]]+Table4[[#This Row],[D pct]])</f>
        <v>called</v>
      </c>
      <c r="R121" s="22" t="str">
        <f>IF(Table4[[#This Row],[Expected D]]=1,"D",IF(Table4[[#This Row],[Expected R]]=1,"R",IF(Table4[[#This Row],[D total]]&gt;=0.5,"D","R")))</f>
        <v>D</v>
      </c>
      <c r="S121" s="22"/>
      <c r="V121" s="4"/>
    </row>
    <row r="122" spans="2:23" ht="14.5" customHeight="1" x14ac:dyDescent="0.35">
      <c r="B122" s="27">
        <v>113</v>
      </c>
      <c r="C122" s="2" t="s">
        <v>149</v>
      </c>
      <c r="D122" s="2" t="s">
        <v>35</v>
      </c>
      <c r="E122" s="4" t="s">
        <v>28</v>
      </c>
      <c r="F122" s="2" t="s">
        <v>535</v>
      </c>
      <c r="G122" s="4" t="s">
        <v>197</v>
      </c>
      <c r="H12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2" s="2" t="str">
        <f>IF(OR(LEFT(Table4[[#This Row],[win_prob]],1)="D",LEFT(Table4[[#This Row],[win_prob]],1)="R"),LEFT(Table4[[#This Row],[win_prob]],1),LEFT(Table4[[#This Row],[Category]],1))</f>
        <v>D</v>
      </c>
      <c r="J12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2" s="16" t="str">
        <f>RIGHT(Table4[[#This Row],[Margin]],LEN(Table4[[#This Row],[Margin]])-FIND("+",Table4[[#This Row],[Margin]]))</f>
        <v>64</v>
      </c>
      <c r="M122" s="20" t="str">
        <f>IF(Table4[[#This Row],[listedprob]]=1,"called",IF(LEFT(Table4[[#This Row],[Margin]],1)="D",(Table4[[#This Row],[Numeric Margin]]/2+50)/100,(-Table4[[#This Row],[Numeric Margin]]/2+50)/100))</f>
        <v>called</v>
      </c>
      <c r="N122" s="20" t="str">
        <f>IFERROR(IF(Table4[[#This Row],[D 2pv]]="called","called",Table4[[#This Row],[D 2pv]]*Table4[[#This Row],[Percent of votes in% In]]),Table4[[#This Row],[D 2pv]]*0.95)</f>
        <v>called</v>
      </c>
      <c r="O122" s="20" t="str">
        <f>IF(Table4[[#This Row],[D pct]]="called","called",(Table4[[#This Row],[D 2pv]]+$E$7))</f>
        <v>called</v>
      </c>
      <c r="P12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2" s="21" t="str">
        <f>IF(Table4[[#This Row],[D captured of remain]]="called","called",Table4[[#This Row],[D captured of remain]]+Table4[[#This Row],[D pct]])</f>
        <v>called</v>
      </c>
      <c r="R122" s="22" t="str">
        <f>IF(Table4[[#This Row],[Expected D]]=1,"D",IF(Table4[[#This Row],[Expected R]]=1,"R",IF(Table4[[#This Row],[D total]]&gt;=0.5,"D","R")))</f>
        <v>D</v>
      </c>
      <c r="S122" s="22"/>
      <c r="V122" s="4"/>
    </row>
    <row r="123" spans="2:23" ht="14.5" customHeight="1" x14ac:dyDescent="0.35">
      <c r="B123" s="27">
        <v>114</v>
      </c>
      <c r="C123" s="2" t="s">
        <v>150</v>
      </c>
      <c r="D123" s="2" t="s">
        <v>102</v>
      </c>
      <c r="E123" s="4">
        <v>0</v>
      </c>
      <c r="F123" s="2" t="s">
        <v>540</v>
      </c>
      <c r="G123" s="4" t="s">
        <v>197</v>
      </c>
      <c r="H12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3" s="2" t="str">
        <f>IF(OR(LEFT(Table4[[#This Row],[win_prob]],1)="D",LEFT(Table4[[#This Row],[win_prob]],1)="R"),LEFT(Table4[[#This Row],[win_prob]],1),LEFT(Table4[[#This Row],[Category]],1))</f>
        <v>D</v>
      </c>
      <c r="J12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3" s="16" t="e">
        <f>RIGHT(Table4[[#This Row],[Margin]],LEN(Table4[[#This Row],[Margin]])-FIND("+",Table4[[#This Row],[Margin]]))</f>
        <v>#VALUE!</v>
      </c>
      <c r="M123" s="20" t="str">
        <f>IF(Table4[[#This Row],[listedprob]]=1,"called",IF(LEFT(Table4[[#This Row],[Margin]],1)="D",(Table4[[#This Row],[Numeric Margin]]/2+50)/100,(-Table4[[#This Row],[Numeric Margin]]/2+50)/100))</f>
        <v>called</v>
      </c>
      <c r="N123" s="20" t="str">
        <f>IFERROR(IF(Table4[[#This Row],[D 2pv]]="called","called",Table4[[#This Row],[D 2pv]]*Table4[[#This Row],[Percent of votes in% In]]),Table4[[#This Row],[D 2pv]]*0.95)</f>
        <v>called</v>
      </c>
      <c r="O123" s="20" t="str">
        <f>IF(Table4[[#This Row],[D pct]]="called","called",(Table4[[#This Row],[D 2pv]]+$E$7))</f>
        <v>called</v>
      </c>
      <c r="P12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3" s="21" t="str">
        <f>IF(Table4[[#This Row],[D captured of remain]]="called","called",Table4[[#This Row],[D captured of remain]]+Table4[[#This Row],[D pct]])</f>
        <v>called</v>
      </c>
      <c r="R123" s="22" t="str">
        <f>IF(Table4[[#This Row],[Expected D]]=1,"D",IF(Table4[[#This Row],[Expected R]]=1,"R",IF(Table4[[#This Row],[D total]]&gt;=0.5,"D","R")))</f>
        <v>D</v>
      </c>
      <c r="S123" s="22"/>
      <c r="V123" s="4"/>
      <c r="W123" s="4"/>
    </row>
    <row r="124" spans="2:23" ht="14.5" customHeight="1" x14ac:dyDescent="0.35">
      <c r="B124" s="27">
        <v>115</v>
      </c>
      <c r="C124" s="2" t="s">
        <v>151</v>
      </c>
      <c r="D124" s="2" t="s">
        <v>35</v>
      </c>
      <c r="E124" s="4" t="s">
        <v>28</v>
      </c>
      <c r="F124" s="2" t="s">
        <v>552</v>
      </c>
      <c r="G124" s="4" t="s">
        <v>197</v>
      </c>
      <c r="H12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4" s="2" t="str">
        <f>IF(OR(LEFT(Table4[[#This Row],[win_prob]],1)="D",LEFT(Table4[[#This Row],[win_prob]],1)="R"),LEFT(Table4[[#This Row],[win_prob]],1),LEFT(Table4[[#This Row],[Category]],1))</f>
        <v>D</v>
      </c>
      <c r="J12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4" s="16" t="str">
        <f>RIGHT(Table4[[#This Row],[Margin]],LEN(Table4[[#This Row],[Margin]])-FIND("+",Table4[[#This Row],[Margin]]))</f>
        <v>43</v>
      </c>
      <c r="M124" s="20" t="str">
        <f>IF(Table4[[#This Row],[listedprob]]=1,"called",IF(LEFT(Table4[[#This Row],[Margin]],1)="D",(Table4[[#This Row],[Numeric Margin]]/2+50)/100,(-Table4[[#This Row],[Numeric Margin]]/2+50)/100))</f>
        <v>called</v>
      </c>
      <c r="N124" s="20" t="str">
        <f>IFERROR(IF(Table4[[#This Row],[D 2pv]]="called","called",Table4[[#This Row],[D 2pv]]*Table4[[#This Row],[Percent of votes in% In]]),Table4[[#This Row],[D 2pv]]*0.95)</f>
        <v>called</v>
      </c>
      <c r="O124" s="20" t="str">
        <f>IF(Table4[[#This Row],[D pct]]="called","called",(Table4[[#This Row],[D 2pv]]+$E$7))</f>
        <v>called</v>
      </c>
      <c r="P12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4" s="21" t="str">
        <f>IF(Table4[[#This Row],[D captured of remain]]="called","called",Table4[[#This Row],[D captured of remain]]+Table4[[#This Row],[D pct]])</f>
        <v>called</v>
      </c>
      <c r="R124" s="22" t="str">
        <f>IF(Table4[[#This Row],[Expected D]]=1,"D",IF(Table4[[#This Row],[Expected R]]=1,"R",IF(Table4[[#This Row],[D total]]&gt;=0.5,"D","R")))</f>
        <v>D</v>
      </c>
      <c r="S124" s="22"/>
      <c r="V124" s="4"/>
      <c r="W124" s="4"/>
    </row>
    <row r="125" spans="2:23" ht="14.5" customHeight="1" x14ac:dyDescent="0.35">
      <c r="B125" s="27">
        <v>116</v>
      </c>
      <c r="C125" s="2" t="s">
        <v>152</v>
      </c>
      <c r="D125" s="2" t="s">
        <v>35</v>
      </c>
      <c r="E125" s="2" t="s">
        <v>28</v>
      </c>
      <c r="F125" s="2" t="s">
        <v>533</v>
      </c>
      <c r="G125" s="4" t="s">
        <v>197</v>
      </c>
      <c r="H12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5" s="2" t="str">
        <f>IF(OR(LEFT(Table4[[#This Row],[win_prob]],1)="D",LEFT(Table4[[#This Row],[win_prob]],1)="R"),LEFT(Table4[[#This Row],[win_prob]],1),LEFT(Table4[[#This Row],[Category]],1))</f>
        <v>D</v>
      </c>
      <c r="J12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5" s="16" t="str">
        <f>RIGHT(Table4[[#This Row],[Margin]],LEN(Table4[[#This Row],[Margin]])-FIND("+",Table4[[#This Row],[Margin]]))</f>
        <v>65</v>
      </c>
      <c r="M125" s="20" t="str">
        <f>IF(Table4[[#This Row],[listedprob]]=1,"called",IF(LEFT(Table4[[#This Row],[Margin]],1)="D",(Table4[[#This Row],[Numeric Margin]]/2+50)/100,(-Table4[[#This Row],[Numeric Margin]]/2+50)/100))</f>
        <v>called</v>
      </c>
      <c r="N125" s="20" t="str">
        <f>IFERROR(IF(Table4[[#This Row],[D 2pv]]="called","called",Table4[[#This Row],[D 2pv]]*Table4[[#This Row],[Percent of votes in% In]]),Table4[[#This Row],[D 2pv]]*0.95)</f>
        <v>called</v>
      </c>
      <c r="O125" s="20" t="str">
        <f>IF(Table4[[#This Row],[D pct]]="called","called",(Table4[[#This Row],[D 2pv]]+$E$7))</f>
        <v>called</v>
      </c>
      <c r="P12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5" s="21" t="str">
        <f>IF(Table4[[#This Row],[D captured of remain]]="called","called",Table4[[#This Row],[D captured of remain]]+Table4[[#This Row],[D pct]])</f>
        <v>called</v>
      </c>
      <c r="R125" s="22" t="str">
        <f>IF(Table4[[#This Row],[Expected D]]=1,"D",IF(Table4[[#This Row],[Expected R]]=1,"R",IF(Table4[[#This Row],[D total]]&gt;=0.5,"D","R")))</f>
        <v>D</v>
      </c>
      <c r="S125" s="22"/>
      <c r="V125" s="4"/>
      <c r="W125" s="4"/>
    </row>
    <row r="126" spans="2:23" ht="14.5" customHeight="1" x14ac:dyDescent="0.35">
      <c r="B126" s="27">
        <v>117</v>
      </c>
      <c r="C126" s="2" t="s">
        <v>153</v>
      </c>
      <c r="D126" s="2" t="s">
        <v>35</v>
      </c>
      <c r="E126" s="4" t="s">
        <v>28</v>
      </c>
      <c r="F126" s="2" t="s">
        <v>509</v>
      </c>
      <c r="G126" s="4" t="s">
        <v>197</v>
      </c>
      <c r="H12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6" s="2" t="str">
        <f>IF(OR(LEFT(Table4[[#This Row],[win_prob]],1)="D",LEFT(Table4[[#This Row],[win_prob]],1)="R"),LEFT(Table4[[#This Row],[win_prob]],1),LEFT(Table4[[#This Row],[Category]],1))</f>
        <v>D</v>
      </c>
      <c r="J12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6" s="16" t="str">
        <f>RIGHT(Table4[[#This Row],[Margin]],LEN(Table4[[#This Row],[Margin]])-FIND("+",Table4[[#This Row],[Margin]]))</f>
        <v>28</v>
      </c>
      <c r="M126" s="20" t="str">
        <f>IF(Table4[[#This Row],[listedprob]]=1,"called",IF(LEFT(Table4[[#This Row],[Margin]],1)="D",(Table4[[#This Row],[Numeric Margin]]/2+50)/100,(-Table4[[#This Row],[Numeric Margin]]/2+50)/100))</f>
        <v>called</v>
      </c>
      <c r="N126" s="20" t="str">
        <f>IFERROR(IF(Table4[[#This Row],[D 2pv]]="called","called",Table4[[#This Row],[D 2pv]]*Table4[[#This Row],[Percent of votes in% In]]),Table4[[#This Row],[D 2pv]]*0.95)</f>
        <v>called</v>
      </c>
      <c r="O126" s="20" t="str">
        <f>IF(Table4[[#This Row],[D pct]]="called","called",(Table4[[#This Row],[D 2pv]]+$E$7))</f>
        <v>called</v>
      </c>
      <c r="P12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6" s="21" t="str">
        <f>IF(Table4[[#This Row],[D captured of remain]]="called","called",Table4[[#This Row],[D captured of remain]]+Table4[[#This Row],[D pct]])</f>
        <v>called</v>
      </c>
      <c r="R126" s="22" t="str">
        <f>IF(Table4[[#This Row],[Expected D]]=1,"D",IF(Table4[[#This Row],[Expected R]]=1,"R",IF(Table4[[#This Row],[D total]]&gt;=0.5,"D","R")))</f>
        <v>D</v>
      </c>
      <c r="S126" s="22"/>
      <c r="V126" s="4"/>
      <c r="W126" s="4"/>
    </row>
    <row r="127" spans="2:23" ht="14.5" customHeight="1" x14ac:dyDescent="0.35">
      <c r="B127" s="27">
        <v>118</v>
      </c>
      <c r="C127" s="2" t="s">
        <v>154</v>
      </c>
      <c r="D127" s="2" t="s">
        <v>35</v>
      </c>
      <c r="E127" s="4" t="s">
        <v>28</v>
      </c>
      <c r="F127" s="2" t="s">
        <v>523</v>
      </c>
      <c r="G127" s="4" t="s">
        <v>197</v>
      </c>
      <c r="H12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7" s="2" t="str">
        <f>IF(OR(LEFT(Table4[[#This Row],[win_prob]],1)="D",LEFT(Table4[[#This Row],[win_prob]],1)="R"),LEFT(Table4[[#This Row],[win_prob]],1),LEFT(Table4[[#This Row],[Category]],1))</f>
        <v>D</v>
      </c>
      <c r="J12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7" s="16" t="str">
        <f>RIGHT(Table4[[#This Row],[Margin]],LEN(Table4[[#This Row],[Margin]])-FIND("+",Table4[[#This Row],[Margin]]))</f>
        <v>10</v>
      </c>
      <c r="M127" s="20" t="str">
        <f>IF(Table4[[#This Row],[listedprob]]=1,"called",IF(LEFT(Table4[[#This Row],[Margin]],1)="D",(Table4[[#This Row],[Numeric Margin]]/2+50)/100,(-Table4[[#This Row],[Numeric Margin]]/2+50)/100))</f>
        <v>called</v>
      </c>
      <c r="N127" s="20" t="str">
        <f>IFERROR(IF(Table4[[#This Row],[D 2pv]]="called","called",Table4[[#This Row],[D 2pv]]*Table4[[#This Row],[Percent of votes in% In]]),Table4[[#This Row],[D 2pv]]*0.95)</f>
        <v>called</v>
      </c>
      <c r="O127" s="20" t="str">
        <f>IF(Table4[[#This Row],[D pct]]="called","called",(Table4[[#This Row],[D 2pv]]+$E$7))</f>
        <v>called</v>
      </c>
      <c r="P12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7" s="21" t="str">
        <f>IF(Table4[[#This Row],[D captured of remain]]="called","called",Table4[[#This Row],[D captured of remain]]+Table4[[#This Row],[D pct]])</f>
        <v>called</v>
      </c>
      <c r="R127" s="22" t="str">
        <f>IF(Table4[[#This Row],[Expected D]]=1,"D",IF(Table4[[#This Row],[Expected R]]=1,"R",IF(Table4[[#This Row],[D total]]&gt;=0.5,"D","R")))</f>
        <v>D</v>
      </c>
      <c r="S127" s="22"/>
      <c r="V127" s="4"/>
      <c r="W127" s="4"/>
    </row>
    <row r="128" spans="2:23" ht="14.5" customHeight="1" x14ac:dyDescent="0.35">
      <c r="B128" s="27">
        <v>119</v>
      </c>
      <c r="C128" s="2" t="s">
        <v>155</v>
      </c>
      <c r="D128" s="2" t="s">
        <v>35</v>
      </c>
      <c r="E128" s="4" t="s">
        <v>28</v>
      </c>
      <c r="F128" s="2" t="s">
        <v>509</v>
      </c>
      <c r="G128" s="4" t="s">
        <v>197</v>
      </c>
      <c r="H12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8" s="2" t="str">
        <f>IF(OR(LEFT(Table4[[#This Row],[win_prob]],1)="D",LEFT(Table4[[#This Row],[win_prob]],1)="R"),LEFT(Table4[[#This Row],[win_prob]],1),LEFT(Table4[[#This Row],[Category]],1))</f>
        <v>D</v>
      </c>
      <c r="J12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8" s="16" t="str">
        <f>RIGHT(Table4[[#This Row],[Margin]],LEN(Table4[[#This Row],[Margin]])-FIND("+",Table4[[#This Row],[Margin]]))</f>
        <v>28</v>
      </c>
      <c r="M128" s="20" t="str">
        <f>IF(Table4[[#This Row],[listedprob]]=1,"called",IF(LEFT(Table4[[#This Row],[Margin]],1)="D",(Table4[[#This Row],[Numeric Margin]]/2+50)/100,(-Table4[[#This Row],[Numeric Margin]]/2+50)/100))</f>
        <v>called</v>
      </c>
      <c r="N128" s="20" t="str">
        <f>IFERROR(IF(Table4[[#This Row],[D 2pv]]="called","called",Table4[[#This Row],[D 2pv]]*Table4[[#This Row],[Percent of votes in% In]]),Table4[[#This Row],[D 2pv]]*0.95)</f>
        <v>called</v>
      </c>
      <c r="O128" s="20" t="str">
        <f>IF(Table4[[#This Row],[D pct]]="called","called",(Table4[[#This Row],[D 2pv]]+$E$7))</f>
        <v>called</v>
      </c>
      <c r="P12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8" s="21" t="str">
        <f>IF(Table4[[#This Row],[D captured of remain]]="called","called",Table4[[#This Row],[D captured of remain]]+Table4[[#This Row],[D pct]])</f>
        <v>called</v>
      </c>
      <c r="R128" s="22" t="str">
        <f>IF(Table4[[#This Row],[Expected D]]=1,"D",IF(Table4[[#This Row],[Expected R]]=1,"R",IF(Table4[[#This Row],[D total]]&gt;=0.5,"D","R")))</f>
        <v>D</v>
      </c>
      <c r="S128" s="22"/>
      <c r="V128" s="4"/>
      <c r="W128" s="4"/>
    </row>
    <row r="129" spans="2:23" ht="14.5" customHeight="1" x14ac:dyDescent="0.35">
      <c r="B129" s="27">
        <v>120</v>
      </c>
      <c r="C129" s="2" t="s">
        <v>156</v>
      </c>
      <c r="D129" s="2" t="s">
        <v>35</v>
      </c>
      <c r="E129" s="4" t="s">
        <v>28</v>
      </c>
      <c r="F129" s="2" t="s">
        <v>508</v>
      </c>
      <c r="G129" s="4" t="s">
        <v>197</v>
      </c>
      <c r="H12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29" s="2" t="str">
        <f>IF(OR(LEFT(Table4[[#This Row],[win_prob]],1)="D",LEFT(Table4[[#This Row],[win_prob]],1)="R"),LEFT(Table4[[#This Row],[win_prob]],1),LEFT(Table4[[#This Row],[Category]],1))</f>
        <v>D</v>
      </c>
      <c r="J12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2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29" s="16" t="str">
        <f>RIGHT(Table4[[#This Row],[Margin]],LEN(Table4[[#This Row],[Margin]])-FIND("+",Table4[[#This Row],[Margin]]))</f>
        <v>29</v>
      </c>
      <c r="M129" s="20" t="str">
        <f>IF(Table4[[#This Row],[listedprob]]=1,"called",IF(LEFT(Table4[[#This Row],[Margin]],1)="D",(Table4[[#This Row],[Numeric Margin]]/2+50)/100,(-Table4[[#This Row],[Numeric Margin]]/2+50)/100))</f>
        <v>called</v>
      </c>
      <c r="N129" s="20" t="str">
        <f>IFERROR(IF(Table4[[#This Row],[D 2pv]]="called","called",Table4[[#This Row],[D 2pv]]*Table4[[#This Row],[Percent of votes in% In]]),Table4[[#This Row],[D 2pv]]*0.95)</f>
        <v>called</v>
      </c>
      <c r="O129" s="20" t="str">
        <f>IF(Table4[[#This Row],[D pct]]="called","called",(Table4[[#This Row],[D 2pv]]+$E$7))</f>
        <v>called</v>
      </c>
      <c r="P12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29" s="21" t="str">
        <f>IF(Table4[[#This Row],[D captured of remain]]="called","called",Table4[[#This Row],[D captured of remain]]+Table4[[#This Row],[D pct]])</f>
        <v>called</v>
      </c>
      <c r="R129" s="22" t="str">
        <f>IF(Table4[[#This Row],[Expected D]]=1,"D",IF(Table4[[#This Row],[Expected R]]=1,"R",IF(Table4[[#This Row],[D total]]&gt;=0.5,"D","R")))</f>
        <v>D</v>
      </c>
      <c r="S129" s="22"/>
      <c r="V129" s="4"/>
    </row>
    <row r="130" spans="2:23" ht="14.5" customHeight="1" x14ac:dyDescent="0.35">
      <c r="B130" s="27">
        <v>121</v>
      </c>
      <c r="C130" s="2" t="s">
        <v>157</v>
      </c>
      <c r="D130" s="2" t="s">
        <v>35</v>
      </c>
      <c r="E130" s="4" t="s">
        <v>28</v>
      </c>
      <c r="F130" s="2" t="s">
        <v>537</v>
      </c>
      <c r="G130" s="4" t="s">
        <v>197</v>
      </c>
      <c r="H13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0" s="2" t="str">
        <f>IF(OR(LEFT(Table4[[#This Row],[win_prob]],1)="D",LEFT(Table4[[#This Row],[win_prob]],1)="R"),LEFT(Table4[[#This Row],[win_prob]],1),LEFT(Table4[[#This Row],[Category]],1))</f>
        <v>D</v>
      </c>
      <c r="J13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0" s="16" t="str">
        <f>RIGHT(Table4[[#This Row],[Margin]],LEN(Table4[[#This Row],[Margin]])-FIND("+",Table4[[#This Row],[Margin]]))</f>
        <v>33</v>
      </c>
      <c r="M130" s="20" t="str">
        <f>IF(Table4[[#This Row],[listedprob]]=1,"called",IF(LEFT(Table4[[#This Row],[Margin]],1)="D",(Table4[[#This Row],[Numeric Margin]]/2+50)/100,(-Table4[[#This Row],[Numeric Margin]]/2+50)/100))</f>
        <v>called</v>
      </c>
      <c r="N130" s="20" t="str">
        <f>IFERROR(IF(Table4[[#This Row],[D 2pv]]="called","called",Table4[[#This Row],[D 2pv]]*Table4[[#This Row],[Percent of votes in% In]]),Table4[[#This Row],[D 2pv]]*0.95)</f>
        <v>called</v>
      </c>
      <c r="O130" s="20" t="str">
        <f>IF(Table4[[#This Row],[D pct]]="called","called",(Table4[[#This Row],[D 2pv]]+$E$7))</f>
        <v>called</v>
      </c>
      <c r="P13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0" s="21" t="str">
        <f>IF(Table4[[#This Row],[D captured of remain]]="called","called",Table4[[#This Row],[D captured of remain]]+Table4[[#This Row],[D pct]])</f>
        <v>called</v>
      </c>
      <c r="R130" s="22" t="str">
        <f>IF(Table4[[#This Row],[Expected D]]=1,"D",IF(Table4[[#This Row],[Expected R]]=1,"R",IF(Table4[[#This Row],[D total]]&gt;=0.5,"D","R")))</f>
        <v>D</v>
      </c>
      <c r="S130" s="22"/>
      <c r="V130" s="4"/>
      <c r="W130" s="4"/>
    </row>
    <row r="131" spans="2:23" ht="14.5" customHeight="1" x14ac:dyDescent="0.35">
      <c r="B131" s="27">
        <v>122</v>
      </c>
      <c r="C131" s="2" t="s">
        <v>158</v>
      </c>
      <c r="D131" s="2" t="s">
        <v>35</v>
      </c>
      <c r="E131" s="4" t="s">
        <v>28</v>
      </c>
      <c r="F131" s="2" t="s">
        <v>553</v>
      </c>
      <c r="G131" s="4" t="s">
        <v>197</v>
      </c>
      <c r="H13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1" s="2" t="str">
        <f>IF(OR(LEFT(Table4[[#This Row],[win_prob]],1)="D",LEFT(Table4[[#This Row],[win_prob]],1)="R"),LEFT(Table4[[#This Row],[win_prob]],1),LEFT(Table4[[#This Row],[Category]],1))</f>
        <v>D</v>
      </c>
      <c r="J13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1" s="16" t="str">
        <f>RIGHT(Table4[[#This Row],[Margin]],LEN(Table4[[#This Row],[Margin]])-FIND("+",Table4[[#This Row],[Margin]]))</f>
        <v>25</v>
      </c>
      <c r="M131" s="20" t="str">
        <f>IF(Table4[[#This Row],[listedprob]]=1,"called",IF(LEFT(Table4[[#This Row],[Margin]],1)="D",(Table4[[#This Row],[Numeric Margin]]/2+50)/100,(-Table4[[#This Row],[Numeric Margin]]/2+50)/100))</f>
        <v>called</v>
      </c>
      <c r="N131" s="20" t="str">
        <f>IFERROR(IF(Table4[[#This Row],[D 2pv]]="called","called",Table4[[#This Row],[D 2pv]]*Table4[[#This Row],[Percent of votes in% In]]),Table4[[#This Row],[D 2pv]]*0.95)</f>
        <v>called</v>
      </c>
      <c r="O131" s="20" t="str">
        <f>IF(Table4[[#This Row],[D pct]]="called","called",(Table4[[#This Row],[D 2pv]]+$E$7))</f>
        <v>called</v>
      </c>
      <c r="P13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1" s="21" t="str">
        <f>IF(Table4[[#This Row],[D captured of remain]]="called","called",Table4[[#This Row],[D captured of remain]]+Table4[[#This Row],[D pct]])</f>
        <v>called</v>
      </c>
      <c r="R131" s="22" t="str">
        <f>IF(Table4[[#This Row],[Expected D]]=1,"D",IF(Table4[[#This Row],[Expected R]]=1,"R",IF(Table4[[#This Row],[D total]]&gt;=0.5,"D","R")))</f>
        <v>D</v>
      </c>
      <c r="S131" s="22"/>
      <c r="V131" s="4"/>
      <c r="W131" s="4"/>
    </row>
    <row r="132" spans="2:23" ht="14.5" customHeight="1" x14ac:dyDescent="0.35">
      <c r="B132" s="27">
        <v>123</v>
      </c>
      <c r="C132" s="2" t="s">
        <v>159</v>
      </c>
      <c r="D132" s="2" t="s">
        <v>35</v>
      </c>
      <c r="E132" s="4" t="s">
        <v>28</v>
      </c>
      <c r="F132" s="2" t="s">
        <v>524</v>
      </c>
      <c r="G132" s="4" t="s">
        <v>197</v>
      </c>
      <c r="H13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2" s="2" t="str">
        <f>IF(OR(LEFT(Table4[[#This Row],[win_prob]],1)="D",LEFT(Table4[[#This Row],[win_prob]],1)="R"),LEFT(Table4[[#This Row],[win_prob]],1),LEFT(Table4[[#This Row],[Category]],1))</f>
        <v>D</v>
      </c>
      <c r="J13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2" s="16" t="str">
        <f>RIGHT(Table4[[#This Row],[Margin]],LEN(Table4[[#This Row],[Margin]])-FIND("+",Table4[[#This Row],[Margin]]))</f>
        <v>15</v>
      </c>
      <c r="M132" s="20" t="str">
        <f>IF(Table4[[#This Row],[listedprob]]=1,"called",IF(LEFT(Table4[[#This Row],[Margin]],1)="D",(Table4[[#This Row],[Numeric Margin]]/2+50)/100,(-Table4[[#This Row],[Numeric Margin]]/2+50)/100))</f>
        <v>called</v>
      </c>
      <c r="N132" s="20" t="str">
        <f>IFERROR(IF(Table4[[#This Row],[D 2pv]]="called","called",Table4[[#This Row],[D 2pv]]*Table4[[#This Row],[Percent of votes in% In]]),Table4[[#This Row],[D 2pv]]*0.95)</f>
        <v>called</v>
      </c>
      <c r="O132" s="20" t="str">
        <f>IF(Table4[[#This Row],[D pct]]="called","called",(Table4[[#This Row],[D 2pv]]+$E$7))</f>
        <v>called</v>
      </c>
      <c r="P13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2" s="21" t="str">
        <f>IF(Table4[[#This Row],[D captured of remain]]="called","called",Table4[[#This Row],[D captured of remain]]+Table4[[#This Row],[D pct]])</f>
        <v>called</v>
      </c>
      <c r="R132" s="22" t="str">
        <f>IF(Table4[[#This Row],[Expected D]]=1,"D",IF(Table4[[#This Row],[Expected R]]=1,"R",IF(Table4[[#This Row],[D total]]&gt;=0.5,"D","R")))</f>
        <v>D</v>
      </c>
      <c r="S132" s="22"/>
      <c r="V132" s="4"/>
      <c r="W132" s="4"/>
    </row>
    <row r="133" spans="2:23" ht="14.5" customHeight="1" x14ac:dyDescent="0.35">
      <c r="B133" s="27">
        <v>124</v>
      </c>
      <c r="C133" s="2" t="s">
        <v>160</v>
      </c>
      <c r="D133" s="2" t="s">
        <v>35</v>
      </c>
      <c r="E133" s="4" t="s">
        <v>28</v>
      </c>
      <c r="F133" s="2" t="s">
        <v>547</v>
      </c>
      <c r="G133" s="4" t="s">
        <v>197</v>
      </c>
      <c r="H13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3" s="2" t="str">
        <f>IF(OR(LEFT(Table4[[#This Row],[win_prob]],1)="D",LEFT(Table4[[#This Row],[win_prob]],1)="R"),LEFT(Table4[[#This Row],[win_prob]],1),LEFT(Table4[[#This Row],[Category]],1))</f>
        <v>D</v>
      </c>
      <c r="J13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3" s="16" t="str">
        <f>RIGHT(Table4[[#This Row],[Margin]],LEN(Table4[[#This Row],[Margin]])-FIND("+",Table4[[#This Row],[Margin]]))</f>
        <v>40</v>
      </c>
      <c r="M133" s="20" t="str">
        <f>IF(Table4[[#This Row],[listedprob]]=1,"called",IF(LEFT(Table4[[#This Row],[Margin]],1)="D",(Table4[[#This Row],[Numeric Margin]]/2+50)/100,(-Table4[[#This Row],[Numeric Margin]]/2+50)/100))</f>
        <v>called</v>
      </c>
      <c r="N133" s="20" t="str">
        <f>IFERROR(IF(Table4[[#This Row],[D 2pv]]="called","called",Table4[[#This Row],[D 2pv]]*Table4[[#This Row],[Percent of votes in% In]]),Table4[[#This Row],[D 2pv]]*0.95)</f>
        <v>called</v>
      </c>
      <c r="O133" s="20" t="str">
        <f>IF(Table4[[#This Row],[D pct]]="called","called",(Table4[[#This Row],[D 2pv]]+$E$7))</f>
        <v>called</v>
      </c>
      <c r="P13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3" s="21" t="str">
        <f>IF(Table4[[#This Row],[D captured of remain]]="called","called",Table4[[#This Row],[D captured of remain]]+Table4[[#This Row],[D pct]])</f>
        <v>called</v>
      </c>
      <c r="R133" s="22" t="str">
        <f>IF(Table4[[#This Row],[Expected D]]=1,"D",IF(Table4[[#This Row],[Expected R]]=1,"R",IF(Table4[[#This Row],[D total]]&gt;=0.5,"D","R")))</f>
        <v>D</v>
      </c>
      <c r="S133" s="22"/>
      <c r="V133" s="4"/>
      <c r="W133" s="4"/>
    </row>
    <row r="134" spans="2:23" ht="14.5" customHeight="1" x14ac:dyDescent="0.35">
      <c r="B134" s="27">
        <v>125</v>
      </c>
      <c r="C134" s="2" t="s">
        <v>161</v>
      </c>
      <c r="D134" s="2" t="s">
        <v>35</v>
      </c>
      <c r="E134" s="4" t="s">
        <v>28</v>
      </c>
      <c r="F134" s="2" t="s">
        <v>542</v>
      </c>
      <c r="G134" s="4" t="s">
        <v>197</v>
      </c>
      <c r="H13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4" s="2" t="str">
        <f>IF(OR(LEFT(Table4[[#This Row],[win_prob]],1)="D",LEFT(Table4[[#This Row],[win_prob]],1)="R"),LEFT(Table4[[#This Row],[win_prob]],1),LEFT(Table4[[#This Row],[Category]],1))</f>
        <v>D</v>
      </c>
      <c r="J13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4" s="16" t="str">
        <f>RIGHT(Table4[[#This Row],[Margin]],LEN(Table4[[#This Row],[Margin]])-FIND("+",Table4[[#This Row],[Margin]]))</f>
        <v>55</v>
      </c>
      <c r="M134" s="20" t="str">
        <f>IF(Table4[[#This Row],[listedprob]]=1,"called",IF(LEFT(Table4[[#This Row],[Margin]],1)="D",(Table4[[#This Row],[Numeric Margin]]/2+50)/100,(-Table4[[#This Row],[Numeric Margin]]/2+50)/100))</f>
        <v>called</v>
      </c>
      <c r="N134" s="20" t="str">
        <f>IFERROR(IF(Table4[[#This Row],[D 2pv]]="called","called",Table4[[#This Row],[D 2pv]]*Table4[[#This Row],[Percent of votes in% In]]),Table4[[#This Row],[D 2pv]]*0.95)</f>
        <v>called</v>
      </c>
      <c r="O134" s="20" t="str">
        <f>IF(Table4[[#This Row],[D pct]]="called","called",(Table4[[#This Row],[D 2pv]]+$E$7))</f>
        <v>called</v>
      </c>
      <c r="P13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4" s="21" t="str">
        <f>IF(Table4[[#This Row],[D captured of remain]]="called","called",Table4[[#This Row],[D captured of remain]]+Table4[[#This Row],[D pct]])</f>
        <v>called</v>
      </c>
      <c r="R134" s="22" t="str">
        <f>IF(Table4[[#This Row],[Expected D]]=1,"D",IF(Table4[[#This Row],[Expected R]]=1,"R",IF(Table4[[#This Row],[D total]]&gt;=0.5,"D","R")))</f>
        <v>D</v>
      </c>
      <c r="S134" s="22"/>
      <c r="V134" s="4"/>
      <c r="W134" s="4"/>
    </row>
    <row r="135" spans="2:23" ht="14.5" customHeight="1" x14ac:dyDescent="0.35">
      <c r="B135" s="27">
        <v>126</v>
      </c>
      <c r="C135" s="2" t="s">
        <v>162</v>
      </c>
      <c r="D135" s="2" t="s">
        <v>35</v>
      </c>
      <c r="E135" s="4">
        <v>0.92</v>
      </c>
      <c r="F135" s="2" t="s">
        <v>526</v>
      </c>
      <c r="G135" s="4" t="s">
        <v>197</v>
      </c>
      <c r="H13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5" s="2" t="str">
        <f>IF(OR(LEFT(Table4[[#This Row],[win_prob]],1)="D",LEFT(Table4[[#This Row],[win_prob]],1)="R"),LEFT(Table4[[#This Row],[win_prob]],1),LEFT(Table4[[#This Row],[Category]],1))</f>
        <v>D</v>
      </c>
      <c r="J13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5" s="16" t="str">
        <f>RIGHT(Table4[[#This Row],[Margin]],LEN(Table4[[#This Row],[Margin]])-FIND("+",Table4[[#This Row],[Margin]]))</f>
        <v>36</v>
      </c>
      <c r="M135" s="20" t="str">
        <f>IF(Table4[[#This Row],[listedprob]]=1,"called",IF(LEFT(Table4[[#This Row],[Margin]],1)="D",(Table4[[#This Row],[Numeric Margin]]/2+50)/100,(-Table4[[#This Row],[Numeric Margin]]/2+50)/100))</f>
        <v>called</v>
      </c>
      <c r="N135" s="20" t="str">
        <f>IFERROR(IF(Table4[[#This Row],[D 2pv]]="called","called",Table4[[#This Row],[D 2pv]]*Table4[[#This Row],[Percent of votes in% In]]),Table4[[#This Row],[D 2pv]]*0.95)</f>
        <v>called</v>
      </c>
      <c r="O135" s="20" t="str">
        <f>IF(Table4[[#This Row],[D pct]]="called","called",(Table4[[#This Row],[D 2pv]]+$E$7))</f>
        <v>called</v>
      </c>
      <c r="P13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5" s="21" t="str">
        <f>IF(Table4[[#This Row],[D captured of remain]]="called","called",Table4[[#This Row],[D captured of remain]]+Table4[[#This Row],[D pct]])</f>
        <v>called</v>
      </c>
      <c r="R135" s="22" t="str">
        <f>IF(Table4[[#This Row],[Expected D]]=1,"D",IF(Table4[[#This Row],[Expected R]]=1,"R",IF(Table4[[#This Row],[D total]]&gt;=0.5,"D","R")))</f>
        <v>D</v>
      </c>
      <c r="S135" s="22"/>
      <c r="V135" s="4"/>
      <c r="W135" s="4"/>
    </row>
    <row r="136" spans="2:23" ht="14.5" customHeight="1" x14ac:dyDescent="0.35">
      <c r="B136" s="27">
        <v>127</v>
      </c>
      <c r="C136" s="2" t="s">
        <v>163</v>
      </c>
      <c r="D136" s="2" t="s">
        <v>35</v>
      </c>
      <c r="E136" s="4" t="s">
        <v>28</v>
      </c>
      <c r="F136" s="2" t="s">
        <v>510</v>
      </c>
      <c r="G136" s="4" t="s">
        <v>197</v>
      </c>
      <c r="H13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6" s="2" t="str">
        <f>IF(OR(LEFT(Table4[[#This Row],[win_prob]],1)="D",LEFT(Table4[[#This Row],[win_prob]],1)="R"),LEFT(Table4[[#This Row],[win_prob]],1),LEFT(Table4[[#This Row],[Category]],1))</f>
        <v>D</v>
      </c>
      <c r="J13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6" s="16" t="str">
        <f>RIGHT(Table4[[#This Row],[Margin]],LEN(Table4[[#This Row],[Margin]])-FIND("+",Table4[[#This Row],[Margin]]))</f>
        <v>44</v>
      </c>
      <c r="M136" s="20" t="str">
        <f>IF(Table4[[#This Row],[listedprob]]=1,"called",IF(LEFT(Table4[[#This Row],[Margin]],1)="D",(Table4[[#This Row],[Numeric Margin]]/2+50)/100,(-Table4[[#This Row],[Numeric Margin]]/2+50)/100))</f>
        <v>called</v>
      </c>
      <c r="N136" s="20" t="str">
        <f>IFERROR(IF(Table4[[#This Row],[D 2pv]]="called","called",Table4[[#This Row],[D 2pv]]*Table4[[#This Row],[Percent of votes in% In]]),Table4[[#This Row],[D 2pv]]*0.95)</f>
        <v>called</v>
      </c>
      <c r="O136" s="20" t="str">
        <f>IF(Table4[[#This Row],[D pct]]="called","called",(Table4[[#This Row],[D 2pv]]+$E$7))</f>
        <v>called</v>
      </c>
      <c r="P13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6" s="21" t="str">
        <f>IF(Table4[[#This Row],[D captured of remain]]="called","called",Table4[[#This Row],[D captured of remain]]+Table4[[#This Row],[D pct]])</f>
        <v>called</v>
      </c>
      <c r="R136" s="22" t="str">
        <f>IF(Table4[[#This Row],[Expected D]]=1,"D",IF(Table4[[#This Row],[Expected R]]=1,"R",IF(Table4[[#This Row],[D total]]&gt;=0.5,"D","R")))</f>
        <v>D</v>
      </c>
      <c r="S136" s="22"/>
      <c r="V136" s="4"/>
      <c r="W136" s="4"/>
    </row>
    <row r="137" spans="2:23" ht="14.5" customHeight="1" x14ac:dyDescent="0.35">
      <c r="B137" s="27">
        <v>128</v>
      </c>
      <c r="C137" s="2" t="s">
        <v>164</v>
      </c>
      <c r="D137" s="2" t="s">
        <v>35</v>
      </c>
      <c r="E137" s="4" t="s">
        <v>28</v>
      </c>
      <c r="F137" s="2" t="s">
        <v>655</v>
      </c>
      <c r="G137" s="4" t="s">
        <v>197</v>
      </c>
      <c r="H13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7" s="2" t="str">
        <f>IF(OR(LEFT(Table4[[#This Row],[win_prob]],1)="D",LEFT(Table4[[#This Row],[win_prob]],1)="R"),LEFT(Table4[[#This Row],[win_prob]],1),LEFT(Table4[[#This Row],[Category]],1))</f>
        <v>D</v>
      </c>
      <c r="J13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7" s="16" t="str">
        <f>RIGHT(Table4[[#This Row],[Margin]],LEN(Table4[[#This Row],[Margin]])-FIND("+",Table4[[#This Row],[Margin]]))</f>
        <v>51</v>
      </c>
      <c r="M137" s="20" t="str">
        <f>IF(Table4[[#This Row],[listedprob]]=1,"called",IF(LEFT(Table4[[#This Row],[Margin]],1)="D",(Table4[[#This Row],[Numeric Margin]]/2+50)/100,(-Table4[[#This Row],[Numeric Margin]]/2+50)/100))</f>
        <v>called</v>
      </c>
      <c r="N137" s="20" t="str">
        <f>IFERROR(IF(Table4[[#This Row],[D 2pv]]="called","called",Table4[[#This Row],[D 2pv]]*Table4[[#This Row],[Percent of votes in% In]]),Table4[[#This Row],[D 2pv]]*0.95)</f>
        <v>called</v>
      </c>
      <c r="O137" s="20" t="str">
        <f>IF(Table4[[#This Row],[D pct]]="called","called",(Table4[[#This Row],[D 2pv]]+$E$7))</f>
        <v>called</v>
      </c>
      <c r="P13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7" s="21" t="str">
        <f>IF(Table4[[#This Row],[D captured of remain]]="called","called",Table4[[#This Row],[D captured of remain]]+Table4[[#This Row],[D pct]])</f>
        <v>called</v>
      </c>
      <c r="R137" s="22" t="str">
        <f>IF(Table4[[#This Row],[Expected D]]=1,"D",IF(Table4[[#This Row],[Expected R]]=1,"R",IF(Table4[[#This Row],[D total]]&gt;=0.5,"D","R")))</f>
        <v>D</v>
      </c>
      <c r="S137" s="22"/>
      <c r="V137" s="4"/>
      <c r="W137" s="4"/>
    </row>
    <row r="138" spans="2:23" ht="14.5" customHeight="1" x14ac:dyDescent="0.35">
      <c r="B138" s="27">
        <v>129</v>
      </c>
      <c r="C138" s="2" t="s">
        <v>165</v>
      </c>
      <c r="D138" s="2" t="s">
        <v>35</v>
      </c>
      <c r="E138" s="2" t="s">
        <v>28</v>
      </c>
      <c r="F138" s="2" t="s">
        <v>656</v>
      </c>
      <c r="G138" s="4" t="s">
        <v>197</v>
      </c>
      <c r="H13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8" s="2" t="str">
        <f>IF(OR(LEFT(Table4[[#This Row],[win_prob]],1)="D",LEFT(Table4[[#This Row],[win_prob]],1)="R"),LEFT(Table4[[#This Row],[win_prob]],1),LEFT(Table4[[#This Row],[Category]],1))</f>
        <v>D</v>
      </c>
      <c r="J13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8" s="16" t="str">
        <f>RIGHT(Table4[[#This Row],[Margin]],LEN(Table4[[#This Row],[Margin]])-FIND("+",Table4[[#This Row],[Margin]]))</f>
        <v>90</v>
      </c>
      <c r="M138" s="20" t="str">
        <f>IF(Table4[[#This Row],[listedprob]]=1,"called",IF(LEFT(Table4[[#This Row],[Margin]],1)="D",(Table4[[#This Row],[Numeric Margin]]/2+50)/100,(-Table4[[#This Row],[Numeric Margin]]/2+50)/100))</f>
        <v>called</v>
      </c>
      <c r="N138" s="20" t="str">
        <f>IFERROR(IF(Table4[[#This Row],[D 2pv]]="called","called",Table4[[#This Row],[D 2pv]]*Table4[[#This Row],[Percent of votes in% In]]),Table4[[#This Row],[D 2pv]]*0.95)</f>
        <v>called</v>
      </c>
      <c r="O138" s="20" t="str">
        <f>IF(Table4[[#This Row],[D pct]]="called","called",(Table4[[#This Row],[D 2pv]]+$E$7))</f>
        <v>called</v>
      </c>
      <c r="P13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8" s="21" t="str">
        <f>IF(Table4[[#This Row],[D captured of remain]]="called","called",Table4[[#This Row],[D captured of remain]]+Table4[[#This Row],[D pct]])</f>
        <v>called</v>
      </c>
      <c r="R138" s="22" t="str">
        <f>IF(Table4[[#This Row],[Expected D]]=1,"D",IF(Table4[[#This Row],[Expected R]]=1,"R",IF(Table4[[#This Row],[D total]]&gt;=0.5,"D","R")))</f>
        <v>D</v>
      </c>
      <c r="S138" s="22"/>
      <c r="V138" s="4"/>
      <c r="W138" s="4"/>
    </row>
    <row r="139" spans="2:23" ht="14.5" customHeight="1" x14ac:dyDescent="0.35">
      <c r="B139" s="27">
        <v>130</v>
      </c>
      <c r="C139" s="2" t="s">
        <v>166</v>
      </c>
      <c r="D139" s="2" t="s">
        <v>35</v>
      </c>
      <c r="E139" s="4" t="s">
        <v>28</v>
      </c>
      <c r="F139" s="2" t="s">
        <v>534</v>
      </c>
      <c r="G139" s="4" t="s">
        <v>197</v>
      </c>
      <c r="H13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39" s="2" t="str">
        <f>IF(OR(LEFT(Table4[[#This Row],[win_prob]],1)="D",LEFT(Table4[[#This Row],[win_prob]],1)="R"),LEFT(Table4[[#This Row],[win_prob]],1),LEFT(Table4[[#This Row],[Category]],1))</f>
        <v>D</v>
      </c>
      <c r="J13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3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39" s="16" t="str">
        <f>RIGHT(Table4[[#This Row],[Margin]],LEN(Table4[[#This Row],[Margin]])-FIND("+",Table4[[#This Row],[Margin]]))</f>
        <v>22</v>
      </c>
      <c r="M139" s="20" t="str">
        <f>IF(Table4[[#This Row],[listedprob]]=1,"called",IF(LEFT(Table4[[#This Row],[Margin]],1)="D",(Table4[[#This Row],[Numeric Margin]]/2+50)/100,(-Table4[[#This Row],[Numeric Margin]]/2+50)/100))</f>
        <v>called</v>
      </c>
      <c r="N139" s="20" t="str">
        <f>IFERROR(IF(Table4[[#This Row],[D 2pv]]="called","called",Table4[[#This Row],[D 2pv]]*Table4[[#This Row],[Percent of votes in% In]]),Table4[[#This Row],[D 2pv]]*0.95)</f>
        <v>called</v>
      </c>
      <c r="O139" s="20" t="str">
        <f>IF(Table4[[#This Row],[D pct]]="called","called",(Table4[[#This Row],[D 2pv]]+$E$7))</f>
        <v>called</v>
      </c>
      <c r="P13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39" s="21" t="str">
        <f>IF(Table4[[#This Row],[D captured of remain]]="called","called",Table4[[#This Row],[D captured of remain]]+Table4[[#This Row],[D pct]])</f>
        <v>called</v>
      </c>
      <c r="R139" s="22" t="str">
        <f>IF(Table4[[#This Row],[Expected D]]=1,"D",IF(Table4[[#This Row],[Expected R]]=1,"R",IF(Table4[[#This Row],[D total]]&gt;=0.5,"D","R")))</f>
        <v>D</v>
      </c>
      <c r="S139" s="22"/>
      <c r="V139" s="4"/>
    </row>
    <row r="140" spans="2:23" ht="14.5" customHeight="1" x14ac:dyDescent="0.35">
      <c r="B140" s="27">
        <v>131</v>
      </c>
      <c r="C140" s="2" t="s">
        <v>167</v>
      </c>
      <c r="D140" s="2" t="s">
        <v>35</v>
      </c>
      <c r="E140" s="4" t="s">
        <v>28</v>
      </c>
      <c r="F140" s="2" t="s">
        <v>518</v>
      </c>
      <c r="G140" s="4" t="s">
        <v>197</v>
      </c>
      <c r="H14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0" s="2" t="str">
        <f>IF(OR(LEFT(Table4[[#This Row],[win_prob]],1)="D",LEFT(Table4[[#This Row],[win_prob]],1)="R"),LEFT(Table4[[#This Row],[win_prob]],1),LEFT(Table4[[#This Row],[Category]],1))</f>
        <v>D</v>
      </c>
      <c r="J14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0" s="16" t="str">
        <f>RIGHT(Table4[[#This Row],[Margin]],LEN(Table4[[#This Row],[Margin]])-FIND("+",Table4[[#This Row],[Margin]]))</f>
        <v>30</v>
      </c>
      <c r="M140" s="20" t="str">
        <f>IF(Table4[[#This Row],[listedprob]]=1,"called",IF(LEFT(Table4[[#This Row],[Margin]],1)="D",(Table4[[#This Row],[Numeric Margin]]/2+50)/100,(-Table4[[#This Row],[Numeric Margin]]/2+50)/100))</f>
        <v>called</v>
      </c>
      <c r="N140" s="20" t="str">
        <f>IFERROR(IF(Table4[[#This Row],[D 2pv]]="called","called",Table4[[#This Row],[D 2pv]]*Table4[[#This Row],[Percent of votes in% In]]),Table4[[#This Row],[D 2pv]]*0.95)</f>
        <v>called</v>
      </c>
      <c r="O140" s="20" t="str">
        <f>IF(Table4[[#This Row],[D pct]]="called","called",(Table4[[#This Row],[D 2pv]]+$E$7))</f>
        <v>called</v>
      </c>
      <c r="P14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0" s="21" t="str">
        <f>IF(Table4[[#This Row],[D captured of remain]]="called","called",Table4[[#This Row],[D captured of remain]]+Table4[[#This Row],[D pct]])</f>
        <v>called</v>
      </c>
      <c r="R140" s="22" t="str">
        <f>IF(Table4[[#This Row],[Expected D]]=1,"D",IF(Table4[[#This Row],[Expected R]]=1,"R",IF(Table4[[#This Row],[D total]]&gt;=0.5,"D","R")))</f>
        <v>D</v>
      </c>
      <c r="S140" s="22"/>
      <c r="V140" s="4"/>
    </row>
    <row r="141" spans="2:23" ht="14.5" customHeight="1" x14ac:dyDescent="0.35">
      <c r="B141" s="27">
        <v>132</v>
      </c>
      <c r="C141" s="2" t="s">
        <v>168</v>
      </c>
      <c r="D141" s="2" t="s">
        <v>35</v>
      </c>
      <c r="E141" s="4" t="s">
        <v>28</v>
      </c>
      <c r="F141" s="2" t="s">
        <v>527</v>
      </c>
      <c r="G141" s="4" t="s">
        <v>197</v>
      </c>
      <c r="H14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1" s="2" t="str">
        <f>IF(OR(LEFT(Table4[[#This Row],[win_prob]],1)="D",LEFT(Table4[[#This Row],[win_prob]],1)="R"),LEFT(Table4[[#This Row],[win_prob]],1),LEFT(Table4[[#This Row],[Category]],1))</f>
        <v>D</v>
      </c>
      <c r="J14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1" s="16" t="str">
        <f>RIGHT(Table4[[#This Row],[Margin]],LEN(Table4[[#This Row],[Margin]])-FIND("+",Table4[[#This Row],[Margin]]))</f>
        <v>16</v>
      </c>
      <c r="M141" s="20" t="str">
        <f>IF(Table4[[#This Row],[listedprob]]=1,"called",IF(LEFT(Table4[[#This Row],[Margin]],1)="D",(Table4[[#This Row],[Numeric Margin]]/2+50)/100,(-Table4[[#This Row],[Numeric Margin]]/2+50)/100))</f>
        <v>called</v>
      </c>
      <c r="N141" s="20" t="str">
        <f>IFERROR(IF(Table4[[#This Row],[D 2pv]]="called","called",Table4[[#This Row],[D 2pv]]*Table4[[#This Row],[Percent of votes in% In]]),Table4[[#This Row],[D 2pv]]*0.95)</f>
        <v>called</v>
      </c>
      <c r="O141" s="20" t="str">
        <f>IF(Table4[[#This Row],[D pct]]="called","called",(Table4[[#This Row],[D 2pv]]+$E$7))</f>
        <v>called</v>
      </c>
      <c r="P14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1" s="21" t="str">
        <f>IF(Table4[[#This Row],[D captured of remain]]="called","called",Table4[[#This Row],[D captured of remain]]+Table4[[#This Row],[D pct]])</f>
        <v>called</v>
      </c>
      <c r="R141" s="22" t="str">
        <f>IF(Table4[[#This Row],[Expected D]]=1,"D",IF(Table4[[#This Row],[Expected R]]=1,"R",IF(Table4[[#This Row],[D total]]&gt;=0.5,"D","R")))</f>
        <v>D</v>
      </c>
      <c r="S141" s="22"/>
    </row>
    <row r="142" spans="2:23" ht="14.5" customHeight="1" x14ac:dyDescent="0.35">
      <c r="B142" s="27">
        <v>133</v>
      </c>
      <c r="C142" s="2" t="s">
        <v>169</v>
      </c>
      <c r="D142" s="2" t="s">
        <v>35</v>
      </c>
      <c r="E142" s="4" t="s">
        <v>28</v>
      </c>
      <c r="F142" s="2" t="s">
        <v>509</v>
      </c>
      <c r="G142" s="4" t="s">
        <v>197</v>
      </c>
      <c r="H14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2" s="2" t="str">
        <f>IF(OR(LEFT(Table4[[#This Row],[win_prob]],1)="D",LEFT(Table4[[#This Row],[win_prob]],1)="R"),LEFT(Table4[[#This Row],[win_prob]],1),LEFT(Table4[[#This Row],[Category]],1))</f>
        <v>D</v>
      </c>
      <c r="J14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2" s="16" t="str">
        <f>RIGHT(Table4[[#This Row],[Margin]],LEN(Table4[[#This Row],[Margin]])-FIND("+",Table4[[#This Row],[Margin]]))</f>
        <v>28</v>
      </c>
      <c r="M142" s="20" t="str">
        <f>IF(Table4[[#This Row],[listedprob]]=1,"called",IF(LEFT(Table4[[#This Row],[Margin]],1)="D",(Table4[[#This Row],[Numeric Margin]]/2+50)/100,(-Table4[[#This Row],[Numeric Margin]]/2+50)/100))</f>
        <v>called</v>
      </c>
      <c r="N142" s="20" t="str">
        <f>IFERROR(IF(Table4[[#This Row],[D 2pv]]="called","called",Table4[[#This Row],[D 2pv]]*Table4[[#This Row],[Percent of votes in% In]]),Table4[[#This Row],[D 2pv]]*0.95)</f>
        <v>called</v>
      </c>
      <c r="O142" s="20" t="str">
        <f>IF(Table4[[#This Row],[D pct]]="called","called",(Table4[[#This Row],[D 2pv]]+$E$7))</f>
        <v>called</v>
      </c>
      <c r="P14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2" s="21" t="str">
        <f>IF(Table4[[#This Row],[D captured of remain]]="called","called",Table4[[#This Row],[D captured of remain]]+Table4[[#This Row],[D pct]])</f>
        <v>called</v>
      </c>
      <c r="R142" s="22" t="str">
        <f>IF(Table4[[#This Row],[Expected D]]=1,"D",IF(Table4[[#This Row],[Expected R]]=1,"R",IF(Table4[[#This Row],[D total]]&gt;=0.5,"D","R")))</f>
        <v>D</v>
      </c>
      <c r="S142" s="22"/>
      <c r="V142" s="4"/>
    </row>
    <row r="143" spans="2:23" ht="14.5" customHeight="1" x14ac:dyDescent="0.35">
      <c r="B143" s="27">
        <v>134</v>
      </c>
      <c r="C143" s="2" t="s">
        <v>170</v>
      </c>
      <c r="D143" s="2" t="s">
        <v>35</v>
      </c>
      <c r="E143" s="4" t="s">
        <v>28</v>
      </c>
      <c r="F143" s="2" t="s">
        <v>522</v>
      </c>
      <c r="G143" s="4" t="s">
        <v>197</v>
      </c>
      <c r="H14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3" s="2" t="str">
        <f>IF(OR(LEFT(Table4[[#This Row],[win_prob]],1)="D",LEFT(Table4[[#This Row],[win_prob]],1)="R"),LEFT(Table4[[#This Row],[win_prob]],1),LEFT(Table4[[#This Row],[Category]],1))</f>
        <v>D</v>
      </c>
      <c r="J14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3" s="16" t="str">
        <f>RIGHT(Table4[[#This Row],[Margin]],LEN(Table4[[#This Row],[Margin]])-FIND("+",Table4[[#This Row],[Margin]]))</f>
        <v>24</v>
      </c>
      <c r="M143" s="20" t="str">
        <f>IF(Table4[[#This Row],[listedprob]]=1,"called",IF(LEFT(Table4[[#This Row],[Margin]],1)="D",(Table4[[#This Row],[Numeric Margin]]/2+50)/100,(-Table4[[#This Row],[Numeric Margin]]/2+50)/100))</f>
        <v>called</v>
      </c>
      <c r="N143" s="20" t="str">
        <f>IFERROR(IF(Table4[[#This Row],[D 2pv]]="called","called",Table4[[#This Row],[D 2pv]]*Table4[[#This Row],[Percent of votes in% In]]),Table4[[#This Row],[D 2pv]]*0.95)</f>
        <v>called</v>
      </c>
      <c r="O143" s="20" t="str">
        <f>IF(Table4[[#This Row],[D pct]]="called","called",(Table4[[#This Row],[D 2pv]]+$E$7))</f>
        <v>called</v>
      </c>
      <c r="P14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3" s="21" t="str">
        <f>IF(Table4[[#This Row],[D captured of remain]]="called","called",Table4[[#This Row],[D captured of remain]]+Table4[[#This Row],[D pct]])</f>
        <v>called</v>
      </c>
      <c r="R143" s="22" t="str">
        <f>IF(Table4[[#This Row],[Expected D]]=1,"D",IF(Table4[[#This Row],[Expected R]]=1,"R",IF(Table4[[#This Row],[D total]]&gt;=0.5,"D","R")))</f>
        <v>D</v>
      </c>
      <c r="S143" s="22"/>
      <c r="V143" s="4"/>
    </row>
    <row r="144" spans="2:23" ht="14.5" customHeight="1" x14ac:dyDescent="0.35">
      <c r="B144" s="27">
        <v>135</v>
      </c>
      <c r="C144" s="2" t="s">
        <v>171</v>
      </c>
      <c r="D144" s="2" t="s">
        <v>35</v>
      </c>
      <c r="E144" s="4" t="s">
        <v>28</v>
      </c>
      <c r="F144" s="2" t="s">
        <v>510</v>
      </c>
      <c r="G144" s="4" t="s">
        <v>197</v>
      </c>
      <c r="H14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4" s="2" t="str">
        <f>IF(OR(LEFT(Table4[[#This Row],[win_prob]],1)="D",LEFT(Table4[[#This Row],[win_prob]],1)="R"),LEFT(Table4[[#This Row],[win_prob]],1),LEFT(Table4[[#This Row],[Category]],1))</f>
        <v>D</v>
      </c>
      <c r="J14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4" s="16" t="str">
        <f>RIGHT(Table4[[#This Row],[Margin]],LEN(Table4[[#This Row],[Margin]])-FIND("+",Table4[[#This Row],[Margin]]))</f>
        <v>44</v>
      </c>
      <c r="M144" s="20" t="str">
        <f>IF(Table4[[#This Row],[listedprob]]=1,"called",IF(LEFT(Table4[[#This Row],[Margin]],1)="D",(Table4[[#This Row],[Numeric Margin]]/2+50)/100,(-Table4[[#This Row],[Numeric Margin]]/2+50)/100))</f>
        <v>called</v>
      </c>
      <c r="N144" s="20" t="str">
        <f>IFERROR(IF(Table4[[#This Row],[D 2pv]]="called","called",Table4[[#This Row],[D 2pv]]*Table4[[#This Row],[Percent of votes in% In]]),Table4[[#This Row],[D 2pv]]*0.95)</f>
        <v>called</v>
      </c>
      <c r="O144" s="20" t="str">
        <f>IF(Table4[[#This Row],[D pct]]="called","called",(Table4[[#This Row],[D 2pv]]+$E$7))</f>
        <v>called</v>
      </c>
      <c r="P14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4" s="21" t="str">
        <f>IF(Table4[[#This Row],[D captured of remain]]="called","called",Table4[[#This Row],[D captured of remain]]+Table4[[#This Row],[D pct]])</f>
        <v>called</v>
      </c>
      <c r="R144" s="22" t="str">
        <f>IF(Table4[[#This Row],[Expected D]]=1,"D",IF(Table4[[#This Row],[Expected R]]=1,"R",IF(Table4[[#This Row],[D total]]&gt;=0.5,"D","R")))</f>
        <v>D</v>
      </c>
      <c r="S144" s="22"/>
      <c r="W144" s="4"/>
    </row>
    <row r="145" spans="2:23" ht="14.5" customHeight="1" x14ac:dyDescent="0.35">
      <c r="B145" s="27">
        <v>136</v>
      </c>
      <c r="C145" s="2" t="s">
        <v>172</v>
      </c>
      <c r="D145" s="2" t="s">
        <v>35</v>
      </c>
      <c r="E145" s="4" t="s">
        <v>28</v>
      </c>
      <c r="F145" s="2" t="s">
        <v>509</v>
      </c>
      <c r="G145" s="4" t="s">
        <v>197</v>
      </c>
      <c r="H14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5" s="2" t="str">
        <f>IF(OR(LEFT(Table4[[#This Row],[win_prob]],1)="D",LEFT(Table4[[#This Row],[win_prob]],1)="R"),LEFT(Table4[[#This Row],[win_prob]],1),LEFT(Table4[[#This Row],[Category]],1))</f>
        <v>D</v>
      </c>
      <c r="J14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5" s="16" t="str">
        <f>RIGHT(Table4[[#This Row],[Margin]],LEN(Table4[[#This Row],[Margin]])-FIND("+",Table4[[#This Row],[Margin]]))</f>
        <v>28</v>
      </c>
      <c r="M145" s="20" t="str">
        <f>IF(Table4[[#This Row],[listedprob]]=1,"called",IF(LEFT(Table4[[#This Row],[Margin]],1)="D",(Table4[[#This Row],[Numeric Margin]]/2+50)/100,(-Table4[[#This Row],[Numeric Margin]]/2+50)/100))</f>
        <v>called</v>
      </c>
      <c r="N145" s="20" t="str">
        <f>IFERROR(IF(Table4[[#This Row],[D 2pv]]="called","called",Table4[[#This Row],[D 2pv]]*Table4[[#This Row],[Percent of votes in% In]]),Table4[[#This Row],[D 2pv]]*0.95)</f>
        <v>called</v>
      </c>
      <c r="O145" s="20" t="str">
        <f>IF(Table4[[#This Row],[D pct]]="called","called",(Table4[[#This Row],[D 2pv]]+$E$7))</f>
        <v>called</v>
      </c>
      <c r="P14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5" s="21" t="str">
        <f>IF(Table4[[#This Row],[D captured of remain]]="called","called",Table4[[#This Row],[D captured of remain]]+Table4[[#This Row],[D pct]])</f>
        <v>called</v>
      </c>
      <c r="R145" s="22" t="str">
        <f>IF(Table4[[#This Row],[Expected D]]=1,"D",IF(Table4[[#This Row],[Expected R]]=1,"R",IF(Table4[[#This Row],[D total]]&gt;=0.5,"D","R")))</f>
        <v>D</v>
      </c>
      <c r="S145" s="22"/>
      <c r="W145" s="4"/>
    </row>
    <row r="146" spans="2:23" ht="14.5" customHeight="1" x14ac:dyDescent="0.35">
      <c r="B146" s="27">
        <v>137</v>
      </c>
      <c r="C146" s="2" t="s">
        <v>173</v>
      </c>
      <c r="D146" s="2" t="s">
        <v>35</v>
      </c>
      <c r="E146" s="4" t="s">
        <v>28</v>
      </c>
      <c r="F146" s="2" t="s">
        <v>554</v>
      </c>
      <c r="G146" s="4" t="s">
        <v>197</v>
      </c>
      <c r="H14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6" s="2" t="str">
        <f>IF(OR(LEFT(Table4[[#This Row],[win_prob]],1)="D",LEFT(Table4[[#This Row],[win_prob]],1)="R"),LEFT(Table4[[#This Row],[win_prob]],1),LEFT(Table4[[#This Row],[Category]],1))</f>
        <v>D</v>
      </c>
      <c r="J14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6" s="16" t="str">
        <f>RIGHT(Table4[[#This Row],[Margin]],LEN(Table4[[#This Row],[Margin]])-FIND("+",Table4[[#This Row],[Margin]]))</f>
        <v>53</v>
      </c>
      <c r="M146" s="20" t="str">
        <f>IF(Table4[[#This Row],[listedprob]]=1,"called",IF(LEFT(Table4[[#This Row],[Margin]],1)="D",(Table4[[#This Row],[Numeric Margin]]/2+50)/100,(-Table4[[#This Row],[Numeric Margin]]/2+50)/100))</f>
        <v>called</v>
      </c>
      <c r="N146" s="20" t="str">
        <f>IFERROR(IF(Table4[[#This Row],[D 2pv]]="called","called",Table4[[#This Row],[D 2pv]]*Table4[[#This Row],[Percent of votes in% In]]),Table4[[#This Row],[D 2pv]]*0.95)</f>
        <v>called</v>
      </c>
      <c r="O146" s="20" t="str">
        <f>IF(Table4[[#This Row],[D pct]]="called","called",(Table4[[#This Row],[D 2pv]]+$E$7))</f>
        <v>called</v>
      </c>
      <c r="P14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6" s="21" t="str">
        <f>IF(Table4[[#This Row],[D captured of remain]]="called","called",Table4[[#This Row],[D captured of remain]]+Table4[[#This Row],[D pct]])</f>
        <v>called</v>
      </c>
      <c r="R146" s="22" t="str">
        <f>IF(Table4[[#This Row],[Expected D]]=1,"D",IF(Table4[[#This Row],[Expected R]]=1,"R",IF(Table4[[#This Row],[D total]]&gt;=0.5,"D","R")))</f>
        <v>D</v>
      </c>
      <c r="S146" s="22"/>
      <c r="V146" s="4"/>
      <c r="W146" s="4"/>
    </row>
    <row r="147" spans="2:23" ht="14.5" customHeight="1" x14ac:dyDescent="0.35">
      <c r="B147" s="27">
        <v>138</v>
      </c>
      <c r="C147" s="2" t="s">
        <v>174</v>
      </c>
      <c r="D147" s="2" t="s">
        <v>35</v>
      </c>
      <c r="E147" s="4" t="s">
        <v>28</v>
      </c>
      <c r="F147" s="2" t="s">
        <v>544</v>
      </c>
      <c r="G147" s="4" t="s">
        <v>197</v>
      </c>
      <c r="H14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7" s="2" t="str">
        <f>IF(OR(LEFT(Table4[[#This Row],[win_prob]],1)="D",LEFT(Table4[[#This Row],[win_prob]],1)="R"),LEFT(Table4[[#This Row],[win_prob]],1),LEFT(Table4[[#This Row],[Category]],1))</f>
        <v>D</v>
      </c>
      <c r="J14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7" s="16" t="str">
        <f>RIGHT(Table4[[#This Row],[Margin]],LEN(Table4[[#This Row],[Margin]])-FIND("+",Table4[[#This Row],[Margin]]))</f>
        <v>27</v>
      </c>
      <c r="M147" s="20" t="str">
        <f>IF(Table4[[#This Row],[listedprob]]=1,"called",IF(LEFT(Table4[[#This Row],[Margin]],1)="D",(Table4[[#This Row],[Numeric Margin]]/2+50)/100,(-Table4[[#This Row],[Numeric Margin]]/2+50)/100))</f>
        <v>called</v>
      </c>
      <c r="N147" s="20" t="str">
        <f>IFERROR(IF(Table4[[#This Row],[D 2pv]]="called","called",Table4[[#This Row],[D 2pv]]*Table4[[#This Row],[Percent of votes in% In]]),Table4[[#This Row],[D 2pv]]*0.95)</f>
        <v>called</v>
      </c>
      <c r="O147" s="20" t="str">
        <f>IF(Table4[[#This Row],[D pct]]="called","called",(Table4[[#This Row],[D 2pv]]+$E$7))</f>
        <v>called</v>
      </c>
      <c r="P14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7" s="21" t="str">
        <f>IF(Table4[[#This Row],[D captured of remain]]="called","called",Table4[[#This Row],[D captured of remain]]+Table4[[#This Row],[D pct]])</f>
        <v>called</v>
      </c>
      <c r="R147" s="22" t="str">
        <f>IF(Table4[[#This Row],[Expected D]]=1,"D",IF(Table4[[#This Row],[Expected R]]=1,"R",IF(Table4[[#This Row],[D total]]&gt;=0.5,"D","R")))</f>
        <v>D</v>
      </c>
      <c r="S147" s="22"/>
      <c r="V147" s="4"/>
      <c r="W147" s="4"/>
    </row>
    <row r="148" spans="2:23" ht="14.5" customHeight="1" x14ac:dyDescent="0.35">
      <c r="B148" s="27">
        <v>139</v>
      </c>
      <c r="C148" s="2" t="s">
        <v>175</v>
      </c>
      <c r="D148" s="2" t="s">
        <v>35</v>
      </c>
      <c r="E148" s="4" t="s">
        <v>28</v>
      </c>
      <c r="F148" s="2" t="s">
        <v>510</v>
      </c>
      <c r="G148" s="4" t="s">
        <v>197</v>
      </c>
      <c r="H14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8" s="2" t="str">
        <f>IF(OR(LEFT(Table4[[#This Row],[win_prob]],1)="D",LEFT(Table4[[#This Row],[win_prob]],1)="R"),LEFT(Table4[[#This Row],[win_prob]],1),LEFT(Table4[[#This Row],[Category]],1))</f>
        <v>D</v>
      </c>
      <c r="J14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8" s="16" t="str">
        <f>RIGHT(Table4[[#This Row],[Margin]],LEN(Table4[[#This Row],[Margin]])-FIND("+",Table4[[#This Row],[Margin]]))</f>
        <v>44</v>
      </c>
      <c r="M148" s="20" t="str">
        <f>IF(Table4[[#This Row],[listedprob]]=1,"called",IF(LEFT(Table4[[#This Row],[Margin]],1)="D",(Table4[[#This Row],[Numeric Margin]]/2+50)/100,(-Table4[[#This Row],[Numeric Margin]]/2+50)/100))</f>
        <v>called</v>
      </c>
      <c r="N148" s="20" t="str">
        <f>IFERROR(IF(Table4[[#This Row],[D 2pv]]="called","called",Table4[[#This Row],[D 2pv]]*Table4[[#This Row],[Percent of votes in% In]]),Table4[[#This Row],[D 2pv]]*0.95)</f>
        <v>called</v>
      </c>
      <c r="O148" s="20" t="str">
        <f>IF(Table4[[#This Row],[D pct]]="called","called",(Table4[[#This Row],[D 2pv]]+$E$7))</f>
        <v>called</v>
      </c>
      <c r="P14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8" s="21" t="str">
        <f>IF(Table4[[#This Row],[D captured of remain]]="called","called",Table4[[#This Row],[D captured of remain]]+Table4[[#This Row],[D pct]])</f>
        <v>called</v>
      </c>
      <c r="R148" s="22" t="str">
        <f>IF(Table4[[#This Row],[Expected D]]=1,"D",IF(Table4[[#This Row],[Expected R]]=1,"R",IF(Table4[[#This Row],[D total]]&gt;=0.5,"D","R")))</f>
        <v>D</v>
      </c>
      <c r="S148" s="22"/>
      <c r="V148" s="4"/>
      <c r="W148" s="4"/>
    </row>
    <row r="149" spans="2:23" ht="14.5" customHeight="1" x14ac:dyDescent="0.35">
      <c r="B149" s="27">
        <v>140</v>
      </c>
      <c r="C149" s="2" t="s">
        <v>176</v>
      </c>
      <c r="D149" s="2" t="s">
        <v>35</v>
      </c>
      <c r="E149" s="4" t="s">
        <v>28</v>
      </c>
      <c r="F149" s="2" t="s">
        <v>539</v>
      </c>
      <c r="G149" s="4" t="s">
        <v>197</v>
      </c>
      <c r="H14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49" s="2" t="str">
        <f>IF(OR(LEFT(Table4[[#This Row],[win_prob]],1)="D",LEFT(Table4[[#This Row],[win_prob]],1)="R"),LEFT(Table4[[#This Row],[win_prob]],1),LEFT(Table4[[#This Row],[Category]],1))</f>
        <v>D</v>
      </c>
      <c r="J14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4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49" s="16" t="str">
        <f>RIGHT(Table4[[#This Row],[Margin]],LEN(Table4[[#This Row],[Margin]])-FIND("+",Table4[[#This Row],[Margin]]))</f>
        <v>37</v>
      </c>
      <c r="M149" s="20" t="str">
        <f>IF(Table4[[#This Row],[listedprob]]=1,"called",IF(LEFT(Table4[[#This Row],[Margin]],1)="D",(Table4[[#This Row],[Numeric Margin]]/2+50)/100,(-Table4[[#This Row],[Numeric Margin]]/2+50)/100))</f>
        <v>called</v>
      </c>
      <c r="N149" s="20" t="str">
        <f>IFERROR(IF(Table4[[#This Row],[D 2pv]]="called","called",Table4[[#This Row],[D 2pv]]*Table4[[#This Row],[Percent of votes in% In]]),Table4[[#This Row],[D 2pv]]*0.95)</f>
        <v>called</v>
      </c>
      <c r="O149" s="20" t="str">
        <f>IF(Table4[[#This Row],[D pct]]="called","called",(Table4[[#This Row],[D 2pv]]+$E$7))</f>
        <v>called</v>
      </c>
      <c r="P14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49" s="21" t="str">
        <f>IF(Table4[[#This Row],[D captured of remain]]="called","called",Table4[[#This Row],[D captured of remain]]+Table4[[#This Row],[D pct]])</f>
        <v>called</v>
      </c>
      <c r="R149" s="22" t="str">
        <f>IF(Table4[[#This Row],[Expected D]]=1,"D",IF(Table4[[#This Row],[Expected R]]=1,"R",IF(Table4[[#This Row],[D total]]&gt;=0.5,"D","R")))</f>
        <v>D</v>
      </c>
      <c r="S149" s="22"/>
      <c r="V149" s="4"/>
    </row>
    <row r="150" spans="2:23" ht="14.5" customHeight="1" x14ac:dyDescent="0.35">
      <c r="B150" s="27">
        <v>141</v>
      </c>
      <c r="C150" s="2" t="s">
        <v>177</v>
      </c>
      <c r="D150" s="2" t="s">
        <v>35</v>
      </c>
      <c r="E150" s="4" t="s">
        <v>28</v>
      </c>
      <c r="F150" s="2" t="s">
        <v>552</v>
      </c>
      <c r="G150" s="4" t="s">
        <v>197</v>
      </c>
      <c r="H15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0" s="2" t="str">
        <f>IF(OR(LEFT(Table4[[#This Row],[win_prob]],1)="D",LEFT(Table4[[#This Row],[win_prob]],1)="R"),LEFT(Table4[[#This Row],[win_prob]],1),LEFT(Table4[[#This Row],[Category]],1))</f>
        <v>D</v>
      </c>
      <c r="J15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0" s="16" t="str">
        <f>RIGHT(Table4[[#This Row],[Margin]],LEN(Table4[[#This Row],[Margin]])-FIND("+",Table4[[#This Row],[Margin]]))</f>
        <v>43</v>
      </c>
      <c r="M150" s="20" t="str">
        <f>IF(Table4[[#This Row],[listedprob]]=1,"called",IF(LEFT(Table4[[#This Row],[Margin]],1)="D",(Table4[[#This Row],[Numeric Margin]]/2+50)/100,(-Table4[[#This Row],[Numeric Margin]]/2+50)/100))</f>
        <v>called</v>
      </c>
      <c r="N150" s="20" t="str">
        <f>IFERROR(IF(Table4[[#This Row],[D 2pv]]="called","called",Table4[[#This Row],[D 2pv]]*Table4[[#This Row],[Percent of votes in% In]]),Table4[[#This Row],[D 2pv]]*0.95)</f>
        <v>called</v>
      </c>
      <c r="O150" s="20" t="str">
        <f>IF(Table4[[#This Row],[D pct]]="called","called",(Table4[[#This Row],[D 2pv]]+$E$7))</f>
        <v>called</v>
      </c>
      <c r="P15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0" s="21" t="str">
        <f>IF(Table4[[#This Row],[D captured of remain]]="called","called",Table4[[#This Row],[D captured of remain]]+Table4[[#This Row],[D pct]])</f>
        <v>called</v>
      </c>
      <c r="R150" s="22" t="str">
        <f>IF(Table4[[#This Row],[Expected D]]=1,"D",IF(Table4[[#This Row],[Expected R]]=1,"R",IF(Table4[[#This Row],[D total]]&gt;=0.5,"D","R")))</f>
        <v>D</v>
      </c>
      <c r="S150" s="22"/>
      <c r="V150" s="4"/>
      <c r="W150" s="4"/>
    </row>
    <row r="151" spans="2:23" ht="14.5" customHeight="1" x14ac:dyDescent="0.35">
      <c r="B151" s="27">
        <v>142</v>
      </c>
      <c r="C151" s="2" t="s">
        <v>178</v>
      </c>
      <c r="D151" s="2" t="s">
        <v>35</v>
      </c>
      <c r="E151" s="4" t="s">
        <v>28</v>
      </c>
      <c r="F151" s="2" t="s">
        <v>554</v>
      </c>
      <c r="G151" s="4" t="s">
        <v>197</v>
      </c>
      <c r="H15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1" s="2" t="str">
        <f>IF(OR(LEFT(Table4[[#This Row],[win_prob]],1)="D",LEFT(Table4[[#This Row],[win_prob]],1)="R"),LEFT(Table4[[#This Row],[win_prob]],1),LEFT(Table4[[#This Row],[Category]],1))</f>
        <v>D</v>
      </c>
      <c r="J15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1" s="16" t="str">
        <f>RIGHT(Table4[[#This Row],[Margin]],LEN(Table4[[#This Row],[Margin]])-FIND("+",Table4[[#This Row],[Margin]]))</f>
        <v>53</v>
      </c>
      <c r="M151" s="20" t="str">
        <f>IF(Table4[[#This Row],[listedprob]]=1,"called",IF(LEFT(Table4[[#This Row],[Margin]],1)="D",(Table4[[#This Row],[Numeric Margin]]/2+50)/100,(-Table4[[#This Row],[Numeric Margin]]/2+50)/100))</f>
        <v>called</v>
      </c>
      <c r="N151" s="20" t="str">
        <f>IFERROR(IF(Table4[[#This Row],[D 2pv]]="called","called",Table4[[#This Row],[D 2pv]]*Table4[[#This Row],[Percent of votes in% In]]),Table4[[#This Row],[D 2pv]]*0.95)</f>
        <v>called</v>
      </c>
      <c r="O151" s="20" t="str">
        <f>IF(Table4[[#This Row],[D pct]]="called","called",(Table4[[#This Row],[D 2pv]]+$E$7))</f>
        <v>called</v>
      </c>
      <c r="P15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1" s="21" t="str">
        <f>IF(Table4[[#This Row],[D captured of remain]]="called","called",Table4[[#This Row],[D captured of remain]]+Table4[[#This Row],[D pct]])</f>
        <v>called</v>
      </c>
      <c r="R151" s="22" t="str">
        <f>IF(Table4[[#This Row],[Expected D]]=1,"D",IF(Table4[[#This Row],[Expected R]]=1,"R",IF(Table4[[#This Row],[D total]]&gt;=0.5,"D","R")))</f>
        <v>D</v>
      </c>
      <c r="S151" s="22"/>
      <c r="W151" s="4"/>
    </row>
    <row r="152" spans="2:23" ht="14.5" customHeight="1" x14ac:dyDescent="0.35">
      <c r="B152" s="27">
        <v>143</v>
      </c>
      <c r="C152" s="2" t="s">
        <v>179</v>
      </c>
      <c r="D152" s="2" t="s">
        <v>35</v>
      </c>
      <c r="E152" s="4" t="s">
        <v>28</v>
      </c>
      <c r="F152" s="2" t="s">
        <v>513</v>
      </c>
      <c r="G152" s="4" t="s">
        <v>197</v>
      </c>
      <c r="H15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2" s="2" t="str">
        <f>IF(OR(LEFT(Table4[[#This Row],[win_prob]],1)="D",LEFT(Table4[[#This Row],[win_prob]],1)="R"),LEFT(Table4[[#This Row],[win_prob]],1),LEFT(Table4[[#This Row],[Category]],1))</f>
        <v>D</v>
      </c>
      <c r="J15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2" s="16" t="str">
        <f>RIGHT(Table4[[#This Row],[Margin]],LEN(Table4[[#This Row],[Margin]])-FIND("+",Table4[[#This Row],[Margin]]))</f>
        <v>31</v>
      </c>
      <c r="M152" s="20" t="str">
        <f>IF(Table4[[#This Row],[listedprob]]=1,"called",IF(LEFT(Table4[[#This Row],[Margin]],1)="D",(Table4[[#This Row],[Numeric Margin]]/2+50)/100,(-Table4[[#This Row],[Numeric Margin]]/2+50)/100))</f>
        <v>called</v>
      </c>
      <c r="N152" s="20" t="str">
        <f>IFERROR(IF(Table4[[#This Row],[D 2pv]]="called","called",Table4[[#This Row],[D 2pv]]*Table4[[#This Row],[Percent of votes in% In]]),Table4[[#This Row],[D 2pv]]*0.95)</f>
        <v>called</v>
      </c>
      <c r="O152" s="20" t="str">
        <f>IF(Table4[[#This Row],[D pct]]="called","called",(Table4[[#This Row],[D 2pv]]+$E$7))</f>
        <v>called</v>
      </c>
      <c r="P15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2" s="21" t="str">
        <f>IF(Table4[[#This Row],[D captured of remain]]="called","called",Table4[[#This Row],[D captured of remain]]+Table4[[#This Row],[D pct]])</f>
        <v>called</v>
      </c>
      <c r="R152" s="22" t="str">
        <f>IF(Table4[[#This Row],[Expected D]]=1,"D",IF(Table4[[#This Row],[Expected R]]=1,"R",IF(Table4[[#This Row],[D total]]&gt;=0.5,"D","R")))</f>
        <v>D</v>
      </c>
      <c r="S152" s="22"/>
      <c r="V152" s="4"/>
      <c r="W152" s="4"/>
    </row>
    <row r="153" spans="2:23" ht="14.5" customHeight="1" x14ac:dyDescent="0.35">
      <c r="B153" s="27">
        <v>144</v>
      </c>
      <c r="C153" s="2" t="s">
        <v>180</v>
      </c>
      <c r="D153" s="2" t="s">
        <v>35</v>
      </c>
      <c r="E153" s="4" t="s">
        <v>28</v>
      </c>
      <c r="F153" s="2" t="s">
        <v>555</v>
      </c>
      <c r="G153" s="4" t="s">
        <v>197</v>
      </c>
      <c r="H15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3" s="2" t="str">
        <f>IF(OR(LEFT(Table4[[#This Row],[win_prob]],1)="D",LEFT(Table4[[#This Row],[win_prob]],1)="R"),LEFT(Table4[[#This Row],[win_prob]],1),LEFT(Table4[[#This Row],[Category]],1))</f>
        <v>D</v>
      </c>
      <c r="J15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3" s="16" t="str">
        <f>RIGHT(Table4[[#This Row],[Margin]],LEN(Table4[[#This Row],[Margin]])-FIND("+",Table4[[#This Row],[Margin]]))</f>
        <v>46</v>
      </c>
      <c r="M153" s="20" t="str">
        <f>IF(Table4[[#This Row],[listedprob]]=1,"called",IF(LEFT(Table4[[#This Row],[Margin]],1)="D",(Table4[[#This Row],[Numeric Margin]]/2+50)/100,(-Table4[[#This Row],[Numeric Margin]]/2+50)/100))</f>
        <v>called</v>
      </c>
      <c r="N153" s="20" t="str">
        <f>IFERROR(IF(Table4[[#This Row],[D 2pv]]="called","called",Table4[[#This Row],[D 2pv]]*Table4[[#This Row],[Percent of votes in% In]]),Table4[[#This Row],[D 2pv]]*0.95)</f>
        <v>called</v>
      </c>
      <c r="O153" s="20" t="str">
        <f>IF(Table4[[#This Row],[D pct]]="called","called",(Table4[[#This Row],[D 2pv]]+$E$7))</f>
        <v>called</v>
      </c>
      <c r="P15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3" s="21" t="str">
        <f>IF(Table4[[#This Row],[D captured of remain]]="called","called",Table4[[#This Row],[D captured of remain]]+Table4[[#This Row],[D pct]])</f>
        <v>called</v>
      </c>
      <c r="R153" s="22" t="str">
        <f>IF(Table4[[#This Row],[Expected D]]=1,"D",IF(Table4[[#This Row],[Expected R]]=1,"R",IF(Table4[[#This Row],[D total]]&gt;=0.5,"D","R")))</f>
        <v>D</v>
      </c>
      <c r="S153" s="22"/>
      <c r="V153" s="4"/>
    </row>
    <row r="154" spans="2:23" ht="14.5" customHeight="1" x14ac:dyDescent="0.35">
      <c r="B154" s="27">
        <v>145</v>
      </c>
      <c r="C154" s="2" t="s">
        <v>181</v>
      </c>
      <c r="D154" s="2" t="s">
        <v>35</v>
      </c>
      <c r="E154" s="4" t="s">
        <v>28</v>
      </c>
      <c r="F154" s="2" t="s">
        <v>531</v>
      </c>
      <c r="G154" s="4" t="s">
        <v>197</v>
      </c>
      <c r="H15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4" s="2" t="str">
        <f>IF(OR(LEFT(Table4[[#This Row],[win_prob]],1)="D",LEFT(Table4[[#This Row],[win_prob]],1)="R"),LEFT(Table4[[#This Row],[win_prob]],1),LEFT(Table4[[#This Row],[Category]],1))</f>
        <v>D</v>
      </c>
      <c r="J15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4" s="16" t="str">
        <f>RIGHT(Table4[[#This Row],[Margin]],LEN(Table4[[#This Row],[Margin]])-FIND("+",Table4[[#This Row],[Margin]]))</f>
        <v>45</v>
      </c>
      <c r="M154" s="20" t="str">
        <f>IF(Table4[[#This Row],[listedprob]]=1,"called",IF(LEFT(Table4[[#This Row],[Margin]],1)="D",(Table4[[#This Row],[Numeric Margin]]/2+50)/100,(-Table4[[#This Row],[Numeric Margin]]/2+50)/100))</f>
        <v>called</v>
      </c>
      <c r="N154" s="20" t="str">
        <f>IFERROR(IF(Table4[[#This Row],[D 2pv]]="called","called",Table4[[#This Row],[D 2pv]]*Table4[[#This Row],[Percent of votes in% In]]),Table4[[#This Row],[D 2pv]]*0.95)</f>
        <v>called</v>
      </c>
      <c r="O154" s="20" t="str">
        <f>IF(Table4[[#This Row],[D pct]]="called","called",(Table4[[#This Row],[D 2pv]]+$E$7))</f>
        <v>called</v>
      </c>
      <c r="P15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4" s="21" t="str">
        <f>IF(Table4[[#This Row],[D captured of remain]]="called","called",Table4[[#This Row],[D captured of remain]]+Table4[[#This Row],[D pct]])</f>
        <v>called</v>
      </c>
      <c r="R154" s="22" t="str">
        <f>IF(Table4[[#This Row],[Expected D]]=1,"D",IF(Table4[[#This Row],[Expected R]]=1,"R",IF(Table4[[#This Row],[D total]]&gt;=0.5,"D","R")))</f>
        <v>D</v>
      </c>
      <c r="S154" s="22"/>
      <c r="V154" s="4"/>
    </row>
    <row r="155" spans="2:23" ht="14.5" customHeight="1" x14ac:dyDescent="0.35">
      <c r="B155" s="27">
        <v>146</v>
      </c>
      <c r="C155" s="2" t="s">
        <v>182</v>
      </c>
      <c r="D155" s="2" t="s">
        <v>35</v>
      </c>
      <c r="E155" s="4" t="s">
        <v>28</v>
      </c>
      <c r="F155" s="2" t="s">
        <v>549</v>
      </c>
      <c r="G155" s="4" t="s">
        <v>197</v>
      </c>
      <c r="H15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5" s="2" t="str">
        <f>IF(OR(LEFT(Table4[[#This Row],[win_prob]],1)="D",LEFT(Table4[[#This Row],[win_prob]],1)="R"),LEFT(Table4[[#This Row],[win_prob]],1),LEFT(Table4[[#This Row],[Category]],1))</f>
        <v>D</v>
      </c>
      <c r="J15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5" s="16" t="str">
        <f>RIGHT(Table4[[#This Row],[Margin]],LEN(Table4[[#This Row],[Margin]])-FIND("+",Table4[[#This Row],[Margin]]))</f>
        <v>56</v>
      </c>
      <c r="M155" s="20" t="str">
        <f>IF(Table4[[#This Row],[listedprob]]=1,"called",IF(LEFT(Table4[[#This Row],[Margin]],1)="D",(Table4[[#This Row],[Numeric Margin]]/2+50)/100,(-Table4[[#This Row],[Numeric Margin]]/2+50)/100))</f>
        <v>called</v>
      </c>
      <c r="N155" s="20" t="str">
        <f>IFERROR(IF(Table4[[#This Row],[D 2pv]]="called","called",Table4[[#This Row],[D 2pv]]*Table4[[#This Row],[Percent of votes in% In]]),Table4[[#This Row],[D 2pv]]*0.95)</f>
        <v>called</v>
      </c>
      <c r="O155" s="20" t="str">
        <f>IF(Table4[[#This Row],[D pct]]="called","called",(Table4[[#This Row],[D 2pv]]+$E$7))</f>
        <v>called</v>
      </c>
      <c r="P15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5" s="21" t="str">
        <f>IF(Table4[[#This Row],[D captured of remain]]="called","called",Table4[[#This Row],[D captured of remain]]+Table4[[#This Row],[D pct]])</f>
        <v>called</v>
      </c>
      <c r="R155" s="22" t="str">
        <f>IF(Table4[[#This Row],[Expected D]]=1,"D",IF(Table4[[#This Row],[Expected R]]=1,"R",IF(Table4[[#This Row],[D total]]&gt;=0.5,"D","R")))</f>
        <v>D</v>
      </c>
      <c r="S155" s="22"/>
      <c r="V155" s="4"/>
    </row>
    <row r="156" spans="2:23" ht="14.5" customHeight="1" x14ac:dyDescent="0.35">
      <c r="B156" s="27">
        <v>147</v>
      </c>
      <c r="C156" s="2" t="s">
        <v>183</v>
      </c>
      <c r="D156" s="2" t="s">
        <v>35</v>
      </c>
      <c r="E156" s="4">
        <v>1</v>
      </c>
      <c r="F156" s="2" t="s">
        <v>511</v>
      </c>
      <c r="G156" s="4" t="s">
        <v>197</v>
      </c>
      <c r="H15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6" s="2" t="str">
        <f>IF(OR(LEFT(Table4[[#This Row],[win_prob]],1)="D",LEFT(Table4[[#This Row],[win_prob]],1)="R"),LEFT(Table4[[#This Row],[win_prob]],1),LEFT(Table4[[#This Row],[Category]],1))</f>
        <v>D</v>
      </c>
      <c r="J15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6" s="16" t="str">
        <f>RIGHT(Table4[[#This Row],[Margin]],LEN(Table4[[#This Row],[Margin]])-FIND("+",Table4[[#This Row],[Margin]]))</f>
        <v>35</v>
      </c>
      <c r="M156" s="20" t="str">
        <f>IF(Table4[[#This Row],[listedprob]]=1,"called",IF(LEFT(Table4[[#This Row],[Margin]],1)="D",(Table4[[#This Row],[Numeric Margin]]/2+50)/100,(-Table4[[#This Row],[Numeric Margin]]/2+50)/100))</f>
        <v>called</v>
      </c>
      <c r="N156" s="20" t="str">
        <f>IFERROR(IF(Table4[[#This Row],[D 2pv]]="called","called",Table4[[#This Row],[D 2pv]]*Table4[[#This Row],[Percent of votes in% In]]),Table4[[#This Row],[D 2pv]]*0.95)</f>
        <v>called</v>
      </c>
      <c r="O156" s="20" t="str">
        <f>IF(Table4[[#This Row],[D pct]]="called","called",(Table4[[#This Row],[D 2pv]]+$E$7))</f>
        <v>called</v>
      </c>
      <c r="P15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6" s="21" t="str">
        <f>IF(Table4[[#This Row],[D captured of remain]]="called","called",Table4[[#This Row],[D captured of remain]]+Table4[[#This Row],[D pct]])</f>
        <v>called</v>
      </c>
      <c r="R156" s="22" t="str">
        <f>IF(Table4[[#This Row],[Expected D]]=1,"D",IF(Table4[[#This Row],[Expected R]]=1,"R",IF(Table4[[#This Row],[D total]]&gt;=0.5,"D","R")))</f>
        <v>D</v>
      </c>
      <c r="S156" s="22"/>
      <c r="V156" s="4"/>
    </row>
    <row r="157" spans="2:23" ht="14.5" customHeight="1" x14ac:dyDescent="0.35">
      <c r="B157" s="27">
        <v>148</v>
      </c>
      <c r="C157" s="2" t="s">
        <v>184</v>
      </c>
      <c r="D157" s="2" t="s">
        <v>35</v>
      </c>
      <c r="E157" s="4" t="s">
        <v>28</v>
      </c>
      <c r="F157" s="2" t="s">
        <v>511</v>
      </c>
      <c r="G157" s="4" t="s">
        <v>197</v>
      </c>
      <c r="H15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7" s="2" t="str">
        <f>IF(OR(LEFT(Table4[[#This Row],[win_prob]],1)="D",LEFT(Table4[[#This Row],[win_prob]],1)="R"),LEFT(Table4[[#This Row],[win_prob]],1),LEFT(Table4[[#This Row],[Category]],1))</f>
        <v>D</v>
      </c>
      <c r="J15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7" s="16" t="str">
        <f>RIGHT(Table4[[#This Row],[Margin]],LEN(Table4[[#This Row],[Margin]])-FIND("+",Table4[[#This Row],[Margin]]))</f>
        <v>35</v>
      </c>
      <c r="M157" s="20" t="str">
        <f>IF(Table4[[#This Row],[listedprob]]=1,"called",IF(LEFT(Table4[[#This Row],[Margin]],1)="D",(Table4[[#This Row],[Numeric Margin]]/2+50)/100,(-Table4[[#This Row],[Numeric Margin]]/2+50)/100))</f>
        <v>called</v>
      </c>
      <c r="N157" s="20" t="str">
        <f>IFERROR(IF(Table4[[#This Row],[D 2pv]]="called","called",Table4[[#This Row],[D 2pv]]*Table4[[#This Row],[Percent of votes in% In]]),Table4[[#This Row],[D 2pv]]*0.95)</f>
        <v>called</v>
      </c>
      <c r="O157" s="20" t="str">
        <f>IF(Table4[[#This Row],[D pct]]="called","called",(Table4[[#This Row],[D 2pv]]+$E$7))</f>
        <v>called</v>
      </c>
      <c r="P15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7" s="21" t="str">
        <f>IF(Table4[[#This Row],[D captured of remain]]="called","called",Table4[[#This Row],[D captured of remain]]+Table4[[#This Row],[D pct]])</f>
        <v>called</v>
      </c>
      <c r="R157" s="22" t="str">
        <f>IF(Table4[[#This Row],[Expected D]]=1,"D",IF(Table4[[#This Row],[Expected R]]=1,"R",IF(Table4[[#This Row],[D total]]&gt;=0.5,"D","R")))</f>
        <v>D</v>
      </c>
      <c r="S157" s="22"/>
      <c r="V157" s="4"/>
      <c r="W157" s="4"/>
    </row>
    <row r="158" spans="2:23" ht="14.5" customHeight="1" x14ac:dyDescent="0.35">
      <c r="B158" s="27">
        <v>149</v>
      </c>
      <c r="C158" s="2" t="s">
        <v>185</v>
      </c>
      <c r="D158" s="2" t="s">
        <v>35</v>
      </c>
      <c r="E158" s="4" t="s">
        <v>28</v>
      </c>
      <c r="F158" s="2" t="s">
        <v>509</v>
      </c>
      <c r="G158" s="4" t="s">
        <v>197</v>
      </c>
      <c r="H15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8" s="2" t="str">
        <f>IF(OR(LEFT(Table4[[#This Row],[win_prob]],1)="D",LEFT(Table4[[#This Row],[win_prob]],1)="R"),LEFT(Table4[[#This Row],[win_prob]],1),LEFT(Table4[[#This Row],[Category]],1))</f>
        <v>D</v>
      </c>
      <c r="J15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8" s="16" t="str">
        <f>RIGHT(Table4[[#This Row],[Margin]],LEN(Table4[[#This Row],[Margin]])-FIND("+",Table4[[#This Row],[Margin]]))</f>
        <v>28</v>
      </c>
      <c r="M158" s="20" t="str">
        <f>IF(Table4[[#This Row],[listedprob]]=1,"called",IF(LEFT(Table4[[#This Row],[Margin]],1)="D",(Table4[[#This Row],[Numeric Margin]]/2+50)/100,(-Table4[[#This Row],[Numeric Margin]]/2+50)/100))</f>
        <v>called</v>
      </c>
      <c r="N158" s="20" t="str">
        <f>IFERROR(IF(Table4[[#This Row],[D 2pv]]="called","called",Table4[[#This Row],[D 2pv]]*Table4[[#This Row],[Percent of votes in% In]]),Table4[[#This Row],[D 2pv]]*0.95)</f>
        <v>called</v>
      </c>
      <c r="O158" s="20" t="str">
        <f>IF(Table4[[#This Row],[D pct]]="called","called",(Table4[[#This Row],[D 2pv]]+$E$7))</f>
        <v>called</v>
      </c>
      <c r="P15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8" s="21" t="str">
        <f>IF(Table4[[#This Row],[D captured of remain]]="called","called",Table4[[#This Row],[D captured of remain]]+Table4[[#This Row],[D pct]])</f>
        <v>called</v>
      </c>
      <c r="R158" s="22" t="str">
        <f>IF(Table4[[#This Row],[Expected D]]=1,"D",IF(Table4[[#This Row],[Expected R]]=1,"R",IF(Table4[[#This Row],[D total]]&gt;=0.5,"D","R")))</f>
        <v>D</v>
      </c>
      <c r="S158" s="22"/>
      <c r="V158" s="4"/>
      <c r="W158" s="4"/>
    </row>
    <row r="159" spans="2:23" ht="14.5" customHeight="1" x14ac:dyDescent="0.35">
      <c r="B159" s="27">
        <v>150</v>
      </c>
      <c r="C159" s="2" t="s">
        <v>186</v>
      </c>
      <c r="D159" s="2" t="s">
        <v>35</v>
      </c>
      <c r="E159" s="4" t="s">
        <v>28</v>
      </c>
      <c r="F159" s="2" t="s">
        <v>514</v>
      </c>
      <c r="G159" s="4" t="s">
        <v>197</v>
      </c>
      <c r="H159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59" s="2" t="str">
        <f>IF(OR(LEFT(Table4[[#This Row],[win_prob]],1)="D",LEFT(Table4[[#This Row],[win_prob]],1)="R"),LEFT(Table4[[#This Row],[win_prob]],1),LEFT(Table4[[#This Row],[Category]],1))</f>
        <v>D</v>
      </c>
      <c r="J15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5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59" s="16" t="str">
        <f>RIGHT(Table4[[#This Row],[Margin]],LEN(Table4[[#This Row],[Margin]])-FIND("+",Table4[[#This Row],[Margin]]))</f>
        <v>49</v>
      </c>
      <c r="M159" s="20" t="str">
        <f>IF(Table4[[#This Row],[listedprob]]=1,"called",IF(LEFT(Table4[[#This Row],[Margin]],1)="D",(Table4[[#This Row],[Numeric Margin]]/2+50)/100,(-Table4[[#This Row],[Numeric Margin]]/2+50)/100))</f>
        <v>called</v>
      </c>
      <c r="N159" s="20" t="str">
        <f>IFERROR(IF(Table4[[#This Row],[D 2pv]]="called","called",Table4[[#This Row],[D 2pv]]*Table4[[#This Row],[Percent of votes in% In]]),Table4[[#This Row],[D 2pv]]*0.95)</f>
        <v>called</v>
      </c>
      <c r="O159" s="20" t="str">
        <f>IF(Table4[[#This Row],[D pct]]="called","called",(Table4[[#This Row],[D 2pv]]+$E$7))</f>
        <v>called</v>
      </c>
      <c r="P15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59" s="21" t="str">
        <f>IF(Table4[[#This Row],[D captured of remain]]="called","called",Table4[[#This Row],[D captured of remain]]+Table4[[#This Row],[D pct]])</f>
        <v>called</v>
      </c>
      <c r="R159" s="22" t="str">
        <f>IF(Table4[[#This Row],[Expected D]]=1,"D",IF(Table4[[#This Row],[Expected R]]=1,"R",IF(Table4[[#This Row],[D total]]&gt;=0.5,"D","R")))</f>
        <v>D</v>
      </c>
      <c r="S159" s="22"/>
      <c r="V159" s="4"/>
      <c r="W159" s="4"/>
    </row>
    <row r="160" spans="2:23" ht="14.5" customHeight="1" x14ac:dyDescent="0.35">
      <c r="B160" s="27">
        <v>151</v>
      </c>
      <c r="C160" s="2" t="s">
        <v>187</v>
      </c>
      <c r="D160" s="2" t="s">
        <v>35</v>
      </c>
      <c r="E160" s="4" t="s">
        <v>28</v>
      </c>
      <c r="F160" s="2" t="s">
        <v>538</v>
      </c>
      <c r="G160" s="4" t="s">
        <v>197</v>
      </c>
      <c r="H160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0" s="2" t="str">
        <f>IF(OR(LEFT(Table4[[#This Row],[win_prob]],1)="D",LEFT(Table4[[#This Row],[win_prob]],1)="R"),LEFT(Table4[[#This Row],[win_prob]],1),LEFT(Table4[[#This Row],[Category]],1))</f>
        <v>D</v>
      </c>
      <c r="J16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0" s="16" t="str">
        <f>RIGHT(Table4[[#This Row],[Margin]],LEN(Table4[[#This Row],[Margin]])-FIND("+",Table4[[#This Row],[Margin]]))</f>
        <v>34</v>
      </c>
      <c r="M160" s="20" t="str">
        <f>IF(Table4[[#This Row],[listedprob]]=1,"called",IF(LEFT(Table4[[#This Row],[Margin]],1)="D",(Table4[[#This Row],[Numeric Margin]]/2+50)/100,(-Table4[[#This Row],[Numeric Margin]]/2+50)/100))</f>
        <v>called</v>
      </c>
      <c r="N160" s="20" t="str">
        <f>IFERROR(IF(Table4[[#This Row],[D 2pv]]="called","called",Table4[[#This Row],[D 2pv]]*Table4[[#This Row],[Percent of votes in% In]]),Table4[[#This Row],[D 2pv]]*0.95)</f>
        <v>called</v>
      </c>
      <c r="O160" s="20" t="str">
        <f>IF(Table4[[#This Row],[D pct]]="called","called",(Table4[[#This Row],[D 2pv]]+$E$7))</f>
        <v>called</v>
      </c>
      <c r="P16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0" s="21" t="str">
        <f>IF(Table4[[#This Row],[D captured of remain]]="called","called",Table4[[#This Row],[D captured of remain]]+Table4[[#This Row],[D pct]])</f>
        <v>called</v>
      </c>
      <c r="R160" s="22" t="str">
        <f>IF(Table4[[#This Row],[Expected D]]=1,"D",IF(Table4[[#This Row],[Expected R]]=1,"R",IF(Table4[[#This Row],[D total]]&gt;=0.5,"D","R")))</f>
        <v>D</v>
      </c>
      <c r="S160" s="22"/>
      <c r="V160" s="4"/>
      <c r="W160" s="4"/>
    </row>
    <row r="161" spans="2:23" ht="14.5" customHeight="1" x14ac:dyDescent="0.35">
      <c r="B161" s="27">
        <v>152</v>
      </c>
      <c r="C161" s="2" t="s">
        <v>188</v>
      </c>
      <c r="D161" s="2" t="s">
        <v>35</v>
      </c>
      <c r="E161" s="4" t="s">
        <v>28</v>
      </c>
      <c r="F161" s="2" t="s">
        <v>544</v>
      </c>
      <c r="G161" s="4" t="s">
        <v>197</v>
      </c>
      <c r="H161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1" s="2" t="str">
        <f>IF(OR(LEFT(Table4[[#This Row],[win_prob]],1)="D",LEFT(Table4[[#This Row],[win_prob]],1)="R"),LEFT(Table4[[#This Row],[win_prob]],1),LEFT(Table4[[#This Row],[Category]],1))</f>
        <v>D</v>
      </c>
      <c r="J16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1" s="16" t="str">
        <f>RIGHT(Table4[[#This Row],[Margin]],LEN(Table4[[#This Row],[Margin]])-FIND("+",Table4[[#This Row],[Margin]]))</f>
        <v>27</v>
      </c>
      <c r="M161" s="20" t="str">
        <f>IF(Table4[[#This Row],[listedprob]]=1,"called",IF(LEFT(Table4[[#This Row],[Margin]],1)="D",(Table4[[#This Row],[Numeric Margin]]/2+50)/100,(-Table4[[#This Row],[Numeric Margin]]/2+50)/100))</f>
        <v>called</v>
      </c>
      <c r="N161" s="20" t="str">
        <f>IFERROR(IF(Table4[[#This Row],[D 2pv]]="called","called",Table4[[#This Row],[D 2pv]]*Table4[[#This Row],[Percent of votes in% In]]),Table4[[#This Row],[D 2pv]]*0.95)</f>
        <v>called</v>
      </c>
      <c r="O161" s="20" t="str">
        <f>IF(Table4[[#This Row],[D pct]]="called","called",(Table4[[#This Row],[D 2pv]]+$E$7))</f>
        <v>called</v>
      </c>
      <c r="P16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1" s="21" t="str">
        <f>IF(Table4[[#This Row],[D captured of remain]]="called","called",Table4[[#This Row],[D captured of remain]]+Table4[[#This Row],[D pct]])</f>
        <v>called</v>
      </c>
      <c r="R161" s="22" t="str">
        <f>IF(Table4[[#This Row],[Expected D]]=1,"D",IF(Table4[[#This Row],[Expected R]]=1,"R",IF(Table4[[#This Row],[D total]]&gt;=0.5,"D","R")))</f>
        <v>D</v>
      </c>
      <c r="S161" s="22"/>
      <c r="V161" s="4"/>
      <c r="W161" s="4"/>
    </row>
    <row r="162" spans="2:23" ht="14.5" customHeight="1" x14ac:dyDescent="0.35">
      <c r="B162" s="27">
        <v>153</v>
      </c>
      <c r="C162" s="2" t="s">
        <v>189</v>
      </c>
      <c r="D162" s="2" t="s">
        <v>35</v>
      </c>
      <c r="E162" s="4">
        <v>0.95</v>
      </c>
      <c r="F162" s="2" t="s">
        <v>519</v>
      </c>
      <c r="G162" s="4" t="s">
        <v>197</v>
      </c>
      <c r="H162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2" s="2" t="str">
        <f>IF(OR(LEFT(Table4[[#This Row],[win_prob]],1)="D",LEFT(Table4[[#This Row],[win_prob]],1)="R"),LEFT(Table4[[#This Row],[win_prob]],1),LEFT(Table4[[#This Row],[Category]],1))</f>
        <v>D</v>
      </c>
      <c r="J16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2" s="16" t="str">
        <f>RIGHT(Table4[[#This Row],[Margin]],LEN(Table4[[#This Row],[Margin]])-FIND("+",Table4[[#This Row],[Margin]]))</f>
        <v>21</v>
      </c>
      <c r="M162" s="20" t="str">
        <f>IF(Table4[[#This Row],[listedprob]]=1,"called",IF(LEFT(Table4[[#This Row],[Margin]],1)="D",(Table4[[#This Row],[Numeric Margin]]/2+50)/100,(-Table4[[#This Row],[Numeric Margin]]/2+50)/100))</f>
        <v>called</v>
      </c>
      <c r="N162" s="20" t="str">
        <f>IFERROR(IF(Table4[[#This Row],[D 2pv]]="called","called",Table4[[#This Row],[D 2pv]]*Table4[[#This Row],[Percent of votes in% In]]),Table4[[#This Row],[D 2pv]]*0.95)</f>
        <v>called</v>
      </c>
      <c r="O162" s="20" t="str">
        <f>IF(Table4[[#This Row],[D pct]]="called","called",(Table4[[#This Row],[D 2pv]]+$E$7))</f>
        <v>called</v>
      </c>
      <c r="P16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2" s="21" t="str">
        <f>IF(Table4[[#This Row],[D captured of remain]]="called","called",Table4[[#This Row],[D captured of remain]]+Table4[[#This Row],[D pct]])</f>
        <v>called</v>
      </c>
      <c r="R162" s="22" t="str">
        <f>IF(Table4[[#This Row],[Expected D]]=1,"D",IF(Table4[[#This Row],[Expected R]]=1,"R",IF(Table4[[#This Row],[D total]]&gt;=0.5,"D","R")))</f>
        <v>D</v>
      </c>
      <c r="S162" s="22"/>
      <c r="V162" s="4"/>
      <c r="W162" s="4"/>
    </row>
    <row r="163" spans="2:23" ht="14.5" customHeight="1" x14ac:dyDescent="0.35">
      <c r="B163" s="27">
        <v>154</v>
      </c>
      <c r="C163" s="2" t="s">
        <v>190</v>
      </c>
      <c r="D163" s="2" t="s">
        <v>35</v>
      </c>
      <c r="E163" s="4">
        <v>0.94</v>
      </c>
      <c r="F163" s="2" t="s">
        <v>534</v>
      </c>
      <c r="G163" s="4" t="s">
        <v>197</v>
      </c>
      <c r="H163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3" s="2" t="str">
        <f>IF(OR(LEFT(Table4[[#This Row],[win_prob]],1)="D",LEFT(Table4[[#This Row],[win_prob]],1)="R"),LEFT(Table4[[#This Row],[win_prob]],1),LEFT(Table4[[#This Row],[Category]],1))</f>
        <v>D</v>
      </c>
      <c r="J16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3" s="16" t="str">
        <f>RIGHT(Table4[[#This Row],[Margin]],LEN(Table4[[#This Row],[Margin]])-FIND("+",Table4[[#This Row],[Margin]]))</f>
        <v>22</v>
      </c>
      <c r="M163" s="20" t="str">
        <f>IF(Table4[[#This Row],[listedprob]]=1,"called",IF(LEFT(Table4[[#This Row],[Margin]],1)="D",(Table4[[#This Row],[Numeric Margin]]/2+50)/100,(-Table4[[#This Row],[Numeric Margin]]/2+50)/100))</f>
        <v>called</v>
      </c>
      <c r="N163" s="20" t="str">
        <f>IFERROR(IF(Table4[[#This Row],[D 2pv]]="called","called",Table4[[#This Row],[D 2pv]]*Table4[[#This Row],[Percent of votes in% In]]),Table4[[#This Row],[D 2pv]]*0.95)</f>
        <v>called</v>
      </c>
      <c r="O163" s="20" t="str">
        <f>IF(Table4[[#This Row],[D pct]]="called","called",(Table4[[#This Row],[D 2pv]]+$E$7))</f>
        <v>called</v>
      </c>
      <c r="P16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3" s="21" t="str">
        <f>IF(Table4[[#This Row],[D captured of remain]]="called","called",Table4[[#This Row],[D captured of remain]]+Table4[[#This Row],[D pct]])</f>
        <v>called</v>
      </c>
      <c r="R163" s="22" t="str">
        <f>IF(Table4[[#This Row],[Expected D]]=1,"D",IF(Table4[[#This Row],[Expected R]]=1,"R",IF(Table4[[#This Row],[D total]]&gt;=0.5,"D","R")))</f>
        <v>D</v>
      </c>
      <c r="S163" s="22"/>
      <c r="V163" s="4"/>
      <c r="W163" s="4"/>
    </row>
    <row r="164" spans="2:23" ht="14.5" customHeight="1" x14ac:dyDescent="0.35">
      <c r="B164" s="27">
        <v>155</v>
      </c>
      <c r="C164" s="2" t="s">
        <v>191</v>
      </c>
      <c r="D164" s="2" t="s">
        <v>35</v>
      </c>
      <c r="E164" s="4" t="s">
        <v>28</v>
      </c>
      <c r="F164" s="2" t="s">
        <v>667</v>
      </c>
      <c r="G164" s="4" t="s">
        <v>197</v>
      </c>
      <c r="H164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4" s="2" t="str">
        <f>IF(OR(LEFT(Table4[[#This Row],[win_prob]],1)="D",LEFT(Table4[[#This Row],[win_prob]],1)="R"),LEFT(Table4[[#This Row],[win_prob]],1),LEFT(Table4[[#This Row],[Category]],1))</f>
        <v>D</v>
      </c>
      <c r="J16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4" s="16" t="str">
        <f>RIGHT(Table4[[#This Row],[Margin]],LEN(Table4[[#This Row],[Margin]])-FIND("+",Table4[[#This Row],[Margin]]))</f>
        <v>71</v>
      </c>
      <c r="M164" s="20" t="str">
        <f>IF(Table4[[#This Row],[listedprob]]=1,"called",IF(LEFT(Table4[[#This Row],[Margin]],1)="D",(Table4[[#This Row],[Numeric Margin]]/2+50)/100,(-Table4[[#This Row],[Numeric Margin]]/2+50)/100))</f>
        <v>called</v>
      </c>
      <c r="N164" s="20" t="str">
        <f>IFERROR(IF(Table4[[#This Row],[D 2pv]]="called","called",Table4[[#This Row],[D 2pv]]*Table4[[#This Row],[Percent of votes in% In]]),Table4[[#This Row],[D 2pv]]*0.95)</f>
        <v>called</v>
      </c>
      <c r="O164" s="20" t="str">
        <f>IF(Table4[[#This Row],[D pct]]="called","called",(Table4[[#This Row],[D 2pv]]+$E$7))</f>
        <v>called</v>
      </c>
      <c r="P16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4" s="21" t="str">
        <f>IF(Table4[[#This Row],[D captured of remain]]="called","called",Table4[[#This Row],[D captured of remain]]+Table4[[#This Row],[D pct]])</f>
        <v>called</v>
      </c>
      <c r="R164" s="22" t="str">
        <f>IF(Table4[[#This Row],[Expected D]]=1,"D",IF(Table4[[#This Row],[Expected R]]=1,"R",IF(Table4[[#This Row],[D total]]&gt;=0.5,"D","R")))</f>
        <v>D</v>
      </c>
      <c r="S164" s="22"/>
      <c r="V164" s="4"/>
    </row>
    <row r="165" spans="2:23" ht="14.5" customHeight="1" x14ac:dyDescent="0.35">
      <c r="B165" s="27">
        <v>156</v>
      </c>
      <c r="C165" s="2" t="s">
        <v>192</v>
      </c>
      <c r="D165" s="2" t="s">
        <v>35</v>
      </c>
      <c r="E165" s="4" t="s">
        <v>28</v>
      </c>
      <c r="F165" s="2" t="s">
        <v>552</v>
      </c>
      <c r="G165" s="4" t="s">
        <v>197</v>
      </c>
      <c r="H165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5" s="2" t="str">
        <f>IF(OR(LEFT(Table4[[#This Row],[win_prob]],1)="D",LEFT(Table4[[#This Row],[win_prob]],1)="R"),LEFT(Table4[[#This Row],[win_prob]],1),LEFT(Table4[[#This Row],[Category]],1))</f>
        <v>D</v>
      </c>
      <c r="J16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5" s="16" t="str">
        <f>RIGHT(Table4[[#This Row],[Margin]],LEN(Table4[[#This Row],[Margin]])-FIND("+",Table4[[#This Row],[Margin]]))</f>
        <v>43</v>
      </c>
      <c r="M165" s="20" t="str">
        <f>IF(Table4[[#This Row],[listedprob]]=1,"called",IF(LEFT(Table4[[#This Row],[Margin]],1)="D",(Table4[[#This Row],[Numeric Margin]]/2+50)/100,(-Table4[[#This Row],[Numeric Margin]]/2+50)/100))</f>
        <v>called</v>
      </c>
      <c r="N165" s="20" t="str">
        <f>IFERROR(IF(Table4[[#This Row],[D 2pv]]="called","called",Table4[[#This Row],[D 2pv]]*Table4[[#This Row],[Percent of votes in% In]]),Table4[[#This Row],[D 2pv]]*0.95)</f>
        <v>called</v>
      </c>
      <c r="O165" s="20" t="str">
        <f>IF(Table4[[#This Row],[D pct]]="called","called",(Table4[[#This Row],[D 2pv]]+$E$7))</f>
        <v>called</v>
      </c>
      <c r="P16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5" s="21" t="str">
        <f>IF(Table4[[#This Row],[D captured of remain]]="called","called",Table4[[#This Row],[D captured of remain]]+Table4[[#This Row],[D pct]])</f>
        <v>called</v>
      </c>
      <c r="R165" s="22" t="str">
        <f>IF(Table4[[#This Row],[Expected D]]=1,"D",IF(Table4[[#This Row],[Expected R]]=1,"R",IF(Table4[[#This Row],[D total]]&gt;=0.5,"D","R")))</f>
        <v>D</v>
      </c>
      <c r="S165" s="22"/>
      <c r="V165" s="4"/>
    </row>
    <row r="166" spans="2:23" ht="14.5" customHeight="1" x14ac:dyDescent="0.35">
      <c r="B166" s="27">
        <v>157</v>
      </c>
      <c r="C166" s="2" t="s">
        <v>193</v>
      </c>
      <c r="D166" s="2" t="s">
        <v>35</v>
      </c>
      <c r="E166" s="4">
        <v>0.94</v>
      </c>
      <c r="F166" s="2" t="s">
        <v>530</v>
      </c>
      <c r="G166" s="4" t="s">
        <v>197</v>
      </c>
      <c r="H166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6" s="2" t="str">
        <f>IF(OR(LEFT(Table4[[#This Row],[win_prob]],1)="D",LEFT(Table4[[#This Row],[win_prob]],1)="R"),LEFT(Table4[[#This Row],[win_prob]],1),LEFT(Table4[[#This Row],[Category]],1))</f>
        <v>D</v>
      </c>
      <c r="J16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6" s="16" t="str">
        <f>RIGHT(Table4[[#This Row],[Margin]],LEN(Table4[[#This Row],[Margin]])-FIND("+",Table4[[#This Row],[Margin]]))</f>
        <v>14</v>
      </c>
      <c r="M166" s="20" t="str">
        <f>IF(Table4[[#This Row],[listedprob]]=1,"called",IF(LEFT(Table4[[#This Row],[Margin]],1)="D",(Table4[[#This Row],[Numeric Margin]]/2+50)/100,(-Table4[[#This Row],[Numeric Margin]]/2+50)/100))</f>
        <v>called</v>
      </c>
      <c r="N166" s="20" t="str">
        <f>IFERROR(IF(Table4[[#This Row],[D 2pv]]="called","called",Table4[[#This Row],[D 2pv]]*Table4[[#This Row],[Percent of votes in% In]]),Table4[[#This Row],[D 2pv]]*0.95)</f>
        <v>called</v>
      </c>
      <c r="O166" s="20" t="str">
        <f>IF(Table4[[#This Row],[D pct]]="called","called",(Table4[[#This Row],[D 2pv]]+$E$7))</f>
        <v>called</v>
      </c>
      <c r="P16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6" s="21" t="str">
        <f>IF(Table4[[#This Row],[D captured of remain]]="called","called",Table4[[#This Row],[D captured of remain]]+Table4[[#This Row],[D pct]])</f>
        <v>called</v>
      </c>
      <c r="R166" s="22" t="str">
        <f>IF(Table4[[#This Row],[Expected D]]=1,"D",IF(Table4[[#This Row],[Expected R]]=1,"R",IF(Table4[[#This Row],[D total]]&gt;=0.5,"D","R")))</f>
        <v>D</v>
      </c>
      <c r="S166" s="22"/>
      <c r="V166" s="4"/>
    </row>
    <row r="167" spans="2:23" ht="14.5" customHeight="1" x14ac:dyDescent="0.35">
      <c r="B167" s="27">
        <v>158</v>
      </c>
      <c r="C167" s="2" t="s">
        <v>194</v>
      </c>
      <c r="D167" s="2" t="s">
        <v>35</v>
      </c>
      <c r="E167" s="4" t="s">
        <v>28</v>
      </c>
      <c r="F167" s="2" t="s">
        <v>510</v>
      </c>
      <c r="G167" s="4" t="s">
        <v>197</v>
      </c>
      <c r="H167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7" s="2" t="str">
        <f>IF(OR(LEFT(Table4[[#This Row],[win_prob]],1)="D",LEFT(Table4[[#This Row],[win_prob]],1)="R"),LEFT(Table4[[#This Row],[win_prob]],1),LEFT(Table4[[#This Row],[Category]],1))</f>
        <v>D</v>
      </c>
      <c r="J16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7" s="16" t="str">
        <f>RIGHT(Table4[[#This Row],[Margin]],LEN(Table4[[#This Row],[Margin]])-FIND("+",Table4[[#This Row],[Margin]]))</f>
        <v>44</v>
      </c>
      <c r="M167" s="20" t="str">
        <f>IF(Table4[[#This Row],[listedprob]]=1,"called",IF(LEFT(Table4[[#This Row],[Margin]],1)="D",(Table4[[#This Row],[Numeric Margin]]/2+50)/100,(-Table4[[#This Row],[Numeric Margin]]/2+50)/100))</f>
        <v>called</v>
      </c>
      <c r="N167" s="20" t="str">
        <f>IFERROR(IF(Table4[[#This Row],[D 2pv]]="called","called",Table4[[#This Row],[D 2pv]]*Table4[[#This Row],[Percent of votes in% In]]),Table4[[#This Row],[D 2pv]]*0.95)</f>
        <v>called</v>
      </c>
      <c r="O167" s="20" t="str">
        <f>IF(Table4[[#This Row],[D pct]]="called","called",(Table4[[#This Row],[D 2pv]]+$E$7))</f>
        <v>called</v>
      </c>
      <c r="P16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7" s="21" t="str">
        <f>IF(Table4[[#This Row],[D captured of remain]]="called","called",Table4[[#This Row],[D captured of remain]]+Table4[[#This Row],[D pct]])</f>
        <v>called</v>
      </c>
      <c r="R167" s="22" t="str">
        <f>IF(Table4[[#This Row],[Expected D]]=1,"D",IF(Table4[[#This Row],[Expected R]]=1,"R",IF(Table4[[#This Row],[D total]]&gt;=0.5,"D","R")))</f>
        <v>D</v>
      </c>
      <c r="S167" s="22"/>
      <c r="V167" s="4"/>
    </row>
    <row r="168" spans="2:23" ht="14.5" customHeight="1" x14ac:dyDescent="0.35">
      <c r="B168" s="27">
        <v>159</v>
      </c>
      <c r="C168" s="2" t="s">
        <v>195</v>
      </c>
      <c r="D168" s="2" t="s">
        <v>35</v>
      </c>
      <c r="E168" s="4" t="s">
        <v>28</v>
      </c>
      <c r="F168" s="2" t="s">
        <v>554</v>
      </c>
      <c r="G168" s="4" t="s">
        <v>197</v>
      </c>
      <c r="H168" s="2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68" s="2" t="str">
        <f>IF(OR(LEFT(Table4[[#This Row],[win_prob]],1)="D",LEFT(Table4[[#This Row],[win_prob]],1)="R"),LEFT(Table4[[#This Row],[win_prob]],1),LEFT(Table4[[#This Row],[Category]],1))</f>
        <v>D</v>
      </c>
      <c r="J16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6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68" s="16" t="str">
        <f>RIGHT(Table4[[#This Row],[Margin]],LEN(Table4[[#This Row],[Margin]])-FIND("+",Table4[[#This Row],[Margin]]))</f>
        <v>53</v>
      </c>
      <c r="M168" s="20" t="str">
        <f>IF(Table4[[#This Row],[listedprob]]=1,"called",IF(LEFT(Table4[[#This Row],[Margin]],1)="D",(Table4[[#This Row],[Numeric Margin]]/2+50)/100,(-Table4[[#This Row],[Numeric Margin]]/2+50)/100))</f>
        <v>called</v>
      </c>
      <c r="N168" s="20" t="str">
        <f>IFERROR(IF(Table4[[#This Row],[D 2pv]]="called","called",Table4[[#This Row],[D 2pv]]*Table4[[#This Row],[Percent of votes in% In]]),Table4[[#This Row],[D 2pv]]*0.95)</f>
        <v>called</v>
      </c>
      <c r="O168" s="20" t="str">
        <f>IF(Table4[[#This Row],[D pct]]="called","called",(Table4[[#This Row],[D 2pv]]+$E$7))</f>
        <v>called</v>
      </c>
      <c r="P16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68" s="21" t="str">
        <f>IF(Table4[[#This Row],[D captured of remain]]="called","called",Table4[[#This Row],[D captured of remain]]+Table4[[#This Row],[D pct]])</f>
        <v>called</v>
      </c>
      <c r="R168" s="22" t="str">
        <f>IF(Table4[[#This Row],[Expected D]]=1,"D",IF(Table4[[#This Row],[Expected R]]=1,"R",IF(Table4[[#This Row],[D total]]&gt;=0.5,"D","R")))</f>
        <v>D</v>
      </c>
      <c r="S168" s="22"/>
      <c r="V168" s="4"/>
    </row>
    <row r="169" spans="2:23" x14ac:dyDescent="0.35">
      <c r="B169" s="27">
        <v>160</v>
      </c>
      <c r="C169" s="2" t="s">
        <v>200</v>
      </c>
      <c r="D169" s="2" t="s">
        <v>48</v>
      </c>
      <c r="E169" s="4">
        <v>0.9</v>
      </c>
      <c r="F169" s="2" t="s">
        <v>534</v>
      </c>
      <c r="G169" s="4" t="s">
        <v>228</v>
      </c>
      <c r="H16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0.75</v>
      </c>
      <c r="I169" s="2" t="str">
        <f>IF(OR(LEFT(Table4[[#This Row],[win_prob]],1)="D",LEFT(Table4[[#This Row],[win_prob]],1)="R"),LEFT(Table4[[#This Row],[win_prob]],1),LEFT(Table4[[#This Row],[Category]],1))</f>
        <v>D</v>
      </c>
      <c r="J169" s="2">
        <f>IFERROR(IF(INDEX(Table5[Call],MATCH(Table4[[#This Row],[District]],Table5[Confirmed Calls (other outlets)],0))="D",1,"not here"),IF(Table4[[#This Row],[Favored]]="D",Table4[[#This Row],[listedprob]],1-Table4[[#This Row],[listedprob]]))</f>
        <v>0.75</v>
      </c>
      <c r="K169" s="16">
        <f>IFERROR(IF(INDEX(Table5[Call],MATCH(Table4[[#This Row],[District]],Table5[Confirmed Calls (other outlets)],0))="R",1,"not here"),IF(Table4[[#This Row],[Favored]]="R",Table4[[#This Row],[listedprob]],1-Table4[[#This Row],[listedprob]]))</f>
        <v>0.25</v>
      </c>
      <c r="L169" s="16" t="str">
        <f>RIGHT(Table4[[#This Row],[Margin]],LEN(Table4[[#This Row],[Margin]])-FIND("+",Table4[[#This Row],[Margin]]))</f>
        <v>22</v>
      </c>
      <c r="M169" s="20">
        <f>IF(Table4[[#This Row],[listedprob]]=1,"called",IF(LEFT(Table4[[#This Row],[Margin]],1)="D",(Table4[[#This Row],[Numeric Margin]]/2+50)/100,(-Table4[[#This Row],[Numeric Margin]]/2+50)/100))</f>
        <v>0.61</v>
      </c>
      <c r="N169" s="20">
        <f>IFERROR(IF(Table4[[#This Row],[D 2pv]]="called","called",Table4[[#This Row],[D 2pv]]*Table4[[#This Row],[Percent of votes in% In]]),Table4[[#This Row],[D 2pv]]*0.95)</f>
        <v>0.54900000000000004</v>
      </c>
      <c r="O169" s="20">
        <f>IF(Table4[[#This Row],[D pct]]="called","called",(Table4[[#This Row],[D 2pv]]+$E$7))</f>
        <v>0.67999999999999994</v>
      </c>
      <c r="P169" s="20">
        <f>IFERROR(IF(Table4[[#This Row],[D remaining pct]]="called","called",Table4[[#This Row],[D remaining pct]]*(1-Table4[[#This Row],[Percent of votes in% In]])),Table4[[#This Row],[D remaining pct]]*0.05)</f>
        <v>6.7999999999999977E-2</v>
      </c>
      <c r="Q169" s="21">
        <f>IF(Table4[[#This Row],[D captured of remain]]="called","called",Table4[[#This Row],[D captured of remain]]+Table4[[#This Row],[D pct]])</f>
        <v>0.61699999999999999</v>
      </c>
      <c r="R169" s="22" t="str">
        <f>IF(Table4[[#This Row],[Expected D]]=1,"D",IF(Table4[[#This Row],[Expected R]]=1,"R",IF(Table4[[#This Row],[D total]]&gt;=0.5,"D","R")))</f>
        <v>D</v>
      </c>
      <c r="S169" s="22"/>
      <c r="V169" s="4"/>
    </row>
    <row r="170" spans="2:23" x14ac:dyDescent="0.35">
      <c r="B170" s="27">
        <v>161</v>
      </c>
      <c r="C170" s="2" t="s">
        <v>201</v>
      </c>
      <c r="D170" s="2" t="s">
        <v>35</v>
      </c>
      <c r="E170" s="4" t="s">
        <v>28</v>
      </c>
      <c r="F170" s="2" t="s">
        <v>512</v>
      </c>
      <c r="G170" s="4" t="s">
        <v>228</v>
      </c>
      <c r="H17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0" s="2" t="str">
        <f>IF(OR(LEFT(Table4[[#This Row],[win_prob]],1)="D",LEFT(Table4[[#This Row],[win_prob]],1)="R"),LEFT(Table4[[#This Row],[win_prob]],1),LEFT(Table4[[#This Row],[Category]],1))</f>
        <v>D</v>
      </c>
      <c r="J17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0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70" s="16" t="str">
        <f>RIGHT(Table4[[#This Row],[Margin]],LEN(Table4[[#This Row],[Margin]])-FIND("+",Table4[[#This Row],[Margin]]))</f>
        <v>12</v>
      </c>
      <c r="M170" s="20" t="str">
        <f>IF(Table4[[#This Row],[listedprob]]=1,"called",IF(LEFT(Table4[[#This Row],[Margin]],1)="D",(Table4[[#This Row],[Numeric Margin]]/2+50)/100,(-Table4[[#This Row],[Numeric Margin]]/2+50)/100))</f>
        <v>called</v>
      </c>
      <c r="N170" s="20" t="str">
        <f>IFERROR(IF(Table4[[#This Row],[D 2pv]]="called","called",Table4[[#This Row],[D 2pv]]*Table4[[#This Row],[Percent of votes in% In]]),Table4[[#This Row],[D 2pv]]*0.95)</f>
        <v>called</v>
      </c>
      <c r="O170" s="20" t="str">
        <f>IF(Table4[[#This Row],[D pct]]="called","called",(Table4[[#This Row],[D 2pv]]+$E$7))</f>
        <v>called</v>
      </c>
      <c r="P17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0" s="21" t="str">
        <f>IF(Table4[[#This Row],[D captured of remain]]="called","called",Table4[[#This Row],[D captured of remain]]+Table4[[#This Row],[D pct]])</f>
        <v>called</v>
      </c>
      <c r="R170" s="22" t="str">
        <f>IF(Table4[[#This Row],[Expected D]]=1,"D",IF(Table4[[#This Row],[Expected R]]=1,"R",IF(Table4[[#This Row],[D total]]&gt;=0.5,"D","R")))</f>
        <v>D</v>
      </c>
      <c r="S170" s="22"/>
      <c r="V170" s="4"/>
      <c r="W170" s="4"/>
    </row>
    <row r="171" spans="2:23" x14ac:dyDescent="0.35">
      <c r="B171" s="27">
        <v>162</v>
      </c>
      <c r="C171" s="2" t="s">
        <v>202</v>
      </c>
      <c r="D171" s="2" t="s">
        <v>35</v>
      </c>
      <c r="E171" s="4">
        <v>0.79</v>
      </c>
      <c r="F171" s="2" t="s">
        <v>272</v>
      </c>
      <c r="G171" s="4" t="s">
        <v>228</v>
      </c>
      <c r="H17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1" s="2" t="str">
        <f>IF(OR(LEFT(Table4[[#This Row],[win_prob]],1)="D",LEFT(Table4[[#This Row],[win_prob]],1)="R"),LEFT(Table4[[#This Row],[win_prob]],1),LEFT(Table4[[#This Row],[Category]],1))</f>
        <v>D</v>
      </c>
      <c r="J17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1" s="16" t="str">
        <f>RIGHT(Table4[[#This Row],[Margin]],LEN(Table4[[#This Row],[Margin]])-FIND("+",Table4[[#This Row],[Margin]]))</f>
        <v>13</v>
      </c>
      <c r="M171" s="20" t="str">
        <f>IF(Table4[[#This Row],[listedprob]]=1,"called",IF(LEFT(Table4[[#This Row],[Margin]],1)="D",(Table4[[#This Row],[Numeric Margin]]/2+50)/100,(-Table4[[#This Row],[Numeric Margin]]/2+50)/100))</f>
        <v>called</v>
      </c>
      <c r="N171" s="20" t="str">
        <f>IFERROR(IF(Table4[[#This Row],[D 2pv]]="called","called",Table4[[#This Row],[D 2pv]]*Table4[[#This Row],[Percent of votes in% In]]),Table4[[#This Row],[D 2pv]]*0.95)</f>
        <v>called</v>
      </c>
      <c r="O171" s="20" t="str">
        <f>IF(Table4[[#This Row],[D pct]]="called","called",(Table4[[#This Row],[D 2pv]]+$E$7))</f>
        <v>called</v>
      </c>
      <c r="P17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1" s="21" t="str">
        <f>IF(Table4[[#This Row],[D captured of remain]]="called","called",Table4[[#This Row],[D captured of remain]]+Table4[[#This Row],[D pct]])</f>
        <v>called</v>
      </c>
      <c r="R171" s="22" t="str">
        <f>IF(Table4[[#This Row],[Expected D]]=1,"D",IF(Table4[[#This Row],[Expected R]]=1,"R",IF(Table4[[#This Row],[D total]]&gt;=0.5,"D","R")))</f>
        <v>D</v>
      </c>
      <c r="S171" s="22"/>
      <c r="V171" s="4"/>
      <c r="W171" s="4"/>
    </row>
    <row r="172" spans="2:23" x14ac:dyDescent="0.35">
      <c r="B172" s="27">
        <v>163</v>
      </c>
      <c r="C172" s="2" t="s">
        <v>203</v>
      </c>
      <c r="D172" s="2" t="s">
        <v>35</v>
      </c>
      <c r="E172" s="4">
        <v>0.71</v>
      </c>
      <c r="F172" s="2" t="s">
        <v>523</v>
      </c>
      <c r="G172" s="4" t="s">
        <v>228</v>
      </c>
      <c r="H17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2" s="2" t="str">
        <f>IF(OR(LEFT(Table4[[#This Row],[win_prob]],1)="D",LEFT(Table4[[#This Row],[win_prob]],1)="R"),LEFT(Table4[[#This Row],[win_prob]],1),LEFT(Table4[[#This Row],[Category]],1))</f>
        <v>D</v>
      </c>
      <c r="J17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2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72" s="16" t="str">
        <f>RIGHT(Table4[[#This Row],[Margin]],LEN(Table4[[#This Row],[Margin]])-FIND("+",Table4[[#This Row],[Margin]]))</f>
        <v>10</v>
      </c>
      <c r="M172" s="20" t="str">
        <f>IF(Table4[[#This Row],[listedprob]]=1,"called",IF(LEFT(Table4[[#This Row],[Margin]],1)="D",(Table4[[#This Row],[Numeric Margin]]/2+50)/100,(-Table4[[#This Row],[Numeric Margin]]/2+50)/100))</f>
        <v>called</v>
      </c>
      <c r="N172" s="20" t="str">
        <f>IFERROR(IF(Table4[[#This Row],[D 2pv]]="called","called",Table4[[#This Row],[D 2pv]]*Table4[[#This Row],[Percent of votes in% In]]),Table4[[#This Row],[D 2pv]]*0.95)</f>
        <v>called</v>
      </c>
      <c r="O172" s="20" t="str">
        <f>IF(Table4[[#This Row],[D pct]]="called","called",(Table4[[#This Row],[D 2pv]]+$E$7))</f>
        <v>called</v>
      </c>
      <c r="P17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2" s="21" t="str">
        <f>IF(Table4[[#This Row],[D captured of remain]]="called","called",Table4[[#This Row],[D captured of remain]]+Table4[[#This Row],[D pct]])</f>
        <v>called</v>
      </c>
      <c r="R172" s="22" t="str">
        <f>IF(Table4[[#This Row],[Expected D]]=1,"D",IF(Table4[[#This Row],[Expected R]]=1,"R",IF(Table4[[#This Row],[D total]]&gt;=0.5,"D","R")))</f>
        <v>D</v>
      </c>
      <c r="S172" s="22"/>
      <c r="V172" s="4"/>
      <c r="W172" s="4"/>
    </row>
    <row r="173" spans="2:23" ht="14.5" customHeight="1" x14ac:dyDescent="0.35">
      <c r="B173" s="27">
        <v>164</v>
      </c>
      <c r="C173" s="2" t="s">
        <v>204</v>
      </c>
      <c r="D173" s="2" t="s">
        <v>35</v>
      </c>
      <c r="E173" s="4" t="s">
        <v>28</v>
      </c>
      <c r="F173" s="2" t="s">
        <v>524</v>
      </c>
      <c r="G173" s="4" t="s">
        <v>228</v>
      </c>
      <c r="H17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3" s="2" t="str">
        <f>IF(OR(LEFT(Table4[[#This Row],[win_prob]],1)="D",LEFT(Table4[[#This Row],[win_prob]],1)="R"),LEFT(Table4[[#This Row],[win_prob]],1),LEFT(Table4[[#This Row],[Category]],1))</f>
        <v>D</v>
      </c>
      <c r="J17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3" s="16" t="str">
        <f>RIGHT(Table4[[#This Row],[Margin]],LEN(Table4[[#This Row],[Margin]])-FIND("+",Table4[[#This Row],[Margin]]))</f>
        <v>15</v>
      </c>
      <c r="M173" s="20" t="str">
        <f>IF(Table4[[#This Row],[listedprob]]=1,"called",IF(LEFT(Table4[[#This Row],[Margin]],1)="D",(Table4[[#This Row],[Numeric Margin]]/2+50)/100,(-Table4[[#This Row],[Numeric Margin]]/2+50)/100))</f>
        <v>called</v>
      </c>
      <c r="N173" s="20" t="str">
        <f>IFERROR(IF(Table4[[#This Row],[D 2pv]]="called","called",Table4[[#This Row],[D 2pv]]*Table4[[#This Row],[Percent of votes in% In]]),Table4[[#This Row],[D 2pv]]*0.95)</f>
        <v>called</v>
      </c>
      <c r="O173" s="20" t="str">
        <f>IF(Table4[[#This Row],[D pct]]="called","called",(Table4[[#This Row],[D 2pv]]+$E$7))</f>
        <v>called</v>
      </c>
      <c r="P17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3" s="21" t="str">
        <f>IF(Table4[[#This Row],[D captured of remain]]="called","called",Table4[[#This Row],[D captured of remain]]+Table4[[#This Row],[D pct]])</f>
        <v>called</v>
      </c>
      <c r="R173" s="22" t="str">
        <f>IF(Table4[[#This Row],[Expected D]]=1,"D",IF(Table4[[#This Row],[Expected R]]=1,"R",IF(Table4[[#This Row],[D total]]&gt;=0.5,"D","R")))</f>
        <v>D</v>
      </c>
      <c r="S173" s="22"/>
      <c r="V173" s="4"/>
      <c r="W173" s="4"/>
    </row>
    <row r="174" spans="2:23" ht="14.5" customHeight="1" x14ac:dyDescent="0.35">
      <c r="B174" s="27">
        <v>165</v>
      </c>
      <c r="C174" s="2" t="s">
        <v>205</v>
      </c>
      <c r="D174" s="2" t="s">
        <v>35</v>
      </c>
      <c r="E174" s="4" t="s">
        <v>28</v>
      </c>
      <c r="F174" s="2" t="s">
        <v>529</v>
      </c>
      <c r="G174" s="4" t="s">
        <v>228</v>
      </c>
      <c r="H17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4" s="2" t="str">
        <f>IF(OR(LEFT(Table4[[#This Row],[win_prob]],1)="D",LEFT(Table4[[#This Row],[win_prob]],1)="R"),LEFT(Table4[[#This Row],[win_prob]],1),LEFT(Table4[[#This Row],[Category]],1))</f>
        <v>D</v>
      </c>
      <c r="J17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4" s="16" t="str">
        <f>RIGHT(Table4[[#This Row],[Margin]],LEN(Table4[[#This Row],[Margin]])-FIND("+",Table4[[#This Row],[Margin]]))</f>
        <v>18</v>
      </c>
      <c r="M174" s="20" t="str">
        <f>IF(Table4[[#This Row],[listedprob]]=1,"called",IF(LEFT(Table4[[#This Row],[Margin]],1)="D",(Table4[[#This Row],[Numeric Margin]]/2+50)/100,(-Table4[[#This Row],[Numeric Margin]]/2+50)/100))</f>
        <v>called</v>
      </c>
      <c r="N174" s="20" t="str">
        <f>IFERROR(IF(Table4[[#This Row],[D 2pv]]="called","called",Table4[[#This Row],[D 2pv]]*Table4[[#This Row],[Percent of votes in% In]]),Table4[[#This Row],[D 2pv]]*0.95)</f>
        <v>called</v>
      </c>
      <c r="O174" s="20" t="str">
        <f>IF(Table4[[#This Row],[D pct]]="called","called",(Table4[[#This Row],[D 2pv]]+$E$7))</f>
        <v>called</v>
      </c>
      <c r="P17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4" s="21" t="str">
        <f>IF(Table4[[#This Row],[D captured of remain]]="called","called",Table4[[#This Row],[D captured of remain]]+Table4[[#This Row],[D pct]])</f>
        <v>called</v>
      </c>
      <c r="R174" s="22" t="str">
        <f>IF(Table4[[#This Row],[Expected D]]=1,"D",IF(Table4[[#This Row],[Expected R]]=1,"R",IF(Table4[[#This Row],[D total]]&gt;=0.5,"D","R")))</f>
        <v>D</v>
      </c>
      <c r="S174" s="22"/>
      <c r="V174" s="4"/>
      <c r="W174" s="4"/>
    </row>
    <row r="175" spans="2:23" ht="14.5" customHeight="1" x14ac:dyDescent="0.35">
      <c r="B175" s="27">
        <v>166</v>
      </c>
      <c r="C175" s="2" t="s">
        <v>206</v>
      </c>
      <c r="D175" s="2" t="s">
        <v>35</v>
      </c>
      <c r="E175" s="4" t="s">
        <v>28</v>
      </c>
      <c r="F175" s="2" t="s">
        <v>523</v>
      </c>
      <c r="G175" s="4" t="s">
        <v>228</v>
      </c>
      <c r="H17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5" s="2" t="str">
        <f>IF(OR(LEFT(Table4[[#This Row],[win_prob]],1)="D",LEFT(Table4[[#This Row],[win_prob]],1)="R"),LEFT(Table4[[#This Row],[win_prob]],1),LEFT(Table4[[#This Row],[Category]],1))</f>
        <v>D</v>
      </c>
      <c r="J17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5" s="16" t="str">
        <f>RIGHT(Table4[[#This Row],[Margin]],LEN(Table4[[#This Row],[Margin]])-FIND("+",Table4[[#This Row],[Margin]]))</f>
        <v>10</v>
      </c>
      <c r="M175" s="20" t="str">
        <f>IF(Table4[[#This Row],[listedprob]]=1,"called",IF(LEFT(Table4[[#This Row],[Margin]],1)="D",(Table4[[#This Row],[Numeric Margin]]/2+50)/100,(-Table4[[#This Row],[Numeric Margin]]/2+50)/100))</f>
        <v>called</v>
      </c>
      <c r="N175" s="20" t="str">
        <f>IFERROR(IF(Table4[[#This Row],[D 2pv]]="called","called",Table4[[#This Row],[D 2pv]]*Table4[[#This Row],[Percent of votes in% In]]),Table4[[#This Row],[D 2pv]]*0.95)</f>
        <v>called</v>
      </c>
      <c r="O175" s="20" t="str">
        <f>IF(Table4[[#This Row],[D pct]]="called","called",(Table4[[#This Row],[D 2pv]]+$E$7))</f>
        <v>called</v>
      </c>
      <c r="P17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5" s="21" t="str">
        <f>IF(Table4[[#This Row],[D captured of remain]]="called","called",Table4[[#This Row],[D captured of remain]]+Table4[[#This Row],[D pct]])</f>
        <v>called</v>
      </c>
      <c r="R175" s="22" t="str">
        <f>IF(Table4[[#This Row],[Expected D]]=1,"D",IF(Table4[[#This Row],[Expected R]]=1,"R",IF(Table4[[#This Row],[D total]]&gt;=0.5,"D","R")))</f>
        <v>D</v>
      </c>
      <c r="S175" s="22"/>
      <c r="V175" s="4"/>
      <c r="W175" s="4"/>
    </row>
    <row r="176" spans="2:23" ht="14.5" customHeight="1" x14ac:dyDescent="0.35">
      <c r="B176" s="27">
        <v>167</v>
      </c>
      <c r="C176" s="2" t="s">
        <v>207</v>
      </c>
      <c r="D176" s="2" t="s">
        <v>35</v>
      </c>
      <c r="E176" s="4" t="s">
        <v>28</v>
      </c>
      <c r="F176" s="2" t="s">
        <v>274</v>
      </c>
      <c r="G176" s="4" t="s">
        <v>228</v>
      </c>
      <c r="H17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6" s="2" t="str">
        <f>IF(OR(LEFT(Table4[[#This Row],[win_prob]],1)="D",LEFT(Table4[[#This Row],[win_prob]],1)="R"),LEFT(Table4[[#This Row],[win_prob]],1),LEFT(Table4[[#This Row],[Category]],1))</f>
        <v>D</v>
      </c>
      <c r="J17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6" s="16" t="str">
        <f>RIGHT(Table4[[#This Row],[Margin]],LEN(Table4[[#This Row],[Margin]])-FIND("+",Table4[[#This Row],[Margin]]))</f>
        <v>8</v>
      </c>
      <c r="M176" s="20" t="str">
        <f>IF(Table4[[#This Row],[listedprob]]=1,"called",IF(LEFT(Table4[[#This Row],[Margin]],1)="D",(Table4[[#This Row],[Numeric Margin]]/2+50)/100,(-Table4[[#This Row],[Numeric Margin]]/2+50)/100))</f>
        <v>called</v>
      </c>
      <c r="N176" s="20" t="str">
        <f>IFERROR(IF(Table4[[#This Row],[D 2pv]]="called","called",Table4[[#This Row],[D 2pv]]*Table4[[#This Row],[Percent of votes in% In]]),Table4[[#This Row],[D 2pv]]*0.95)</f>
        <v>called</v>
      </c>
      <c r="O176" s="20" t="str">
        <f>IF(Table4[[#This Row],[D pct]]="called","called",(Table4[[#This Row],[D 2pv]]+$E$7))</f>
        <v>called</v>
      </c>
      <c r="P17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6" s="21" t="str">
        <f>IF(Table4[[#This Row],[D captured of remain]]="called","called",Table4[[#This Row],[D captured of remain]]+Table4[[#This Row],[D pct]])</f>
        <v>called</v>
      </c>
      <c r="R176" s="22" t="str">
        <f>IF(Table4[[#This Row],[Expected D]]=1,"D",IF(Table4[[#This Row],[Expected R]]=1,"R",IF(Table4[[#This Row],[D total]]&gt;=0.5,"D","R")))</f>
        <v>D</v>
      </c>
      <c r="S176" s="22"/>
      <c r="V176" s="4"/>
      <c r="W176" s="4"/>
    </row>
    <row r="177" spans="2:23" ht="14.5" customHeight="1" x14ac:dyDescent="0.35">
      <c r="B177" s="27">
        <v>168</v>
      </c>
      <c r="C177" s="2" t="s">
        <v>208</v>
      </c>
      <c r="D177" s="2" t="s">
        <v>35</v>
      </c>
      <c r="E177" s="4" t="s">
        <v>28</v>
      </c>
      <c r="F177" s="2" t="s">
        <v>512</v>
      </c>
      <c r="G177" s="4" t="s">
        <v>228</v>
      </c>
      <c r="H17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7" s="2" t="str">
        <f>IF(OR(LEFT(Table4[[#This Row],[win_prob]],1)="D",LEFT(Table4[[#This Row],[win_prob]],1)="R"),LEFT(Table4[[#This Row],[win_prob]],1),LEFT(Table4[[#This Row],[Category]],1))</f>
        <v>D</v>
      </c>
      <c r="J17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7" s="16" t="str">
        <f>RIGHT(Table4[[#This Row],[Margin]],LEN(Table4[[#This Row],[Margin]])-FIND("+",Table4[[#This Row],[Margin]]))</f>
        <v>12</v>
      </c>
      <c r="M177" s="20" t="str">
        <f>IF(Table4[[#This Row],[listedprob]]=1,"called",IF(LEFT(Table4[[#This Row],[Margin]],1)="D",(Table4[[#This Row],[Numeric Margin]]/2+50)/100,(-Table4[[#This Row],[Numeric Margin]]/2+50)/100))</f>
        <v>called</v>
      </c>
      <c r="N177" s="20" t="str">
        <f>IFERROR(IF(Table4[[#This Row],[D 2pv]]="called","called",Table4[[#This Row],[D 2pv]]*Table4[[#This Row],[Percent of votes in% In]]),Table4[[#This Row],[D 2pv]]*0.95)</f>
        <v>called</v>
      </c>
      <c r="O177" s="20" t="str">
        <f>IF(Table4[[#This Row],[D pct]]="called","called",(Table4[[#This Row],[D 2pv]]+$E$7))</f>
        <v>called</v>
      </c>
      <c r="P17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7" s="21" t="str">
        <f>IF(Table4[[#This Row],[D captured of remain]]="called","called",Table4[[#This Row],[D captured of remain]]+Table4[[#This Row],[D pct]])</f>
        <v>called</v>
      </c>
      <c r="R177" s="22" t="str">
        <f>IF(Table4[[#This Row],[Expected D]]=1,"D",IF(Table4[[#This Row],[Expected R]]=1,"R",IF(Table4[[#This Row],[D total]]&gt;=0.5,"D","R")))</f>
        <v>D</v>
      </c>
      <c r="S177" s="22"/>
      <c r="V177" s="4"/>
    </row>
    <row r="178" spans="2:23" ht="14.5" customHeight="1" x14ac:dyDescent="0.35">
      <c r="B178" s="27">
        <v>169</v>
      </c>
      <c r="C178" s="2" t="s">
        <v>209</v>
      </c>
      <c r="D178" s="2" t="s">
        <v>35</v>
      </c>
      <c r="E178" s="4" t="s">
        <v>28</v>
      </c>
      <c r="F178" s="2" t="s">
        <v>512</v>
      </c>
      <c r="G178" s="4" t="s">
        <v>228</v>
      </c>
      <c r="H17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8" s="2" t="str">
        <f>IF(OR(LEFT(Table4[[#This Row],[win_prob]],1)="D",LEFT(Table4[[#This Row],[win_prob]],1)="R"),LEFT(Table4[[#This Row],[win_prob]],1),LEFT(Table4[[#This Row],[Category]],1))</f>
        <v>D</v>
      </c>
      <c r="J17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8" s="16" t="str">
        <f>RIGHT(Table4[[#This Row],[Margin]],LEN(Table4[[#This Row],[Margin]])-FIND("+",Table4[[#This Row],[Margin]]))</f>
        <v>12</v>
      </c>
      <c r="M178" s="20" t="str">
        <f>IF(Table4[[#This Row],[listedprob]]=1,"called",IF(LEFT(Table4[[#This Row],[Margin]],1)="D",(Table4[[#This Row],[Numeric Margin]]/2+50)/100,(-Table4[[#This Row],[Numeric Margin]]/2+50)/100))</f>
        <v>called</v>
      </c>
      <c r="N178" s="20" t="str">
        <f>IFERROR(IF(Table4[[#This Row],[D 2pv]]="called","called",Table4[[#This Row],[D 2pv]]*Table4[[#This Row],[Percent of votes in% In]]),Table4[[#This Row],[D 2pv]]*0.95)</f>
        <v>called</v>
      </c>
      <c r="O178" s="20" t="str">
        <f>IF(Table4[[#This Row],[D pct]]="called","called",(Table4[[#This Row],[D 2pv]]+$E$7))</f>
        <v>called</v>
      </c>
      <c r="P17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8" s="21" t="str">
        <f>IF(Table4[[#This Row],[D captured of remain]]="called","called",Table4[[#This Row],[D captured of remain]]+Table4[[#This Row],[D pct]])</f>
        <v>called</v>
      </c>
      <c r="R178" s="22" t="str">
        <f>IF(Table4[[#This Row],[Expected D]]=1,"D",IF(Table4[[#This Row],[Expected R]]=1,"R",IF(Table4[[#This Row],[D total]]&gt;=0.5,"D","R")))</f>
        <v>D</v>
      </c>
      <c r="S178" s="22"/>
      <c r="V178" s="4"/>
      <c r="W178" s="4"/>
    </row>
    <row r="179" spans="2:23" ht="14.5" customHeight="1" x14ac:dyDescent="0.35">
      <c r="B179" s="27">
        <v>170</v>
      </c>
      <c r="C179" s="2" t="s">
        <v>210</v>
      </c>
      <c r="D179" s="2" t="s">
        <v>35</v>
      </c>
      <c r="E179" s="4" t="s">
        <v>28</v>
      </c>
      <c r="F179" s="2" t="s">
        <v>274</v>
      </c>
      <c r="G179" s="4" t="s">
        <v>228</v>
      </c>
      <c r="H17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79" s="2" t="str">
        <f>IF(OR(LEFT(Table4[[#This Row],[win_prob]],1)="D",LEFT(Table4[[#This Row],[win_prob]],1)="R"),LEFT(Table4[[#This Row],[win_prob]],1),LEFT(Table4[[#This Row],[Category]],1))</f>
        <v>D</v>
      </c>
      <c r="J17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7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79" s="16" t="str">
        <f>RIGHT(Table4[[#This Row],[Margin]],LEN(Table4[[#This Row],[Margin]])-FIND("+",Table4[[#This Row],[Margin]]))</f>
        <v>8</v>
      </c>
      <c r="M179" s="20" t="str">
        <f>IF(Table4[[#This Row],[listedprob]]=1,"called",IF(LEFT(Table4[[#This Row],[Margin]],1)="D",(Table4[[#This Row],[Numeric Margin]]/2+50)/100,(-Table4[[#This Row],[Numeric Margin]]/2+50)/100))</f>
        <v>called</v>
      </c>
      <c r="N179" s="20" t="str">
        <f>IFERROR(IF(Table4[[#This Row],[D 2pv]]="called","called",Table4[[#This Row],[D 2pv]]*Table4[[#This Row],[Percent of votes in% In]]),Table4[[#This Row],[D 2pv]]*0.95)</f>
        <v>called</v>
      </c>
      <c r="O179" s="20" t="str">
        <f>IF(Table4[[#This Row],[D pct]]="called","called",(Table4[[#This Row],[D 2pv]]+$E$7))</f>
        <v>called</v>
      </c>
      <c r="P17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79" s="21" t="str">
        <f>IF(Table4[[#This Row],[D captured of remain]]="called","called",Table4[[#This Row],[D captured of remain]]+Table4[[#This Row],[D pct]])</f>
        <v>called</v>
      </c>
      <c r="R179" s="22" t="str">
        <f>IF(Table4[[#This Row],[Expected D]]=1,"D",IF(Table4[[#This Row],[Expected R]]=1,"R",IF(Table4[[#This Row],[D total]]&gt;=0.5,"D","R")))</f>
        <v>D</v>
      </c>
      <c r="S179" s="22"/>
      <c r="V179" s="4"/>
    </row>
    <row r="180" spans="2:23" ht="14.5" customHeight="1" x14ac:dyDescent="0.35">
      <c r="B180" s="27">
        <v>171</v>
      </c>
      <c r="C180" s="2" t="s">
        <v>211</v>
      </c>
      <c r="D180" s="2" t="s">
        <v>35</v>
      </c>
      <c r="E180" s="4" t="s">
        <v>28</v>
      </c>
      <c r="F180" s="2" t="s">
        <v>512</v>
      </c>
      <c r="G180" s="4" t="s">
        <v>228</v>
      </c>
      <c r="H18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0" s="2" t="str">
        <f>IF(OR(LEFT(Table4[[#This Row],[win_prob]],1)="D",LEFT(Table4[[#This Row],[win_prob]],1)="R"),LEFT(Table4[[#This Row],[win_prob]],1),LEFT(Table4[[#This Row],[Category]],1))</f>
        <v>D</v>
      </c>
      <c r="J18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0" s="16" t="str">
        <f>RIGHT(Table4[[#This Row],[Margin]],LEN(Table4[[#This Row],[Margin]])-FIND("+",Table4[[#This Row],[Margin]]))</f>
        <v>12</v>
      </c>
      <c r="M180" s="20" t="str">
        <f>IF(Table4[[#This Row],[listedprob]]=1,"called",IF(LEFT(Table4[[#This Row],[Margin]],1)="D",(Table4[[#This Row],[Numeric Margin]]/2+50)/100,(-Table4[[#This Row],[Numeric Margin]]/2+50)/100))</f>
        <v>called</v>
      </c>
      <c r="N180" s="20" t="str">
        <f>IFERROR(IF(Table4[[#This Row],[D 2pv]]="called","called",Table4[[#This Row],[D 2pv]]*Table4[[#This Row],[Percent of votes in% In]]),Table4[[#This Row],[D 2pv]]*0.95)</f>
        <v>called</v>
      </c>
      <c r="O180" s="20" t="str">
        <f>IF(Table4[[#This Row],[D pct]]="called","called",(Table4[[#This Row],[D 2pv]]+$E$7))</f>
        <v>called</v>
      </c>
      <c r="P18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0" s="21" t="str">
        <f>IF(Table4[[#This Row],[D captured of remain]]="called","called",Table4[[#This Row],[D captured of remain]]+Table4[[#This Row],[D pct]])</f>
        <v>called</v>
      </c>
      <c r="R180" s="22" t="str">
        <f>IF(Table4[[#This Row],[Expected D]]=1,"D",IF(Table4[[#This Row],[Expected R]]=1,"R",IF(Table4[[#This Row],[D total]]&gt;=0.5,"D","R")))</f>
        <v>D</v>
      </c>
      <c r="S180" s="22"/>
      <c r="V180" s="4"/>
    </row>
    <row r="181" spans="2:23" x14ac:dyDescent="0.35">
      <c r="B181" s="27">
        <v>172</v>
      </c>
      <c r="C181" s="2" t="s">
        <v>212</v>
      </c>
      <c r="D181" s="2" t="s">
        <v>35</v>
      </c>
      <c r="E181" s="4" t="s">
        <v>28</v>
      </c>
      <c r="F181" s="2" t="s">
        <v>243</v>
      </c>
      <c r="G181" s="4" t="s">
        <v>228</v>
      </c>
      <c r="H18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1" s="2" t="str">
        <f>IF(OR(LEFT(Table4[[#This Row],[win_prob]],1)="D",LEFT(Table4[[#This Row],[win_prob]],1)="R"),LEFT(Table4[[#This Row],[win_prob]],1),LEFT(Table4[[#This Row],[Category]],1))</f>
        <v>D</v>
      </c>
      <c r="J18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1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81" s="16" t="str">
        <f>RIGHT(Table4[[#This Row],[Margin]],LEN(Table4[[#This Row],[Margin]])-FIND("+",Table4[[#This Row],[Margin]]))</f>
        <v>6</v>
      </c>
      <c r="M181" s="20" t="str">
        <f>IF(Table4[[#This Row],[listedprob]]=1,"called",IF(LEFT(Table4[[#This Row],[Margin]],1)="D",(Table4[[#This Row],[Numeric Margin]]/2+50)/100,(-Table4[[#This Row],[Numeric Margin]]/2+50)/100))</f>
        <v>called</v>
      </c>
      <c r="N181" s="20" t="str">
        <f>IFERROR(IF(Table4[[#This Row],[D 2pv]]="called","called",Table4[[#This Row],[D 2pv]]*Table4[[#This Row],[Percent of votes in% In]]),Table4[[#This Row],[D 2pv]]*0.95)</f>
        <v>called</v>
      </c>
      <c r="O181" s="20" t="str">
        <f>IF(Table4[[#This Row],[D pct]]="called","called",(Table4[[#This Row],[D 2pv]]+$E$7))</f>
        <v>called</v>
      </c>
      <c r="P18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1" s="21" t="str">
        <f>IF(Table4[[#This Row],[D captured of remain]]="called","called",Table4[[#This Row],[D captured of remain]]+Table4[[#This Row],[D pct]])</f>
        <v>called</v>
      </c>
      <c r="R181" s="22" t="str">
        <f>IF(Table4[[#This Row],[Expected D]]=1,"D",IF(Table4[[#This Row],[Expected R]]=1,"R",IF(Table4[[#This Row],[D total]]&gt;=0.5,"D","R")))</f>
        <v>D</v>
      </c>
      <c r="S181" s="22"/>
    </row>
    <row r="182" spans="2:23" ht="14.5" customHeight="1" x14ac:dyDescent="0.35">
      <c r="B182" s="27">
        <v>173</v>
      </c>
      <c r="C182" s="2" t="s">
        <v>213</v>
      </c>
      <c r="D182" s="2" t="s">
        <v>35</v>
      </c>
      <c r="E182" s="4" t="s">
        <v>28</v>
      </c>
      <c r="F182" s="2" t="s">
        <v>272</v>
      </c>
      <c r="G182" s="4" t="s">
        <v>228</v>
      </c>
      <c r="H18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2" s="2" t="str">
        <f>IF(OR(LEFT(Table4[[#This Row],[win_prob]],1)="D",LEFT(Table4[[#This Row],[win_prob]],1)="R"),LEFT(Table4[[#This Row],[win_prob]],1),LEFT(Table4[[#This Row],[Category]],1))</f>
        <v>D</v>
      </c>
      <c r="J18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2" s="16" t="str">
        <f>RIGHT(Table4[[#This Row],[Margin]],LEN(Table4[[#This Row],[Margin]])-FIND("+",Table4[[#This Row],[Margin]]))</f>
        <v>13</v>
      </c>
      <c r="M182" s="20" t="str">
        <f>IF(Table4[[#This Row],[listedprob]]=1,"called",IF(LEFT(Table4[[#This Row],[Margin]],1)="D",(Table4[[#This Row],[Numeric Margin]]/2+50)/100,(-Table4[[#This Row],[Numeric Margin]]/2+50)/100))</f>
        <v>called</v>
      </c>
      <c r="N182" s="20" t="str">
        <f>IFERROR(IF(Table4[[#This Row],[D 2pv]]="called","called",Table4[[#This Row],[D 2pv]]*Table4[[#This Row],[Percent of votes in% In]]),Table4[[#This Row],[D 2pv]]*0.95)</f>
        <v>called</v>
      </c>
      <c r="O182" s="20" t="str">
        <f>IF(Table4[[#This Row],[D pct]]="called","called",(Table4[[#This Row],[D 2pv]]+$E$7))</f>
        <v>called</v>
      </c>
      <c r="P18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2" s="21" t="str">
        <f>IF(Table4[[#This Row],[D captured of remain]]="called","called",Table4[[#This Row],[D captured of remain]]+Table4[[#This Row],[D pct]])</f>
        <v>called</v>
      </c>
      <c r="R182" s="22" t="str">
        <f>IF(Table4[[#This Row],[Expected D]]=1,"D",IF(Table4[[#This Row],[Expected R]]=1,"R",IF(Table4[[#This Row],[D total]]&gt;=0.5,"D","R")))</f>
        <v>D</v>
      </c>
      <c r="S182" s="22"/>
      <c r="V182" s="4"/>
      <c r="W182" s="4"/>
    </row>
    <row r="183" spans="2:23" ht="14.5" customHeight="1" x14ac:dyDescent="0.35">
      <c r="B183" s="27">
        <v>174</v>
      </c>
      <c r="C183" s="2" t="s">
        <v>214</v>
      </c>
      <c r="D183" s="2" t="s">
        <v>35</v>
      </c>
      <c r="E183" s="4" t="s">
        <v>28</v>
      </c>
      <c r="F183" s="2" t="s">
        <v>523</v>
      </c>
      <c r="G183" s="4" t="s">
        <v>228</v>
      </c>
      <c r="H18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3" s="2" t="str">
        <f>IF(OR(LEFT(Table4[[#This Row],[win_prob]],1)="D",LEFT(Table4[[#This Row],[win_prob]],1)="R"),LEFT(Table4[[#This Row],[win_prob]],1),LEFT(Table4[[#This Row],[Category]],1))</f>
        <v>D</v>
      </c>
      <c r="J18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3" s="16" t="str">
        <f>RIGHT(Table4[[#This Row],[Margin]],LEN(Table4[[#This Row],[Margin]])-FIND("+",Table4[[#This Row],[Margin]]))</f>
        <v>10</v>
      </c>
      <c r="M183" s="20" t="str">
        <f>IF(Table4[[#This Row],[listedprob]]=1,"called",IF(LEFT(Table4[[#This Row],[Margin]],1)="D",(Table4[[#This Row],[Numeric Margin]]/2+50)/100,(-Table4[[#This Row],[Numeric Margin]]/2+50)/100))</f>
        <v>called</v>
      </c>
      <c r="N183" s="20" t="str">
        <f>IFERROR(IF(Table4[[#This Row],[D 2pv]]="called","called",Table4[[#This Row],[D 2pv]]*Table4[[#This Row],[Percent of votes in% In]]),Table4[[#This Row],[D 2pv]]*0.95)</f>
        <v>called</v>
      </c>
      <c r="O183" s="20" t="str">
        <f>IF(Table4[[#This Row],[D pct]]="called","called",(Table4[[#This Row],[D 2pv]]+$E$7))</f>
        <v>called</v>
      </c>
      <c r="P18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3" s="21" t="str">
        <f>IF(Table4[[#This Row],[D captured of remain]]="called","called",Table4[[#This Row],[D captured of remain]]+Table4[[#This Row],[D pct]])</f>
        <v>called</v>
      </c>
      <c r="R183" s="22" t="str">
        <f>IF(Table4[[#This Row],[Expected D]]=1,"D",IF(Table4[[#This Row],[Expected R]]=1,"R",IF(Table4[[#This Row],[D total]]&gt;=0.5,"D","R")))</f>
        <v>D</v>
      </c>
      <c r="S183" s="22"/>
      <c r="V183" s="4"/>
    </row>
    <row r="184" spans="2:23" x14ac:dyDescent="0.35">
      <c r="B184" s="27">
        <v>175</v>
      </c>
      <c r="C184" s="2" t="s">
        <v>215</v>
      </c>
      <c r="D184" s="2" t="s">
        <v>35</v>
      </c>
      <c r="E184" s="2" t="s">
        <v>28</v>
      </c>
      <c r="F184" s="2" t="s">
        <v>247</v>
      </c>
      <c r="G184" s="4" t="s">
        <v>228</v>
      </c>
      <c r="H18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4" s="2" t="str">
        <f>IF(OR(LEFT(Table4[[#This Row],[win_prob]],1)="D",LEFT(Table4[[#This Row],[win_prob]],1)="R"),LEFT(Table4[[#This Row],[win_prob]],1),LEFT(Table4[[#This Row],[Category]],1))</f>
        <v>D</v>
      </c>
      <c r="J18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4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84" s="16" t="str">
        <f>RIGHT(Table4[[#This Row],[Margin]],LEN(Table4[[#This Row],[Margin]])-FIND("+",Table4[[#This Row],[Margin]]))</f>
        <v>5</v>
      </c>
      <c r="M184" s="20" t="str">
        <f>IF(Table4[[#This Row],[listedprob]]=1,"called",IF(LEFT(Table4[[#This Row],[Margin]],1)="D",(Table4[[#This Row],[Numeric Margin]]/2+50)/100,(-Table4[[#This Row],[Numeric Margin]]/2+50)/100))</f>
        <v>called</v>
      </c>
      <c r="N184" s="20" t="str">
        <f>IFERROR(IF(Table4[[#This Row],[D 2pv]]="called","called",Table4[[#This Row],[D 2pv]]*Table4[[#This Row],[Percent of votes in% In]]),Table4[[#This Row],[D 2pv]]*0.95)</f>
        <v>called</v>
      </c>
      <c r="O184" s="20" t="str">
        <f>IF(Table4[[#This Row],[D pct]]="called","called",(Table4[[#This Row],[D 2pv]]+$E$7))</f>
        <v>called</v>
      </c>
      <c r="P18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4" s="21" t="str">
        <f>IF(Table4[[#This Row],[D captured of remain]]="called","called",Table4[[#This Row],[D captured of remain]]+Table4[[#This Row],[D pct]])</f>
        <v>called</v>
      </c>
      <c r="R184" s="22" t="str">
        <f>IF(Table4[[#This Row],[Expected D]]=1,"D",IF(Table4[[#This Row],[Expected R]]=1,"R",IF(Table4[[#This Row],[D total]]&gt;=0.5,"D","R")))</f>
        <v>D</v>
      </c>
      <c r="S184" s="22"/>
      <c r="V184" s="4"/>
    </row>
    <row r="185" spans="2:23" x14ac:dyDescent="0.35">
      <c r="B185" s="27">
        <v>176</v>
      </c>
      <c r="C185" s="2" t="s">
        <v>216</v>
      </c>
      <c r="D185" s="2" t="s">
        <v>35</v>
      </c>
      <c r="E185" s="4" t="s">
        <v>28</v>
      </c>
      <c r="F185" s="2" t="s">
        <v>512</v>
      </c>
      <c r="G185" s="4" t="s">
        <v>228</v>
      </c>
      <c r="H18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5" s="2" t="str">
        <f>IF(OR(LEFT(Table4[[#This Row],[win_prob]],1)="D",LEFT(Table4[[#This Row],[win_prob]],1)="R"),LEFT(Table4[[#This Row],[win_prob]],1),LEFT(Table4[[#This Row],[Category]],1))</f>
        <v>D</v>
      </c>
      <c r="J18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5" s="16" t="str">
        <f>RIGHT(Table4[[#This Row],[Margin]],LEN(Table4[[#This Row],[Margin]])-FIND("+",Table4[[#This Row],[Margin]]))</f>
        <v>12</v>
      </c>
      <c r="M185" s="20" t="str">
        <f>IF(Table4[[#This Row],[listedprob]]=1,"called",IF(LEFT(Table4[[#This Row],[Margin]],1)="D",(Table4[[#This Row],[Numeric Margin]]/2+50)/100,(-Table4[[#This Row],[Numeric Margin]]/2+50)/100))</f>
        <v>called</v>
      </c>
      <c r="N185" s="20" t="str">
        <f>IFERROR(IF(Table4[[#This Row],[D 2pv]]="called","called",Table4[[#This Row],[D 2pv]]*Table4[[#This Row],[Percent of votes in% In]]),Table4[[#This Row],[D 2pv]]*0.95)</f>
        <v>called</v>
      </c>
      <c r="O185" s="20" t="str">
        <f>IF(Table4[[#This Row],[D pct]]="called","called",(Table4[[#This Row],[D 2pv]]+$E$7))</f>
        <v>called</v>
      </c>
      <c r="P18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5" s="21" t="str">
        <f>IF(Table4[[#This Row],[D captured of remain]]="called","called",Table4[[#This Row],[D captured of remain]]+Table4[[#This Row],[D pct]])</f>
        <v>called</v>
      </c>
      <c r="R185" s="22" t="str">
        <f>IF(Table4[[#This Row],[Expected D]]=1,"D",IF(Table4[[#This Row],[Expected R]]=1,"R",IF(Table4[[#This Row],[D total]]&gt;=0.5,"D","R")))</f>
        <v>D</v>
      </c>
      <c r="S185" s="22"/>
      <c r="V185" s="4"/>
      <c r="W185" s="4"/>
    </row>
    <row r="186" spans="2:23" x14ac:dyDescent="0.35">
      <c r="B186" s="27">
        <v>177</v>
      </c>
      <c r="C186" s="2" t="s">
        <v>217</v>
      </c>
      <c r="D186" s="2" t="s">
        <v>35</v>
      </c>
      <c r="E186" s="4" t="s">
        <v>28</v>
      </c>
      <c r="F186" s="2" t="s">
        <v>550</v>
      </c>
      <c r="G186" s="4" t="s">
        <v>228</v>
      </c>
      <c r="H18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6" s="2" t="str">
        <f>IF(OR(LEFT(Table4[[#This Row],[win_prob]],1)="D",LEFT(Table4[[#This Row],[win_prob]],1)="R"),LEFT(Table4[[#This Row],[win_prob]],1),LEFT(Table4[[#This Row],[Category]],1))</f>
        <v>D</v>
      </c>
      <c r="J18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6" s="16" t="str">
        <f>RIGHT(Table4[[#This Row],[Margin]],LEN(Table4[[#This Row],[Margin]])-FIND("+",Table4[[#This Row],[Margin]]))</f>
        <v>11</v>
      </c>
      <c r="M186" s="20" t="str">
        <f>IF(Table4[[#This Row],[listedprob]]=1,"called",IF(LEFT(Table4[[#This Row],[Margin]],1)="D",(Table4[[#This Row],[Numeric Margin]]/2+50)/100,(-Table4[[#This Row],[Numeric Margin]]/2+50)/100))</f>
        <v>called</v>
      </c>
      <c r="N186" s="20" t="str">
        <f>IFERROR(IF(Table4[[#This Row],[D 2pv]]="called","called",Table4[[#This Row],[D 2pv]]*Table4[[#This Row],[Percent of votes in% In]]),Table4[[#This Row],[D 2pv]]*0.95)</f>
        <v>called</v>
      </c>
      <c r="O186" s="20" t="str">
        <f>IF(Table4[[#This Row],[D pct]]="called","called",(Table4[[#This Row],[D 2pv]]+$E$7))</f>
        <v>called</v>
      </c>
      <c r="P18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6" s="21" t="str">
        <f>IF(Table4[[#This Row],[D captured of remain]]="called","called",Table4[[#This Row],[D captured of remain]]+Table4[[#This Row],[D pct]])</f>
        <v>called</v>
      </c>
      <c r="R186" s="22" t="str">
        <f>IF(Table4[[#This Row],[Expected D]]=1,"D",IF(Table4[[#This Row],[Expected R]]=1,"R",IF(Table4[[#This Row],[D total]]&gt;=0.5,"D","R")))</f>
        <v>D</v>
      </c>
      <c r="S186" s="22"/>
      <c r="V186" s="4"/>
    </row>
    <row r="187" spans="2:23" x14ac:dyDescent="0.35">
      <c r="B187" s="27">
        <v>178</v>
      </c>
      <c r="C187" s="2" t="s">
        <v>218</v>
      </c>
      <c r="D187" s="2" t="s">
        <v>35</v>
      </c>
      <c r="E187" s="4" t="s">
        <v>28</v>
      </c>
      <c r="F187" s="2" t="s">
        <v>523</v>
      </c>
      <c r="G187" s="4" t="s">
        <v>228</v>
      </c>
      <c r="H18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7" s="2" t="str">
        <f>IF(OR(LEFT(Table4[[#This Row],[win_prob]],1)="D",LEFT(Table4[[#This Row],[win_prob]],1)="R"),LEFT(Table4[[#This Row],[win_prob]],1),LEFT(Table4[[#This Row],[Category]],1))</f>
        <v>D</v>
      </c>
      <c r="J18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7" s="16" t="str">
        <f>RIGHT(Table4[[#This Row],[Margin]],LEN(Table4[[#This Row],[Margin]])-FIND("+",Table4[[#This Row],[Margin]]))</f>
        <v>10</v>
      </c>
      <c r="M187" s="20" t="str">
        <f>IF(Table4[[#This Row],[listedprob]]=1,"called",IF(LEFT(Table4[[#This Row],[Margin]],1)="D",(Table4[[#This Row],[Numeric Margin]]/2+50)/100,(-Table4[[#This Row],[Numeric Margin]]/2+50)/100))</f>
        <v>called</v>
      </c>
      <c r="N187" s="20" t="str">
        <f>IFERROR(IF(Table4[[#This Row],[D 2pv]]="called","called",Table4[[#This Row],[D 2pv]]*Table4[[#This Row],[Percent of votes in% In]]),Table4[[#This Row],[D 2pv]]*0.95)</f>
        <v>called</v>
      </c>
      <c r="O187" s="20" t="str">
        <f>IF(Table4[[#This Row],[D pct]]="called","called",(Table4[[#This Row],[D 2pv]]+$E$7))</f>
        <v>called</v>
      </c>
      <c r="P18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7" s="21" t="str">
        <f>IF(Table4[[#This Row],[D captured of remain]]="called","called",Table4[[#This Row],[D captured of remain]]+Table4[[#This Row],[D pct]])</f>
        <v>called</v>
      </c>
      <c r="R187" s="22" t="str">
        <f>IF(Table4[[#This Row],[Expected D]]=1,"D",IF(Table4[[#This Row],[Expected R]]=1,"R",IF(Table4[[#This Row],[D total]]&gt;=0.5,"D","R")))</f>
        <v>D</v>
      </c>
      <c r="S187" s="22"/>
      <c r="V187" s="4"/>
      <c r="W187" s="4"/>
    </row>
    <row r="188" spans="2:23" x14ac:dyDescent="0.35">
      <c r="B188" s="27">
        <v>179</v>
      </c>
      <c r="C188" s="2" t="s">
        <v>219</v>
      </c>
      <c r="D188" s="2" t="s">
        <v>35</v>
      </c>
      <c r="E188" s="4" t="s">
        <v>28</v>
      </c>
      <c r="F188" s="2" t="s">
        <v>527</v>
      </c>
      <c r="G188" s="4" t="s">
        <v>228</v>
      </c>
      <c r="H18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8" s="2" t="str">
        <f>IF(OR(LEFT(Table4[[#This Row],[win_prob]],1)="D",LEFT(Table4[[#This Row],[win_prob]],1)="R"),LEFT(Table4[[#This Row],[win_prob]],1),LEFT(Table4[[#This Row],[Category]],1))</f>
        <v>D</v>
      </c>
      <c r="J18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88" s="16" t="str">
        <f>RIGHT(Table4[[#This Row],[Margin]],LEN(Table4[[#This Row],[Margin]])-FIND("+",Table4[[#This Row],[Margin]]))</f>
        <v>16</v>
      </c>
      <c r="M188" s="20" t="str">
        <f>IF(Table4[[#This Row],[listedprob]]=1,"called",IF(LEFT(Table4[[#This Row],[Margin]],1)="D",(Table4[[#This Row],[Numeric Margin]]/2+50)/100,(-Table4[[#This Row],[Numeric Margin]]/2+50)/100))</f>
        <v>called</v>
      </c>
      <c r="N188" s="20" t="str">
        <f>IFERROR(IF(Table4[[#This Row],[D 2pv]]="called","called",Table4[[#This Row],[D 2pv]]*Table4[[#This Row],[Percent of votes in% In]]),Table4[[#This Row],[D 2pv]]*0.95)</f>
        <v>called</v>
      </c>
      <c r="O188" s="20" t="str">
        <f>IF(Table4[[#This Row],[D pct]]="called","called",(Table4[[#This Row],[D 2pv]]+$E$7))</f>
        <v>called</v>
      </c>
      <c r="P18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8" s="21" t="str">
        <f>IF(Table4[[#This Row],[D captured of remain]]="called","called",Table4[[#This Row],[D captured of remain]]+Table4[[#This Row],[D pct]])</f>
        <v>called</v>
      </c>
      <c r="R188" s="22" t="str">
        <f>IF(Table4[[#This Row],[Expected D]]=1,"D",IF(Table4[[#This Row],[Expected R]]=1,"R",IF(Table4[[#This Row],[D total]]&gt;=0.5,"D","R")))</f>
        <v>D</v>
      </c>
      <c r="S188" s="22"/>
      <c r="V188" s="4"/>
      <c r="W188" s="4"/>
    </row>
    <row r="189" spans="2:23" x14ac:dyDescent="0.35">
      <c r="B189" s="27">
        <v>180</v>
      </c>
      <c r="C189" s="2" t="s">
        <v>220</v>
      </c>
      <c r="D189" s="2" t="s">
        <v>35</v>
      </c>
      <c r="E189" s="4" t="s">
        <v>28</v>
      </c>
      <c r="F189" s="2" t="s">
        <v>678</v>
      </c>
      <c r="G189" s="4" t="s">
        <v>228</v>
      </c>
      <c r="H18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89" s="2" t="str">
        <f>IF(OR(LEFT(Table4[[#This Row],[win_prob]],1)="D",LEFT(Table4[[#This Row],[win_prob]],1)="R"),LEFT(Table4[[#This Row],[win_prob]],1),LEFT(Table4[[#This Row],[Category]],1))</f>
        <v>D</v>
      </c>
      <c r="J18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89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89" s="16" t="str">
        <f>RIGHT(Table4[[#This Row],[Margin]],LEN(Table4[[#This Row],[Margin]])-FIND("+",Table4[[#This Row],[Margin]]))</f>
        <v>0.99</v>
      </c>
      <c r="M189" s="20" t="str">
        <f>IF(Table4[[#This Row],[listedprob]]=1,"called",IF(LEFT(Table4[[#This Row],[Margin]],1)="D",(Table4[[#This Row],[Numeric Margin]]/2+50)/100,(-Table4[[#This Row],[Numeric Margin]]/2+50)/100))</f>
        <v>called</v>
      </c>
      <c r="N189" s="20" t="str">
        <f>IFERROR(IF(Table4[[#This Row],[D 2pv]]="called","called",Table4[[#This Row],[D 2pv]]*Table4[[#This Row],[Percent of votes in% In]]),Table4[[#This Row],[D 2pv]]*0.95)</f>
        <v>called</v>
      </c>
      <c r="O189" s="20" t="str">
        <f>IF(Table4[[#This Row],[D pct]]="called","called",(Table4[[#This Row],[D 2pv]]+$E$7))</f>
        <v>called</v>
      </c>
      <c r="P18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89" s="21" t="str">
        <f>IF(Table4[[#This Row],[D captured of remain]]="called","called",Table4[[#This Row],[D captured of remain]]+Table4[[#This Row],[D pct]])</f>
        <v>called</v>
      </c>
      <c r="R189" s="22" t="str">
        <f>IF(Table4[[#This Row],[Expected D]]=1,"D",IF(Table4[[#This Row],[Expected R]]=1,"R",IF(Table4[[#This Row],[D total]]&gt;=0.5,"D","R")))</f>
        <v>D</v>
      </c>
      <c r="S189" s="22"/>
      <c r="V189" s="4"/>
    </row>
    <row r="190" spans="2:23" x14ac:dyDescent="0.35">
      <c r="B190" s="27">
        <v>181</v>
      </c>
      <c r="C190" s="2" t="s">
        <v>221</v>
      </c>
      <c r="D190" s="2" t="s">
        <v>35</v>
      </c>
      <c r="E190" s="4" t="s">
        <v>28</v>
      </c>
      <c r="F190" s="2" t="s">
        <v>254</v>
      </c>
      <c r="G190" s="4" t="s">
        <v>228</v>
      </c>
      <c r="H19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0" s="2" t="str">
        <f>IF(OR(LEFT(Table4[[#This Row],[win_prob]],1)="D",LEFT(Table4[[#This Row],[win_prob]],1)="R"),LEFT(Table4[[#This Row],[win_prob]],1),LEFT(Table4[[#This Row],[Category]],1))</f>
        <v>D</v>
      </c>
      <c r="J19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0" s="16" t="str">
        <f>RIGHT(Table4[[#This Row],[Margin]],LEN(Table4[[#This Row],[Margin]])-FIND("+",Table4[[#This Row],[Margin]]))</f>
        <v>7</v>
      </c>
      <c r="M190" s="20" t="str">
        <f>IF(Table4[[#This Row],[listedprob]]=1,"called",IF(LEFT(Table4[[#This Row],[Margin]],1)="D",(Table4[[#This Row],[Numeric Margin]]/2+50)/100,(-Table4[[#This Row],[Numeric Margin]]/2+50)/100))</f>
        <v>called</v>
      </c>
      <c r="N190" s="20" t="str">
        <f>IFERROR(IF(Table4[[#This Row],[D 2pv]]="called","called",Table4[[#This Row],[D 2pv]]*Table4[[#This Row],[Percent of votes in% In]]),Table4[[#This Row],[D 2pv]]*0.95)</f>
        <v>called</v>
      </c>
      <c r="O190" s="20" t="str">
        <f>IF(Table4[[#This Row],[D pct]]="called","called",(Table4[[#This Row],[D 2pv]]+$E$7))</f>
        <v>called</v>
      </c>
      <c r="P19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0" s="21" t="str">
        <f>IF(Table4[[#This Row],[D captured of remain]]="called","called",Table4[[#This Row],[D captured of remain]]+Table4[[#This Row],[D pct]])</f>
        <v>called</v>
      </c>
      <c r="R190" s="22" t="str">
        <f>IF(Table4[[#This Row],[Expected D]]=1,"D",IF(Table4[[#This Row],[Expected R]]=1,"R",IF(Table4[[#This Row],[D total]]&gt;=0.5,"D","R")))</f>
        <v>D</v>
      </c>
      <c r="S190" s="22"/>
      <c r="V190" s="4"/>
      <c r="W190" s="4"/>
    </row>
    <row r="191" spans="2:23" x14ac:dyDescent="0.35">
      <c r="B191" s="27">
        <v>182</v>
      </c>
      <c r="C191" s="2" t="s">
        <v>222</v>
      </c>
      <c r="D191" s="2" t="s">
        <v>35</v>
      </c>
      <c r="E191" s="4" t="s">
        <v>28</v>
      </c>
      <c r="F191" s="2" t="s">
        <v>247</v>
      </c>
      <c r="G191" s="4" t="s">
        <v>228</v>
      </c>
      <c r="H19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1" s="2" t="str">
        <f>IF(OR(LEFT(Table4[[#This Row],[win_prob]],1)="D",LEFT(Table4[[#This Row],[win_prob]],1)="R"),LEFT(Table4[[#This Row],[win_prob]],1),LEFT(Table4[[#This Row],[Category]],1))</f>
        <v>D</v>
      </c>
      <c r="J19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1" s="16" t="str">
        <f>RIGHT(Table4[[#This Row],[Margin]],LEN(Table4[[#This Row],[Margin]])-FIND("+",Table4[[#This Row],[Margin]]))</f>
        <v>5</v>
      </c>
      <c r="M191" s="20" t="str">
        <f>IF(Table4[[#This Row],[listedprob]]=1,"called",IF(LEFT(Table4[[#This Row],[Margin]],1)="D",(Table4[[#This Row],[Numeric Margin]]/2+50)/100,(-Table4[[#This Row],[Numeric Margin]]/2+50)/100))</f>
        <v>called</v>
      </c>
      <c r="N191" s="20" t="str">
        <f>IFERROR(IF(Table4[[#This Row],[D 2pv]]="called","called",Table4[[#This Row],[D 2pv]]*Table4[[#This Row],[Percent of votes in% In]]),Table4[[#This Row],[D 2pv]]*0.95)</f>
        <v>called</v>
      </c>
      <c r="O191" s="20" t="str">
        <f>IF(Table4[[#This Row],[D pct]]="called","called",(Table4[[#This Row],[D 2pv]]+$E$7))</f>
        <v>called</v>
      </c>
      <c r="P19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1" s="21" t="str">
        <f>IF(Table4[[#This Row],[D captured of remain]]="called","called",Table4[[#This Row],[D captured of remain]]+Table4[[#This Row],[D pct]])</f>
        <v>called</v>
      </c>
      <c r="R191" s="22" t="str">
        <f>IF(Table4[[#This Row],[Expected D]]=1,"D",IF(Table4[[#This Row],[Expected R]]=1,"R",IF(Table4[[#This Row],[D total]]&gt;=0.5,"D","R")))</f>
        <v>D</v>
      </c>
      <c r="S191" s="22"/>
      <c r="V191" s="4"/>
    </row>
    <row r="192" spans="2:23" x14ac:dyDescent="0.35">
      <c r="B192" s="27">
        <v>183</v>
      </c>
      <c r="C192" s="2" t="s">
        <v>223</v>
      </c>
      <c r="D192" s="2" t="s">
        <v>35</v>
      </c>
      <c r="E192" s="4" t="s">
        <v>28</v>
      </c>
      <c r="F192" s="2" t="s">
        <v>557</v>
      </c>
      <c r="G192" s="4" t="s">
        <v>228</v>
      </c>
      <c r="H19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2" s="2" t="str">
        <f>IF(OR(LEFT(Table4[[#This Row],[win_prob]],1)="D",LEFT(Table4[[#This Row],[win_prob]],1)="R"),LEFT(Table4[[#This Row],[win_prob]],1),LEFT(Table4[[#This Row],[Category]],1))</f>
        <v>D</v>
      </c>
      <c r="J19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2" s="16" t="str">
        <f>RIGHT(Table4[[#This Row],[Margin]],LEN(Table4[[#This Row],[Margin]])-FIND("+",Table4[[#This Row],[Margin]]))</f>
        <v>9</v>
      </c>
      <c r="M192" s="20" t="str">
        <f>IF(Table4[[#This Row],[listedprob]]=1,"called",IF(LEFT(Table4[[#This Row],[Margin]],1)="D",(Table4[[#This Row],[Numeric Margin]]/2+50)/100,(-Table4[[#This Row],[Numeric Margin]]/2+50)/100))</f>
        <v>called</v>
      </c>
      <c r="N192" s="20" t="str">
        <f>IFERROR(IF(Table4[[#This Row],[D 2pv]]="called","called",Table4[[#This Row],[D 2pv]]*Table4[[#This Row],[Percent of votes in% In]]),Table4[[#This Row],[D 2pv]]*0.95)</f>
        <v>called</v>
      </c>
      <c r="O192" s="20" t="str">
        <f>IF(Table4[[#This Row],[D pct]]="called","called",(Table4[[#This Row],[D 2pv]]+$E$7))</f>
        <v>called</v>
      </c>
      <c r="P19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2" s="21" t="str">
        <f>IF(Table4[[#This Row],[D captured of remain]]="called","called",Table4[[#This Row],[D captured of remain]]+Table4[[#This Row],[D pct]])</f>
        <v>called</v>
      </c>
      <c r="R192" s="22" t="str">
        <f>IF(Table4[[#This Row],[Expected D]]=1,"D",IF(Table4[[#This Row],[Expected R]]=1,"R",IF(Table4[[#This Row],[D total]]&gt;=0.5,"D","R")))</f>
        <v>D</v>
      </c>
      <c r="S192" s="22"/>
      <c r="V192" s="4"/>
    </row>
    <row r="193" spans="2:23" x14ac:dyDescent="0.35">
      <c r="B193" s="27">
        <v>184</v>
      </c>
      <c r="C193" s="2" t="s">
        <v>224</v>
      </c>
      <c r="D193" s="2" t="s">
        <v>35</v>
      </c>
      <c r="E193" s="4" t="s">
        <v>28</v>
      </c>
      <c r="F193" s="2" t="s">
        <v>272</v>
      </c>
      <c r="G193" s="4" t="s">
        <v>228</v>
      </c>
      <c r="H19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3" s="2" t="str">
        <f>IF(OR(LEFT(Table4[[#This Row],[win_prob]],1)="D",LEFT(Table4[[#This Row],[win_prob]],1)="R"),LEFT(Table4[[#This Row],[win_prob]],1),LEFT(Table4[[#This Row],[Category]],1))</f>
        <v>D</v>
      </c>
      <c r="J19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3" s="16" t="str">
        <f>RIGHT(Table4[[#This Row],[Margin]],LEN(Table4[[#This Row],[Margin]])-FIND("+",Table4[[#This Row],[Margin]]))</f>
        <v>13</v>
      </c>
      <c r="M193" s="20" t="str">
        <f>IF(Table4[[#This Row],[listedprob]]=1,"called",IF(LEFT(Table4[[#This Row],[Margin]],1)="D",(Table4[[#This Row],[Numeric Margin]]/2+50)/100,(-Table4[[#This Row],[Numeric Margin]]/2+50)/100))</f>
        <v>called</v>
      </c>
      <c r="N193" s="20" t="str">
        <f>IFERROR(IF(Table4[[#This Row],[D 2pv]]="called","called",Table4[[#This Row],[D 2pv]]*Table4[[#This Row],[Percent of votes in% In]]),Table4[[#This Row],[D 2pv]]*0.95)</f>
        <v>called</v>
      </c>
      <c r="O193" s="20" t="str">
        <f>IF(Table4[[#This Row],[D pct]]="called","called",(Table4[[#This Row],[D 2pv]]+$E$7))</f>
        <v>called</v>
      </c>
      <c r="P19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3" s="21" t="str">
        <f>IF(Table4[[#This Row],[D captured of remain]]="called","called",Table4[[#This Row],[D captured of remain]]+Table4[[#This Row],[D pct]])</f>
        <v>called</v>
      </c>
      <c r="R193" s="22" t="str">
        <f>IF(Table4[[#This Row],[Expected D]]=1,"D",IF(Table4[[#This Row],[Expected R]]=1,"R",IF(Table4[[#This Row],[D total]]&gt;=0.5,"D","R")))</f>
        <v>D</v>
      </c>
      <c r="S193" s="22"/>
      <c r="V193" s="4"/>
    </row>
    <row r="194" spans="2:23" x14ac:dyDescent="0.35">
      <c r="B194" s="27">
        <v>185</v>
      </c>
      <c r="C194" s="2" t="s">
        <v>225</v>
      </c>
      <c r="D194" s="2" t="s">
        <v>35</v>
      </c>
      <c r="E194" s="4" t="s">
        <v>28</v>
      </c>
      <c r="F194" s="2" t="s">
        <v>274</v>
      </c>
      <c r="G194" s="4" t="s">
        <v>228</v>
      </c>
      <c r="H19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4" s="2" t="str">
        <f>IF(OR(LEFT(Table4[[#This Row],[win_prob]],1)="D",LEFT(Table4[[#This Row],[win_prob]],1)="R"),LEFT(Table4[[#This Row],[win_prob]],1),LEFT(Table4[[#This Row],[Category]],1))</f>
        <v>D</v>
      </c>
      <c r="J19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4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194" s="16" t="str">
        <f>RIGHT(Table4[[#This Row],[Margin]],LEN(Table4[[#This Row],[Margin]])-FIND("+",Table4[[#This Row],[Margin]]))</f>
        <v>8</v>
      </c>
      <c r="M194" s="20" t="str">
        <f>IF(Table4[[#This Row],[listedprob]]=1,"called",IF(LEFT(Table4[[#This Row],[Margin]],1)="D",(Table4[[#This Row],[Numeric Margin]]/2+50)/100,(-Table4[[#This Row],[Numeric Margin]]/2+50)/100))</f>
        <v>called</v>
      </c>
      <c r="N194" s="20" t="str">
        <f>IFERROR(IF(Table4[[#This Row],[D 2pv]]="called","called",Table4[[#This Row],[D 2pv]]*Table4[[#This Row],[Percent of votes in% In]]),Table4[[#This Row],[D 2pv]]*0.95)</f>
        <v>called</v>
      </c>
      <c r="O194" s="20" t="str">
        <f>IF(Table4[[#This Row],[D pct]]="called","called",(Table4[[#This Row],[D 2pv]]+$E$7))</f>
        <v>called</v>
      </c>
      <c r="P19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4" s="21" t="str">
        <f>IF(Table4[[#This Row],[D captured of remain]]="called","called",Table4[[#This Row],[D captured of remain]]+Table4[[#This Row],[D pct]])</f>
        <v>called</v>
      </c>
      <c r="R194" s="22" t="str">
        <f>IF(Table4[[#This Row],[Expected D]]=1,"D",IF(Table4[[#This Row],[Expected R]]=1,"R",IF(Table4[[#This Row],[D total]]&gt;=0.5,"D","R")))</f>
        <v>D</v>
      </c>
      <c r="S194" s="22"/>
      <c r="V194" s="4"/>
    </row>
    <row r="195" spans="2:23" x14ac:dyDescent="0.35">
      <c r="B195" s="27">
        <v>186</v>
      </c>
      <c r="C195" s="2" t="s">
        <v>226</v>
      </c>
      <c r="D195" s="2" t="s">
        <v>35</v>
      </c>
      <c r="E195" s="4" t="s">
        <v>28</v>
      </c>
      <c r="F195" s="2" t="s">
        <v>512</v>
      </c>
      <c r="G195" s="4" t="s">
        <v>228</v>
      </c>
      <c r="H19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5" s="2" t="str">
        <f>IF(OR(LEFT(Table4[[#This Row],[win_prob]],1)="D",LEFT(Table4[[#This Row],[win_prob]],1)="R"),LEFT(Table4[[#This Row],[win_prob]],1),LEFT(Table4[[#This Row],[Category]],1))</f>
        <v>D</v>
      </c>
      <c r="J19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5" s="16" t="str">
        <f>RIGHT(Table4[[#This Row],[Margin]],LEN(Table4[[#This Row],[Margin]])-FIND("+",Table4[[#This Row],[Margin]]))</f>
        <v>12</v>
      </c>
      <c r="M195" s="20" t="str">
        <f>IF(Table4[[#This Row],[listedprob]]=1,"called",IF(LEFT(Table4[[#This Row],[Margin]],1)="D",(Table4[[#This Row],[Numeric Margin]]/2+50)/100,(-Table4[[#This Row],[Numeric Margin]]/2+50)/100))</f>
        <v>called</v>
      </c>
      <c r="N195" s="20" t="str">
        <f>IFERROR(IF(Table4[[#This Row],[D 2pv]]="called","called",Table4[[#This Row],[D 2pv]]*Table4[[#This Row],[Percent of votes in% In]]),Table4[[#This Row],[D 2pv]]*0.95)</f>
        <v>called</v>
      </c>
      <c r="O195" s="20" t="str">
        <f>IF(Table4[[#This Row],[D pct]]="called","called",(Table4[[#This Row],[D 2pv]]+$E$7))</f>
        <v>called</v>
      </c>
      <c r="P19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5" s="21" t="str">
        <f>IF(Table4[[#This Row],[D captured of remain]]="called","called",Table4[[#This Row],[D captured of remain]]+Table4[[#This Row],[D pct]])</f>
        <v>called</v>
      </c>
      <c r="R195" s="22" t="str">
        <f>IF(Table4[[#This Row],[Expected D]]=1,"D",IF(Table4[[#This Row],[Expected R]]=1,"R",IF(Table4[[#This Row],[D total]]&gt;=0.5,"D","R")))</f>
        <v>D</v>
      </c>
      <c r="S195" s="22"/>
      <c r="V195" s="4"/>
      <c r="W195" s="4"/>
    </row>
    <row r="196" spans="2:23" x14ac:dyDescent="0.35">
      <c r="B196" s="27">
        <v>187</v>
      </c>
      <c r="C196" s="2" t="s">
        <v>227</v>
      </c>
      <c r="D196" s="2" t="s">
        <v>35</v>
      </c>
      <c r="E196" s="4" t="s">
        <v>28</v>
      </c>
      <c r="F196" s="2" t="s">
        <v>254</v>
      </c>
      <c r="G196" s="4" t="s">
        <v>228</v>
      </c>
      <c r="H19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6" s="2" t="str">
        <f>IF(OR(LEFT(Table4[[#This Row],[win_prob]],1)="D",LEFT(Table4[[#This Row],[win_prob]],1)="R"),LEFT(Table4[[#This Row],[win_prob]],1),LEFT(Table4[[#This Row],[Category]],1))</f>
        <v>D</v>
      </c>
      <c r="J19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19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196" s="16" t="str">
        <f>RIGHT(Table4[[#This Row],[Margin]],LEN(Table4[[#This Row],[Margin]])-FIND("+",Table4[[#This Row],[Margin]]))</f>
        <v>7</v>
      </c>
      <c r="M196" s="20" t="str">
        <f>IF(Table4[[#This Row],[listedprob]]=1,"called",IF(LEFT(Table4[[#This Row],[Margin]],1)="D",(Table4[[#This Row],[Numeric Margin]]/2+50)/100,(-Table4[[#This Row],[Numeric Margin]]/2+50)/100))</f>
        <v>called</v>
      </c>
      <c r="N196" s="20" t="str">
        <f>IFERROR(IF(Table4[[#This Row],[D 2pv]]="called","called",Table4[[#This Row],[D 2pv]]*Table4[[#This Row],[Percent of votes in% In]]),Table4[[#This Row],[D 2pv]]*0.95)</f>
        <v>called</v>
      </c>
      <c r="O196" s="20" t="str">
        <f>IF(Table4[[#This Row],[D pct]]="called","called",(Table4[[#This Row],[D 2pv]]+$E$7))</f>
        <v>called</v>
      </c>
      <c r="P19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6" s="21" t="str">
        <f>IF(Table4[[#This Row],[D captured of remain]]="called","called",Table4[[#This Row],[D captured of remain]]+Table4[[#This Row],[D pct]])</f>
        <v>called</v>
      </c>
      <c r="R196" s="22" t="str">
        <f>IF(Table4[[#This Row],[Expected D]]=1,"D",IF(Table4[[#This Row],[Expected R]]=1,"R",IF(Table4[[#This Row],[D total]]&gt;=0.5,"D","R")))</f>
        <v>D</v>
      </c>
      <c r="S196" s="22"/>
      <c r="V196" s="4"/>
    </row>
    <row r="197" spans="2:23" x14ac:dyDescent="0.35">
      <c r="B197" s="27">
        <v>188</v>
      </c>
      <c r="C197" s="2" t="s">
        <v>229</v>
      </c>
      <c r="D197" s="2" t="s">
        <v>284</v>
      </c>
      <c r="E197" s="4" t="s">
        <v>28</v>
      </c>
      <c r="F197" s="2" t="s">
        <v>679</v>
      </c>
      <c r="G197" s="4" t="s">
        <v>285</v>
      </c>
      <c r="H19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197" s="2" t="str">
        <f>IF(OR(LEFT(Table4[[#This Row],[win_prob]],1)="D",LEFT(Table4[[#This Row],[win_prob]],1)="R"),LEFT(Table4[[#This Row],[win_prob]],1),LEFT(Table4[[#This Row],[Category]],1))</f>
        <v>R</v>
      </c>
      <c r="J19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19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197" s="16" t="str">
        <f>RIGHT(Table4[[#This Row],[Margin]],LEN(Table4[[#This Row],[Margin]])-FIND("+",Table4[[#This Row],[Margin]]))</f>
        <v>0.87</v>
      </c>
      <c r="M197" s="20" t="str">
        <f>IF(Table4[[#This Row],[listedprob]]=1,"called",IF(LEFT(Table4[[#This Row],[Margin]],1)="D",(Table4[[#This Row],[Numeric Margin]]/2+50)/100,(-Table4[[#This Row],[Numeric Margin]]/2+50)/100))</f>
        <v>called</v>
      </c>
      <c r="N197" s="20" t="str">
        <f>IFERROR(IF(Table4[[#This Row],[D 2pv]]="called","called",Table4[[#This Row],[D 2pv]]*Table4[[#This Row],[Percent of votes in% In]]),Table4[[#This Row],[D 2pv]]*0.95)</f>
        <v>called</v>
      </c>
      <c r="O197" s="20" t="str">
        <f>IF(Table4[[#This Row],[D pct]]="called","called",(Table4[[#This Row],[D 2pv]]+$E$7))</f>
        <v>called</v>
      </c>
      <c r="P19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197" s="21" t="str">
        <f>IF(Table4[[#This Row],[D captured of remain]]="called","called",Table4[[#This Row],[D captured of remain]]+Table4[[#This Row],[D pct]])</f>
        <v>called</v>
      </c>
      <c r="R197" s="22" t="str">
        <f>IF(Table4[[#This Row],[Expected D]]=1,"D",IF(Table4[[#This Row],[Expected R]]=1,"R",IF(Table4[[#This Row],[D total]]&gt;=0.5,"D","R")))</f>
        <v>R</v>
      </c>
      <c r="S197" s="22"/>
      <c r="V197" s="4"/>
    </row>
    <row r="198" spans="2:23" x14ac:dyDescent="0.35">
      <c r="B198" s="27">
        <v>189</v>
      </c>
      <c r="C198" s="2" t="s">
        <v>230</v>
      </c>
      <c r="D198" s="2" t="s">
        <v>278</v>
      </c>
      <c r="E198" s="4">
        <v>0.86</v>
      </c>
      <c r="F198" s="2" t="s">
        <v>680</v>
      </c>
      <c r="G198" s="4" t="s">
        <v>285</v>
      </c>
      <c r="H19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0.53</v>
      </c>
      <c r="I198" s="2" t="str">
        <f>IF(OR(LEFT(Table4[[#This Row],[win_prob]],1)="D",LEFT(Table4[[#This Row],[win_prob]],1)="R"),LEFT(Table4[[#This Row],[win_prob]],1),LEFT(Table4[[#This Row],[Category]],1))</f>
        <v>D</v>
      </c>
      <c r="J198" s="2">
        <f>IFERROR(IF(INDEX(Table5[Call],MATCH(Table4[[#This Row],[District]],Table5[Confirmed Calls (other outlets)],0))="D",1,"not here"),IF(Table4[[#This Row],[Favored]]="D",Table4[[#This Row],[listedprob]],1-Table4[[#This Row],[listedprob]]))</f>
        <v>0.53</v>
      </c>
      <c r="K198" s="16">
        <f>IFERROR(IF(INDEX(Table5[Call],MATCH(Table4[[#This Row],[District]],Table5[Confirmed Calls (other outlets)],0))="R",1,"not here"),IF(Table4[[#This Row],[Favored]]="R",Table4[[#This Row],[listedprob]],1-Table4[[#This Row],[listedprob]]))</f>
        <v>0.47</v>
      </c>
      <c r="L198" s="16" t="str">
        <f>RIGHT(Table4[[#This Row],[Margin]],LEN(Table4[[#This Row],[Margin]])-FIND("+",Table4[[#This Row],[Margin]]))</f>
        <v>0.53</v>
      </c>
      <c r="M198" s="20">
        <f>IF(Table4[[#This Row],[listedprob]]=1,"called",IF(LEFT(Table4[[#This Row],[Margin]],1)="D",(Table4[[#This Row],[Numeric Margin]]/2+50)/100,(-Table4[[#This Row],[Numeric Margin]]/2+50)/100))</f>
        <v>0.50265000000000004</v>
      </c>
      <c r="N198" s="20">
        <f>IFERROR(IF(Table4[[#This Row],[D 2pv]]="called","called",Table4[[#This Row],[D 2pv]]*Table4[[#This Row],[Percent of votes in% In]]),Table4[[#This Row],[D 2pv]]*0.95)</f>
        <v>0.43227900000000002</v>
      </c>
      <c r="O198" s="20">
        <f>IF(Table4[[#This Row],[D pct]]="called","called",(Table4[[#This Row],[D 2pv]]+$E$7))</f>
        <v>0.5726500000000001</v>
      </c>
      <c r="P198" s="20">
        <f>IFERROR(IF(Table4[[#This Row],[D remaining pct]]="called","called",Table4[[#This Row],[D remaining pct]]*(1-Table4[[#This Row],[Percent of votes in% In]])),Table4[[#This Row],[D remaining pct]]*0.05)</f>
        <v>8.017100000000002E-2</v>
      </c>
      <c r="Q198" s="21">
        <f>IF(Table4[[#This Row],[D captured of remain]]="called","called",Table4[[#This Row],[D captured of remain]]+Table4[[#This Row],[D pct]])</f>
        <v>0.51245000000000007</v>
      </c>
      <c r="R198" s="22" t="str">
        <f>IF(Table4[[#This Row],[Expected D]]=1,"D",IF(Table4[[#This Row],[Expected R]]=1,"R",IF(Table4[[#This Row],[D total]]&gt;=0.5,"D","R")))</f>
        <v>D</v>
      </c>
      <c r="S198" s="22"/>
      <c r="V198" s="4"/>
      <c r="W198" s="4"/>
    </row>
    <row r="199" spans="2:23" x14ac:dyDescent="0.35">
      <c r="B199" s="27">
        <v>190</v>
      </c>
      <c r="C199" s="2" t="s">
        <v>231</v>
      </c>
      <c r="D199" s="2" t="s">
        <v>279</v>
      </c>
      <c r="E199" s="4">
        <v>0.64</v>
      </c>
      <c r="F199" s="2" t="s">
        <v>565</v>
      </c>
      <c r="G199" s="4" t="s">
        <v>285</v>
      </c>
      <c r="H19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0.56999999999999995</v>
      </c>
      <c r="I199" s="2" t="str">
        <f>IF(OR(LEFT(Table4[[#This Row],[win_prob]],1)="D",LEFT(Table4[[#This Row],[win_prob]],1)="R"),LEFT(Table4[[#This Row],[win_prob]],1),LEFT(Table4[[#This Row],[Category]],1))</f>
        <v>R</v>
      </c>
      <c r="J199" s="2">
        <f>IFERROR(IF(INDEX(Table5[Call],MATCH(Table4[[#This Row],[District]],Table5[Confirmed Calls (other outlets)],0))="D",1,"not here"),IF(Table4[[#This Row],[Favored]]="D",Table4[[#This Row],[listedprob]],1-Table4[[#This Row],[listedprob]]))</f>
        <v>0.43000000000000005</v>
      </c>
      <c r="K199" s="16">
        <f>IFERROR(IF(INDEX(Table5[Call],MATCH(Table4[[#This Row],[District]],Table5[Confirmed Calls (other outlets)],0))="R",1,"not here"),IF(Table4[[#This Row],[Favored]]="R",Table4[[#This Row],[listedprob]],1-Table4[[#This Row],[listedprob]]))</f>
        <v>0.56999999999999995</v>
      </c>
      <c r="L199" s="16" t="str">
        <f>RIGHT(Table4[[#This Row],[Margin]],LEN(Table4[[#This Row],[Margin]])-FIND("+",Table4[[#This Row],[Margin]]))</f>
        <v>5</v>
      </c>
      <c r="M199" s="20">
        <f>IF(Table4[[#This Row],[listedprob]]=1,"called",IF(LEFT(Table4[[#This Row],[Margin]],1)="D",(Table4[[#This Row],[Numeric Margin]]/2+50)/100,(-Table4[[#This Row],[Numeric Margin]]/2+50)/100))</f>
        <v>0.47499999999999998</v>
      </c>
      <c r="N199" s="20">
        <f>IFERROR(IF(Table4[[#This Row],[D 2pv]]="called","called",Table4[[#This Row],[D 2pv]]*Table4[[#This Row],[Percent of votes in% In]]),Table4[[#This Row],[D 2pv]]*0.95)</f>
        <v>0.30399999999999999</v>
      </c>
      <c r="O199" s="20">
        <f>IF(Table4[[#This Row],[D pct]]="called","called",(Table4[[#This Row],[D 2pv]]+$E$7))</f>
        <v>0.54499999999999993</v>
      </c>
      <c r="P199" s="20">
        <f>IFERROR(IF(Table4[[#This Row],[D remaining pct]]="called","called",Table4[[#This Row],[D remaining pct]]*(1-Table4[[#This Row],[Percent of votes in% In]])),Table4[[#This Row],[D remaining pct]]*0.05)</f>
        <v>0.19619999999999996</v>
      </c>
      <c r="Q199" s="21">
        <f>IF(Table4[[#This Row],[D captured of remain]]="called","called",Table4[[#This Row],[D captured of remain]]+Table4[[#This Row],[D pct]])</f>
        <v>0.50019999999999998</v>
      </c>
      <c r="R199" s="22" t="str">
        <f>IF(Table4[[#This Row],[Expected D]]=1,"D",IF(Table4[[#This Row],[Expected R]]=1,"R",IF(Table4[[#This Row],[D total]]&gt;=0.5,"D","R")))</f>
        <v>D</v>
      </c>
      <c r="S199" s="22"/>
      <c r="V199" s="4"/>
      <c r="W199" s="4"/>
    </row>
    <row r="200" spans="2:23" x14ac:dyDescent="0.35">
      <c r="B200" s="27">
        <v>191</v>
      </c>
      <c r="C200" s="2" t="s">
        <v>233</v>
      </c>
      <c r="D200" s="2" t="s">
        <v>280</v>
      </c>
      <c r="E200" s="4">
        <v>0.7</v>
      </c>
      <c r="F200" s="2" t="s">
        <v>232</v>
      </c>
      <c r="G200" s="4" t="s">
        <v>285</v>
      </c>
      <c r="H20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0.56000000000000005</v>
      </c>
      <c r="I200" s="2" t="str">
        <f>IF(OR(LEFT(Table4[[#This Row],[win_prob]],1)="D",LEFT(Table4[[#This Row],[win_prob]],1)="R"),LEFT(Table4[[#This Row],[win_prob]],1),LEFT(Table4[[#This Row],[Category]],1))</f>
        <v>R</v>
      </c>
      <c r="J200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0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00" s="16" t="str">
        <f>RIGHT(Table4[[#This Row],[Margin]],LEN(Table4[[#This Row],[Margin]])-FIND("+",Table4[[#This Row],[Margin]]))</f>
        <v>8</v>
      </c>
      <c r="M200" s="20">
        <f>IF(Table4[[#This Row],[listedprob]]=1,"called",IF(LEFT(Table4[[#This Row],[Margin]],1)="D",(Table4[[#This Row],[Numeric Margin]]/2+50)/100,(-Table4[[#This Row],[Numeric Margin]]/2+50)/100))</f>
        <v>0.46</v>
      </c>
      <c r="N200" s="20">
        <f>IFERROR(IF(Table4[[#This Row],[D 2pv]]="called","called",Table4[[#This Row],[D 2pv]]*Table4[[#This Row],[Percent of votes in% In]]),Table4[[#This Row],[D 2pv]]*0.95)</f>
        <v>0.32200000000000001</v>
      </c>
      <c r="O200" s="20">
        <f>IF(Table4[[#This Row],[D pct]]="called","called",(Table4[[#This Row],[D 2pv]]+$E$7))</f>
        <v>0.53</v>
      </c>
      <c r="P200" s="20">
        <f>IFERROR(IF(Table4[[#This Row],[D remaining pct]]="called","called",Table4[[#This Row],[D remaining pct]]*(1-Table4[[#This Row],[Percent of votes in% In]])),Table4[[#This Row],[D remaining pct]]*0.05)</f>
        <v>0.15900000000000003</v>
      </c>
      <c r="Q200" s="21">
        <f>IF(Table4[[#This Row],[D captured of remain]]="called","called",Table4[[#This Row],[D captured of remain]]+Table4[[#This Row],[D pct]])</f>
        <v>0.48100000000000004</v>
      </c>
      <c r="R200" s="22" t="str">
        <f>IF(Table4[[#This Row],[Expected D]]=1,"D",IF(Table4[[#This Row],[Expected R]]=1,"R",IF(Table4[[#This Row],[D total]]&gt;=0.5,"D","R")))</f>
        <v>R</v>
      </c>
      <c r="S200" s="22"/>
      <c r="V200" s="4"/>
      <c r="W200" s="4"/>
    </row>
    <row r="201" spans="2:23" x14ac:dyDescent="0.35">
      <c r="B201" s="27">
        <v>192</v>
      </c>
      <c r="C201" s="2" t="s">
        <v>235</v>
      </c>
      <c r="D201" s="2" t="s">
        <v>281</v>
      </c>
      <c r="E201" s="4">
        <v>0.84</v>
      </c>
      <c r="F201" s="2" t="s">
        <v>267</v>
      </c>
      <c r="G201" s="4" t="s">
        <v>285</v>
      </c>
      <c r="H20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0.69</v>
      </c>
      <c r="I201" s="2" t="str">
        <f>IF(OR(LEFT(Table4[[#This Row],[win_prob]],1)="D",LEFT(Table4[[#This Row],[win_prob]],1)="R"),LEFT(Table4[[#This Row],[win_prob]],1),LEFT(Table4[[#This Row],[Category]],1))</f>
        <v>D</v>
      </c>
      <c r="J20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1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01" s="16" t="str">
        <f>RIGHT(Table4[[#This Row],[Margin]],LEN(Table4[[#This Row],[Margin]])-FIND("+",Table4[[#This Row],[Margin]]))</f>
        <v>1.6</v>
      </c>
      <c r="M201" s="20">
        <f>IF(Table4[[#This Row],[listedprob]]=1,"called",IF(LEFT(Table4[[#This Row],[Margin]],1)="D",(Table4[[#This Row],[Numeric Margin]]/2+50)/100,(-Table4[[#This Row],[Numeric Margin]]/2+50)/100))</f>
        <v>0.50800000000000001</v>
      </c>
      <c r="N201" s="20">
        <f>IFERROR(IF(Table4[[#This Row],[D 2pv]]="called","called",Table4[[#This Row],[D 2pv]]*Table4[[#This Row],[Percent of votes in% In]]),Table4[[#This Row],[D 2pv]]*0.95)</f>
        <v>0.42671999999999999</v>
      </c>
      <c r="O201" s="20">
        <f>IF(Table4[[#This Row],[D pct]]="called","called",(Table4[[#This Row],[D 2pv]]+$E$7))</f>
        <v>0.57800000000000007</v>
      </c>
      <c r="P201" s="20">
        <f>IFERROR(IF(Table4[[#This Row],[D remaining pct]]="called","called",Table4[[#This Row],[D remaining pct]]*(1-Table4[[#This Row],[Percent of votes in% In]])),Table4[[#This Row],[D remaining pct]]*0.05)</f>
        <v>9.2480000000000034E-2</v>
      </c>
      <c r="Q201" s="21">
        <f>IF(Table4[[#This Row],[D captured of remain]]="called","called",Table4[[#This Row],[D captured of remain]]+Table4[[#This Row],[D pct]])</f>
        <v>0.51919999999999999</v>
      </c>
      <c r="R201" s="22" t="str">
        <f>IF(Table4[[#This Row],[Expected D]]=1,"D",IF(Table4[[#This Row],[Expected R]]=1,"R",IF(Table4[[#This Row],[D total]]&gt;=0.5,"D","R")))</f>
        <v>D</v>
      </c>
      <c r="S201" s="22"/>
      <c r="V201" s="4"/>
      <c r="W201" s="4"/>
    </row>
    <row r="202" spans="2:23" x14ac:dyDescent="0.35">
      <c r="B202" s="27">
        <v>193</v>
      </c>
      <c r="C202" s="2" t="s">
        <v>236</v>
      </c>
      <c r="D202" s="2" t="s">
        <v>282</v>
      </c>
      <c r="E202" s="4">
        <v>0.89</v>
      </c>
      <c r="F202" s="2" t="s">
        <v>247</v>
      </c>
      <c r="G202" s="4" t="s">
        <v>285</v>
      </c>
      <c r="H20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0.71</v>
      </c>
      <c r="I202" s="2" t="str">
        <f>IF(OR(LEFT(Table4[[#This Row],[win_prob]],1)="D",LEFT(Table4[[#This Row],[win_prob]],1)="R"),LEFT(Table4[[#This Row],[win_prob]],1),LEFT(Table4[[#This Row],[Category]],1))</f>
        <v>D</v>
      </c>
      <c r="J20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2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02" s="16" t="str">
        <f>RIGHT(Table4[[#This Row],[Margin]],LEN(Table4[[#This Row],[Margin]])-FIND("+",Table4[[#This Row],[Margin]]))</f>
        <v>5</v>
      </c>
      <c r="M202" s="20">
        <f>IF(Table4[[#This Row],[listedprob]]=1,"called",IF(LEFT(Table4[[#This Row],[Margin]],1)="D",(Table4[[#This Row],[Numeric Margin]]/2+50)/100,(-Table4[[#This Row],[Numeric Margin]]/2+50)/100))</f>
        <v>0.52500000000000002</v>
      </c>
      <c r="N202" s="20">
        <f>IFERROR(IF(Table4[[#This Row],[D 2pv]]="called","called",Table4[[#This Row],[D 2pv]]*Table4[[#This Row],[Percent of votes in% In]]),Table4[[#This Row],[D 2pv]]*0.95)</f>
        <v>0.46725000000000005</v>
      </c>
      <c r="O202" s="20">
        <f>IF(Table4[[#This Row],[D pct]]="called","called",(Table4[[#This Row],[D 2pv]]+$E$7))</f>
        <v>0.59499999999999997</v>
      </c>
      <c r="P202" s="20">
        <f>IFERROR(IF(Table4[[#This Row],[D remaining pct]]="called","called",Table4[[#This Row],[D remaining pct]]*(1-Table4[[#This Row],[Percent of votes in% In]])),Table4[[#This Row],[D remaining pct]]*0.05)</f>
        <v>6.5449999999999994E-2</v>
      </c>
      <c r="Q202" s="21">
        <f>IF(Table4[[#This Row],[D captured of remain]]="called","called",Table4[[#This Row],[D captured of remain]]+Table4[[#This Row],[D pct]])</f>
        <v>0.53270000000000006</v>
      </c>
      <c r="R202" s="22" t="str">
        <f>IF(Table4[[#This Row],[Expected D]]=1,"D",IF(Table4[[#This Row],[Expected R]]=1,"R",IF(Table4[[#This Row],[D total]]&gt;=0.5,"D","R")))</f>
        <v>D</v>
      </c>
      <c r="S202" s="22"/>
      <c r="V202" s="4"/>
      <c r="W202" s="4"/>
    </row>
    <row r="203" spans="2:23" x14ac:dyDescent="0.35">
      <c r="B203" s="27">
        <v>194</v>
      </c>
      <c r="C203" s="2" t="s">
        <v>238</v>
      </c>
      <c r="D203" s="2" t="s">
        <v>35</v>
      </c>
      <c r="E203" s="4" t="s">
        <v>28</v>
      </c>
      <c r="F203" s="2" t="s">
        <v>662</v>
      </c>
      <c r="G203" s="4" t="s">
        <v>285</v>
      </c>
      <c r="H20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3" s="2" t="str">
        <f>IF(OR(LEFT(Table4[[#This Row],[win_prob]],1)="D",LEFT(Table4[[#This Row],[win_prob]],1)="R"),LEFT(Table4[[#This Row],[win_prob]],1),LEFT(Table4[[#This Row],[Category]],1))</f>
        <v>D</v>
      </c>
      <c r="J20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3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03" s="16" t="str">
        <f>RIGHT(Table4[[#This Row],[Margin]],LEN(Table4[[#This Row],[Margin]])-FIND("+",Table4[[#This Row],[Margin]]))</f>
        <v>0.73</v>
      </c>
      <c r="M203" s="20" t="str">
        <f>IF(Table4[[#This Row],[listedprob]]=1,"called",IF(LEFT(Table4[[#This Row],[Margin]],1)="D",(Table4[[#This Row],[Numeric Margin]]/2+50)/100,(-Table4[[#This Row],[Numeric Margin]]/2+50)/100))</f>
        <v>called</v>
      </c>
      <c r="N203" s="20" t="str">
        <f>IFERROR(IF(Table4[[#This Row],[D 2pv]]="called","called",Table4[[#This Row],[D 2pv]]*Table4[[#This Row],[Percent of votes in% In]]),Table4[[#This Row],[D 2pv]]*0.95)</f>
        <v>called</v>
      </c>
      <c r="O203" s="20" t="str">
        <f>IF(Table4[[#This Row],[D pct]]="called","called",(Table4[[#This Row],[D 2pv]]+$E$7))</f>
        <v>called</v>
      </c>
      <c r="P20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3" s="21" t="str">
        <f>IF(Table4[[#This Row],[D captured of remain]]="called","called",Table4[[#This Row],[D captured of remain]]+Table4[[#This Row],[D pct]])</f>
        <v>called</v>
      </c>
      <c r="R203" s="22" t="str">
        <f>IF(Table4[[#This Row],[Expected D]]=1,"D",IF(Table4[[#This Row],[Expected R]]=1,"R",IF(Table4[[#This Row],[D total]]&gt;=0.5,"D","R")))</f>
        <v>D</v>
      </c>
      <c r="S203" s="22"/>
      <c r="V203" s="4"/>
      <c r="W203" s="4"/>
    </row>
    <row r="204" spans="2:23" x14ac:dyDescent="0.35">
      <c r="B204" s="27">
        <v>195</v>
      </c>
      <c r="C204" s="2" t="s">
        <v>239</v>
      </c>
      <c r="D204" s="2" t="s">
        <v>35</v>
      </c>
      <c r="E204" s="4" t="s">
        <v>28</v>
      </c>
      <c r="F204" s="2" t="s">
        <v>681</v>
      </c>
      <c r="G204" s="4" t="s">
        <v>285</v>
      </c>
      <c r="H20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4" s="2" t="str">
        <f>IF(OR(LEFT(Table4[[#This Row],[win_prob]],1)="D",LEFT(Table4[[#This Row],[win_prob]],1)="R"),LEFT(Table4[[#This Row],[win_prob]],1),LEFT(Table4[[#This Row],[Category]],1))</f>
        <v>D</v>
      </c>
      <c r="J20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04" s="16" t="str">
        <f>RIGHT(Table4[[#This Row],[Margin]],LEN(Table4[[#This Row],[Margin]])-FIND("+",Table4[[#This Row],[Margin]]))</f>
        <v>0.81</v>
      </c>
      <c r="M204" s="20" t="str">
        <f>IF(Table4[[#This Row],[listedprob]]=1,"called",IF(LEFT(Table4[[#This Row],[Margin]],1)="D",(Table4[[#This Row],[Numeric Margin]]/2+50)/100,(-Table4[[#This Row],[Numeric Margin]]/2+50)/100))</f>
        <v>called</v>
      </c>
      <c r="N204" s="20" t="str">
        <f>IFERROR(IF(Table4[[#This Row],[D 2pv]]="called","called",Table4[[#This Row],[D 2pv]]*Table4[[#This Row],[Percent of votes in% In]]),Table4[[#This Row],[D 2pv]]*0.95)</f>
        <v>called</v>
      </c>
      <c r="O204" s="20" t="str">
        <f>IF(Table4[[#This Row],[D pct]]="called","called",(Table4[[#This Row],[D 2pv]]+$E$7))</f>
        <v>called</v>
      </c>
      <c r="P20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4" s="21" t="str">
        <f>IF(Table4[[#This Row],[D captured of remain]]="called","called",Table4[[#This Row],[D captured of remain]]+Table4[[#This Row],[D pct]])</f>
        <v>called</v>
      </c>
      <c r="R204" s="22" t="str">
        <f>IF(Table4[[#This Row],[Expected D]]=1,"D",IF(Table4[[#This Row],[Expected R]]=1,"R",IF(Table4[[#This Row],[D total]]&gt;=0.5,"D","R")))</f>
        <v>D</v>
      </c>
      <c r="S204" s="22"/>
      <c r="V204" s="4"/>
      <c r="W204" s="4"/>
    </row>
    <row r="205" spans="2:23" x14ac:dyDescent="0.35">
      <c r="B205" s="27">
        <v>196</v>
      </c>
      <c r="C205" s="2" t="s">
        <v>240</v>
      </c>
      <c r="D205" s="2" t="s">
        <v>35</v>
      </c>
      <c r="E205" s="4" t="s">
        <v>28</v>
      </c>
      <c r="F205" s="2" t="s">
        <v>241</v>
      </c>
      <c r="G205" s="4" t="s">
        <v>285</v>
      </c>
      <c r="H20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5" s="2" t="str">
        <f>IF(OR(LEFT(Table4[[#This Row],[win_prob]],1)="D",LEFT(Table4[[#This Row],[win_prob]],1)="R"),LEFT(Table4[[#This Row],[win_prob]],1),LEFT(Table4[[#This Row],[Category]],1))</f>
        <v>D</v>
      </c>
      <c r="J20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5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05" s="16" t="str">
        <f>RIGHT(Table4[[#This Row],[Margin]],LEN(Table4[[#This Row],[Margin]])-FIND("+",Table4[[#This Row],[Margin]]))</f>
        <v>3</v>
      </c>
      <c r="M205" s="20" t="str">
        <f>IF(Table4[[#This Row],[listedprob]]=1,"called",IF(LEFT(Table4[[#This Row],[Margin]],1)="D",(Table4[[#This Row],[Numeric Margin]]/2+50)/100,(-Table4[[#This Row],[Numeric Margin]]/2+50)/100))</f>
        <v>called</v>
      </c>
      <c r="N205" s="20" t="str">
        <f>IFERROR(IF(Table4[[#This Row],[D 2pv]]="called","called",Table4[[#This Row],[D 2pv]]*Table4[[#This Row],[Percent of votes in% In]]),Table4[[#This Row],[D 2pv]]*0.95)</f>
        <v>called</v>
      </c>
      <c r="O205" s="20" t="str">
        <f>IF(Table4[[#This Row],[D pct]]="called","called",(Table4[[#This Row],[D 2pv]]+$E$7))</f>
        <v>called</v>
      </c>
      <c r="P20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5" s="21" t="str">
        <f>IF(Table4[[#This Row],[D captured of remain]]="called","called",Table4[[#This Row],[D captured of remain]]+Table4[[#This Row],[D pct]])</f>
        <v>called</v>
      </c>
      <c r="R205" s="22" t="str">
        <f>IF(Table4[[#This Row],[Expected D]]=1,"D",IF(Table4[[#This Row],[Expected R]]=1,"R",IF(Table4[[#This Row],[D total]]&gt;=0.5,"D","R")))</f>
        <v>D</v>
      </c>
      <c r="S205" s="22"/>
      <c r="V205" s="4"/>
      <c r="W205" s="4"/>
    </row>
    <row r="206" spans="2:23" x14ac:dyDescent="0.35">
      <c r="B206" s="27">
        <v>197</v>
      </c>
      <c r="C206" s="2" t="s">
        <v>242</v>
      </c>
      <c r="D206" s="2" t="s">
        <v>35</v>
      </c>
      <c r="E206" s="4" t="s">
        <v>28</v>
      </c>
      <c r="F206" s="2" t="s">
        <v>243</v>
      </c>
      <c r="G206" s="4" t="s">
        <v>285</v>
      </c>
      <c r="H20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6" s="2" t="str">
        <f>IF(OR(LEFT(Table4[[#This Row],[win_prob]],1)="D",LEFT(Table4[[#This Row],[win_prob]],1)="R"),LEFT(Table4[[#This Row],[win_prob]],1),LEFT(Table4[[#This Row],[Category]],1))</f>
        <v>D</v>
      </c>
      <c r="J20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06" s="16" t="str">
        <f>RIGHT(Table4[[#This Row],[Margin]],LEN(Table4[[#This Row],[Margin]])-FIND("+",Table4[[#This Row],[Margin]]))</f>
        <v>6</v>
      </c>
      <c r="M206" s="20" t="str">
        <f>IF(Table4[[#This Row],[listedprob]]=1,"called",IF(LEFT(Table4[[#This Row],[Margin]],1)="D",(Table4[[#This Row],[Numeric Margin]]/2+50)/100,(-Table4[[#This Row],[Numeric Margin]]/2+50)/100))</f>
        <v>called</v>
      </c>
      <c r="N206" s="20" t="str">
        <f>IFERROR(IF(Table4[[#This Row],[D 2pv]]="called","called",Table4[[#This Row],[D 2pv]]*Table4[[#This Row],[Percent of votes in% In]]),Table4[[#This Row],[D 2pv]]*0.95)</f>
        <v>called</v>
      </c>
      <c r="O206" s="20" t="str">
        <f>IF(Table4[[#This Row],[D pct]]="called","called",(Table4[[#This Row],[D 2pv]]+$E$7))</f>
        <v>called</v>
      </c>
      <c r="P20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6" s="21" t="str">
        <f>IF(Table4[[#This Row],[D captured of remain]]="called","called",Table4[[#This Row],[D captured of remain]]+Table4[[#This Row],[D pct]])</f>
        <v>called</v>
      </c>
      <c r="R206" s="22" t="str">
        <f>IF(Table4[[#This Row],[Expected D]]=1,"D",IF(Table4[[#This Row],[Expected R]]=1,"R",IF(Table4[[#This Row],[D total]]&gt;=0.5,"D","R")))</f>
        <v>D</v>
      </c>
      <c r="S206" s="22"/>
      <c r="V206" s="4"/>
    </row>
    <row r="207" spans="2:23" x14ac:dyDescent="0.35">
      <c r="B207" s="27">
        <v>198</v>
      </c>
      <c r="C207" s="2" t="s">
        <v>244</v>
      </c>
      <c r="D207" s="2" t="s">
        <v>283</v>
      </c>
      <c r="E207" s="4" t="s">
        <v>28</v>
      </c>
      <c r="F207" s="2" t="s">
        <v>241</v>
      </c>
      <c r="G207" s="4" t="s">
        <v>285</v>
      </c>
      <c r="H20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0.8</v>
      </c>
      <c r="I207" s="2" t="str">
        <f>IF(OR(LEFT(Table4[[#This Row],[win_prob]],1)="D",LEFT(Table4[[#This Row],[win_prob]],1)="R"),LEFT(Table4[[#This Row],[win_prob]],1),LEFT(Table4[[#This Row],[Category]],1))</f>
        <v>D</v>
      </c>
      <c r="J20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7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07" s="16" t="str">
        <f>RIGHT(Table4[[#This Row],[Margin]],LEN(Table4[[#This Row],[Margin]])-FIND("+",Table4[[#This Row],[Margin]]))</f>
        <v>3</v>
      </c>
      <c r="M207" s="20">
        <f>IF(Table4[[#This Row],[listedprob]]=1,"called",IF(LEFT(Table4[[#This Row],[Margin]],1)="D",(Table4[[#This Row],[Numeric Margin]]/2+50)/100,(-Table4[[#This Row],[Numeric Margin]]/2+50)/100))</f>
        <v>0.51500000000000001</v>
      </c>
      <c r="N207" s="20">
        <f>IFERROR(IF(Table4[[#This Row],[D 2pv]]="called","called",Table4[[#This Row],[D 2pv]]*Table4[[#This Row],[Percent of votes in% In]]),Table4[[#This Row],[D 2pv]]*0.95)</f>
        <v>0.48924999999999996</v>
      </c>
      <c r="O207" s="20">
        <f>IF(Table4[[#This Row],[D pct]]="called","called",(Table4[[#This Row],[D 2pv]]+$E$7))</f>
        <v>0.58499999999999996</v>
      </c>
      <c r="P207" s="20">
        <f>IFERROR(IF(Table4[[#This Row],[D remaining pct]]="called","called",Table4[[#This Row],[D remaining pct]]*(1-Table4[[#This Row],[Percent of votes in% In]])),Table4[[#This Row],[D remaining pct]]*0.05)</f>
        <v>2.9249999999999998E-2</v>
      </c>
      <c r="Q207" s="21">
        <f>IF(Table4[[#This Row],[D captured of remain]]="called","called",Table4[[#This Row],[D captured of remain]]+Table4[[#This Row],[D pct]])</f>
        <v>0.51849999999999996</v>
      </c>
      <c r="R207" s="22" t="str">
        <f>IF(Table4[[#This Row],[Expected D]]=1,"D",IF(Table4[[#This Row],[Expected R]]=1,"R",IF(Table4[[#This Row],[D total]]&gt;=0.5,"D","R")))</f>
        <v>D</v>
      </c>
      <c r="S207" s="22"/>
      <c r="V207" s="4"/>
    </row>
    <row r="208" spans="2:23" x14ac:dyDescent="0.35">
      <c r="B208" s="27">
        <v>199</v>
      </c>
      <c r="C208" s="2" t="s">
        <v>246</v>
      </c>
      <c r="D208" s="2" t="s">
        <v>35</v>
      </c>
      <c r="E208" s="4" t="s">
        <v>28</v>
      </c>
      <c r="F208" s="2" t="s">
        <v>247</v>
      </c>
      <c r="G208" s="4" t="s">
        <v>285</v>
      </c>
      <c r="H20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8" s="2" t="str">
        <f>IF(OR(LEFT(Table4[[#This Row],[win_prob]],1)="D",LEFT(Table4[[#This Row],[win_prob]],1)="R"),LEFT(Table4[[#This Row],[win_prob]],1),LEFT(Table4[[#This Row],[Category]],1))</f>
        <v>D</v>
      </c>
      <c r="J20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08" s="16" t="str">
        <f>RIGHT(Table4[[#This Row],[Margin]],LEN(Table4[[#This Row],[Margin]])-FIND("+",Table4[[#This Row],[Margin]]))</f>
        <v>5</v>
      </c>
      <c r="M208" s="20" t="str">
        <f>IF(Table4[[#This Row],[listedprob]]=1,"called",IF(LEFT(Table4[[#This Row],[Margin]],1)="D",(Table4[[#This Row],[Numeric Margin]]/2+50)/100,(-Table4[[#This Row],[Numeric Margin]]/2+50)/100))</f>
        <v>called</v>
      </c>
      <c r="N208" s="20" t="str">
        <f>IFERROR(IF(Table4[[#This Row],[D 2pv]]="called","called",Table4[[#This Row],[D 2pv]]*Table4[[#This Row],[Percent of votes in% In]]),Table4[[#This Row],[D 2pv]]*0.95)</f>
        <v>called</v>
      </c>
      <c r="O208" s="20" t="str">
        <f>IF(Table4[[#This Row],[D pct]]="called","called",(Table4[[#This Row],[D 2pv]]+$E$7))</f>
        <v>called</v>
      </c>
      <c r="P20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8" s="21" t="str">
        <f>IF(Table4[[#This Row],[D captured of remain]]="called","called",Table4[[#This Row],[D captured of remain]]+Table4[[#This Row],[D pct]])</f>
        <v>called</v>
      </c>
      <c r="R208" s="22" t="str">
        <f>IF(Table4[[#This Row],[Expected D]]=1,"D",IF(Table4[[#This Row],[Expected R]]=1,"R",IF(Table4[[#This Row],[D total]]&gt;=0.5,"D","R")))</f>
        <v>D</v>
      </c>
      <c r="S208" s="22"/>
      <c r="V208" s="4"/>
      <c r="W208" s="4"/>
    </row>
    <row r="209" spans="2:23" x14ac:dyDescent="0.35">
      <c r="B209" s="27">
        <v>200</v>
      </c>
      <c r="C209" s="2" t="s">
        <v>248</v>
      </c>
      <c r="D209" s="2" t="s">
        <v>35</v>
      </c>
      <c r="E209" s="4" t="s">
        <v>28</v>
      </c>
      <c r="F209" s="2" t="s">
        <v>247</v>
      </c>
      <c r="G209" s="4" t="s">
        <v>285</v>
      </c>
      <c r="H20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09" s="2" t="str">
        <f>IF(OR(LEFT(Table4[[#This Row],[win_prob]],1)="D",LEFT(Table4[[#This Row],[win_prob]],1)="R"),LEFT(Table4[[#This Row],[win_prob]],1),LEFT(Table4[[#This Row],[Category]],1))</f>
        <v>D</v>
      </c>
      <c r="J20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0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09" s="16" t="str">
        <f>RIGHT(Table4[[#This Row],[Margin]],LEN(Table4[[#This Row],[Margin]])-FIND("+",Table4[[#This Row],[Margin]]))</f>
        <v>5</v>
      </c>
      <c r="M209" s="20" t="str">
        <f>IF(Table4[[#This Row],[listedprob]]=1,"called",IF(LEFT(Table4[[#This Row],[Margin]],1)="D",(Table4[[#This Row],[Numeric Margin]]/2+50)/100,(-Table4[[#This Row],[Numeric Margin]]/2+50)/100))</f>
        <v>called</v>
      </c>
      <c r="N209" s="20" t="str">
        <f>IFERROR(IF(Table4[[#This Row],[D 2pv]]="called","called",Table4[[#This Row],[D 2pv]]*Table4[[#This Row],[Percent of votes in% In]]),Table4[[#This Row],[D 2pv]]*0.95)</f>
        <v>called</v>
      </c>
      <c r="O209" s="20" t="str">
        <f>IF(Table4[[#This Row],[D pct]]="called","called",(Table4[[#This Row],[D 2pv]]+$E$7))</f>
        <v>called</v>
      </c>
      <c r="P20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09" s="21" t="str">
        <f>IF(Table4[[#This Row],[D captured of remain]]="called","called",Table4[[#This Row],[D captured of remain]]+Table4[[#This Row],[D pct]])</f>
        <v>called</v>
      </c>
      <c r="R209" s="22" t="str">
        <f>IF(Table4[[#This Row],[Expected D]]=1,"D",IF(Table4[[#This Row],[Expected R]]=1,"R",IF(Table4[[#This Row],[D total]]&gt;=0.5,"D","R")))</f>
        <v>D</v>
      </c>
      <c r="S209" s="22"/>
      <c r="V209" s="4"/>
      <c r="W209" s="4"/>
    </row>
    <row r="210" spans="2:23" x14ac:dyDescent="0.35">
      <c r="B210" s="27">
        <v>201</v>
      </c>
      <c r="C210" s="2" t="s">
        <v>249</v>
      </c>
      <c r="D210" s="2" t="s">
        <v>284</v>
      </c>
      <c r="E210" s="4" t="s">
        <v>28</v>
      </c>
      <c r="F210" s="2" t="s">
        <v>568</v>
      </c>
      <c r="G210" s="4" t="s">
        <v>285</v>
      </c>
      <c r="H21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0" s="2" t="str">
        <f>IF(OR(LEFT(Table4[[#This Row],[win_prob]],1)="D",LEFT(Table4[[#This Row],[win_prob]],1)="R"),LEFT(Table4[[#This Row],[win_prob]],1),LEFT(Table4[[#This Row],[Category]],1))</f>
        <v>R</v>
      </c>
      <c r="J21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1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10" s="16" t="str">
        <f>RIGHT(Table4[[#This Row],[Margin]],LEN(Table4[[#This Row],[Margin]])-FIND("+",Table4[[#This Row],[Margin]]))</f>
        <v>3</v>
      </c>
      <c r="M210" s="20" t="str">
        <f>IF(Table4[[#This Row],[listedprob]]=1,"called",IF(LEFT(Table4[[#This Row],[Margin]],1)="D",(Table4[[#This Row],[Numeric Margin]]/2+50)/100,(-Table4[[#This Row],[Numeric Margin]]/2+50)/100))</f>
        <v>called</v>
      </c>
      <c r="N210" s="20" t="str">
        <f>IFERROR(IF(Table4[[#This Row],[D 2pv]]="called","called",Table4[[#This Row],[D 2pv]]*Table4[[#This Row],[Percent of votes in% In]]),Table4[[#This Row],[D 2pv]]*0.95)</f>
        <v>called</v>
      </c>
      <c r="O210" s="20" t="str">
        <f>IF(Table4[[#This Row],[D pct]]="called","called",(Table4[[#This Row],[D 2pv]]+$E$7))</f>
        <v>called</v>
      </c>
      <c r="P21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0" s="21" t="str">
        <f>IF(Table4[[#This Row],[D captured of remain]]="called","called",Table4[[#This Row],[D captured of remain]]+Table4[[#This Row],[D pct]])</f>
        <v>called</v>
      </c>
      <c r="R210" s="22" t="str">
        <f>IF(Table4[[#This Row],[Expected D]]=1,"D",IF(Table4[[#This Row],[Expected R]]=1,"R",IF(Table4[[#This Row],[D total]]&gt;=0.5,"D","R")))</f>
        <v>R</v>
      </c>
      <c r="S210" s="22"/>
      <c r="V210" s="4"/>
    </row>
    <row r="211" spans="2:23" x14ac:dyDescent="0.35">
      <c r="B211" s="27">
        <v>202</v>
      </c>
      <c r="C211" s="2" t="s">
        <v>251</v>
      </c>
      <c r="D211" s="2" t="s">
        <v>35</v>
      </c>
      <c r="E211" s="4" t="s">
        <v>28</v>
      </c>
      <c r="F211" s="2" t="s">
        <v>243</v>
      </c>
      <c r="G211" s="4" t="s">
        <v>285</v>
      </c>
      <c r="H21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1" s="2" t="str">
        <f>IF(OR(LEFT(Table4[[#This Row],[win_prob]],1)="D",LEFT(Table4[[#This Row],[win_prob]],1)="R"),LEFT(Table4[[#This Row],[win_prob]],1),LEFT(Table4[[#This Row],[Category]],1))</f>
        <v>D</v>
      </c>
      <c r="J21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11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11" s="16" t="str">
        <f>RIGHT(Table4[[#This Row],[Margin]],LEN(Table4[[#This Row],[Margin]])-FIND("+",Table4[[#This Row],[Margin]]))</f>
        <v>6</v>
      </c>
      <c r="M211" s="20" t="str">
        <f>IF(Table4[[#This Row],[listedprob]]=1,"called",IF(LEFT(Table4[[#This Row],[Margin]],1)="D",(Table4[[#This Row],[Numeric Margin]]/2+50)/100,(-Table4[[#This Row],[Numeric Margin]]/2+50)/100))</f>
        <v>called</v>
      </c>
      <c r="N211" s="20" t="str">
        <f>IFERROR(IF(Table4[[#This Row],[D 2pv]]="called","called",Table4[[#This Row],[D 2pv]]*Table4[[#This Row],[Percent of votes in% In]]),Table4[[#This Row],[D 2pv]]*0.95)</f>
        <v>called</v>
      </c>
      <c r="O211" s="20" t="str">
        <f>IF(Table4[[#This Row],[D pct]]="called","called",(Table4[[#This Row],[D 2pv]]+$E$7))</f>
        <v>called</v>
      </c>
      <c r="P21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1" s="21" t="str">
        <f>IF(Table4[[#This Row],[D captured of remain]]="called","called",Table4[[#This Row],[D captured of remain]]+Table4[[#This Row],[D pct]])</f>
        <v>called</v>
      </c>
      <c r="R211" s="22" t="str">
        <f>IF(Table4[[#This Row],[Expected D]]=1,"D",IF(Table4[[#This Row],[Expected R]]=1,"R",IF(Table4[[#This Row],[D total]]&gt;=0.5,"D","R")))</f>
        <v>D</v>
      </c>
      <c r="S211" s="22"/>
      <c r="V211" s="4"/>
    </row>
    <row r="212" spans="2:23" x14ac:dyDescent="0.35">
      <c r="B212" s="27">
        <v>203</v>
      </c>
      <c r="C212" s="2" t="s">
        <v>252</v>
      </c>
      <c r="D212" s="2" t="s">
        <v>35</v>
      </c>
      <c r="E212" s="4" t="s">
        <v>28</v>
      </c>
      <c r="F212" s="2" t="s">
        <v>245</v>
      </c>
      <c r="G212" s="4" t="s">
        <v>285</v>
      </c>
      <c r="H21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2" s="2" t="str">
        <f>IF(OR(LEFT(Table4[[#This Row],[win_prob]],1)="D",LEFT(Table4[[#This Row],[win_prob]],1)="R"),LEFT(Table4[[#This Row],[win_prob]],1),LEFT(Table4[[#This Row],[Category]],1))</f>
        <v>D</v>
      </c>
      <c r="J21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12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12" s="16" t="str">
        <f>RIGHT(Table4[[#This Row],[Margin]],LEN(Table4[[#This Row],[Margin]])-FIND("+",Table4[[#This Row],[Margin]]))</f>
        <v>4</v>
      </c>
      <c r="M212" s="20" t="str">
        <f>IF(Table4[[#This Row],[listedprob]]=1,"called",IF(LEFT(Table4[[#This Row],[Margin]],1)="D",(Table4[[#This Row],[Numeric Margin]]/2+50)/100,(-Table4[[#This Row],[Numeric Margin]]/2+50)/100))</f>
        <v>called</v>
      </c>
      <c r="N212" s="20" t="str">
        <f>IFERROR(IF(Table4[[#This Row],[D 2pv]]="called","called",Table4[[#This Row],[D 2pv]]*Table4[[#This Row],[Percent of votes in% In]]),Table4[[#This Row],[D 2pv]]*0.95)</f>
        <v>called</v>
      </c>
      <c r="O212" s="20" t="str">
        <f>IF(Table4[[#This Row],[D pct]]="called","called",(Table4[[#This Row],[D 2pv]]+$E$7))</f>
        <v>called</v>
      </c>
      <c r="P21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2" s="21" t="str">
        <f>IF(Table4[[#This Row],[D captured of remain]]="called","called",Table4[[#This Row],[D captured of remain]]+Table4[[#This Row],[D pct]])</f>
        <v>called</v>
      </c>
      <c r="R212" s="22" t="str">
        <f>IF(Table4[[#This Row],[Expected D]]=1,"D",IF(Table4[[#This Row],[Expected R]]=1,"R",IF(Table4[[#This Row],[D total]]&gt;=0.5,"D","R")))</f>
        <v>D</v>
      </c>
      <c r="S212" s="22"/>
      <c r="V212" s="4"/>
      <c r="W212" s="4"/>
    </row>
    <row r="213" spans="2:23" x14ac:dyDescent="0.35">
      <c r="B213" s="27">
        <v>204</v>
      </c>
      <c r="C213" s="2" t="s">
        <v>253</v>
      </c>
      <c r="D213" s="2" t="s">
        <v>35</v>
      </c>
      <c r="E213" s="4" t="s">
        <v>28</v>
      </c>
      <c r="F213" s="2" t="s">
        <v>274</v>
      </c>
      <c r="G213" s="4" t="s">
        <v>285</v>
      </c>
      <c r="H21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3" s="2" t="str">
        <f>IF(OR(LEFT(Table4[[#This Row],[win_prob]],1)="D",LEFT(Table4[[#This Row],[win_prob]],1)="R"),LEFT(Table4[[#This Row],[win_prob]],1),LEFT(Table4[[#This Row],[Category]],1))</f>
        <v>D</v>
      </c>
      <c r="J21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13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13" s="16" t="str">
        <f>RIGHT(Table4[[#This Row],[Margin]],LEN(Table4[[#This Row],[Margin]])-FIND("+",Table4[[#This Row],[Margin]]))</f>
        <v>8</v>
      </c>
      <c r="M213" s="20" t="str">
        <f>IF(Table4[[#This Row],[listedprob]]=1,"called",IF(LEFT(Table4[[#This Row],[Margin]],1)="D",(Table4[[#This Row],[Numeric Margin]]/2+50)/100,(-Table4[[#This Row],[Numeric Margin]]/2+50)/100))</f>
        <v>called</v>
      </c>
      <c r="N213" s="20" t="str">
        <f>IFERROR(IF(Table4[[#This Row],[D 2pv]]="called","called",Table4[[#This Row],[D 2pv]]*Table4[[#This Row],[Percent of votes in% In]]),Table4[[#This Row],[D 2pv]]*0.95)</f>
        <v>called</v>
      </c>
      <c r="O213" s="20" t="str">
        <f>IF(Table4[[#This Row],[D pct]]="called","called",(Table4[[#This Row],[D 2pv]]+$E$7))</f>
        <v>called</v>
      </c>
      <c r="P21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3" s="21" t="str">
        <f>IF(Table4[[#This Row],[D captured of remain]]="called","called",Table4[[#This Row],[D captured of remain]]+Table4[[#This Row],[D pct]])</f>
        <v>called</v>
      </c>
      <c r="R213" s="22" t="str">
        <f>IF(Table4[[#This Row],[Expected D]]=1,"D",IF(Table4[[#This Row],[Expected R]]=1,"R",IF(Table4[[#This Row],[D total]]&gt;=0.5,"D","R")))</f>
        <v>D</v>
      </c>
      <c r="S213" s="22"/>
      <c r="V213" s="4"/>
      <c r="W213" s="4"/>
    </row>
    <row r="214" spans="2:23" x14ac:dyDescent="0.35">
      <c r="B214" s="27">
        <v>205</v>
      </c>
      <c r="C214" s="2" t="s">
        <v>255</v>
      </c>
      <c r="D214" s="2" t="s">
        <v>35</v>
      </c>
      <c r="E214" s="4" t="s">
        <v>28</v>
      </c>
      <c r="F214" s="2" t="s">
        <v>682</v>
      </c>
      <c r="G214" s="4" t="s">
        <v>285</v>
      </c>
      <c r="H21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4" s="2" t="str">
        <f>IF(OR(LEFT(Table4[[#This Row],[win_prob]],1)="D",LEFT(Table4[[#This Row],[win_prob]],1)="R"),LEFT(Table4[[#This Row],[win_prob]],1),LEFT(Table4[[#This Row],[Category]],1))</f>
        <v>D</v>
      </c>
      <c r="J21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14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14" s="16" t="str">
        <f>RIGHT(Table4[[#This Row],[Margin]],LEN(Table4[[#This Row],[Margin]])-FIND("+",Table4[[#This Row],[Margin]]))</f>
        <v>0.69</v>
      </c>
      <c r="M214" s="20" t="str">
        <f>IF(Table4[[#This Row],[listedprob]]=1,"called",IF(LEFT(Table4[[#This Row],[Margin]],1)="D",(Table4[[#This Row],[Numeric Margin]]/2+50)/100,(-Table4[[#This Row],[Numeric Margin]]/2+50)/100))</f>
        <v>called</v>
      </c>
      <c r="N214" s="20" t="str">
        <f>IFERROR(IF(Table4[[#This Row],[D 2pv]]="called","called",Table4[[#This Row],[D 2pv]]*Table4[[#This Row],[Percent of votes in% In]]),Table4[[#This Row],[D 2pv]]*0.95)</f>
        <v>called</v>
      </c>
      <c r="O214" s="20" t="str">
        <f>IF(Table4[[#This Row],[D pct]]="called","called",(Table4[[#This Row],[D 2pv]]+$E$7))</f>
        <v>called</v>
      </c>
      <c r="P21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4" s="21" t="str">
        <f>IF(Table4[[#This Row],[D captured of remain]]="called","called",Table4[[#This Row],[D captured of remain]]+Table4[[#This Row],[D pct]])</f>
        <v>called</v>
      </c>
      <c r="R214" s="22" t="str">
        <f>IF(Table4[[#This Row],[Expected D]]=1,"D",IF(Table4[[#This Row],[Expected R]]=1,"R",IF(Table4[[#This Row],[D total]]&gt;=0.5,"D","R")))</f>
        <v>D</v>
      </c>
      <c r="S214" s="22"/>
      <c r="V214" s="4"/>
      <c r="W214" s="4"/>
    </row>
    <row r="215" spans="2:23" x14ac:dyDescent="0.35">
      <c r="B215" s="27">
        <v>206</v>
      </c>
      <c r="C215" s="2" t="s">
        <v>256</v>
      </c>
      <c r="D215" s="2" t="s">
        <v>284</v>
      </c>
      <c r="E215" s="4" t="s">
        <v>28</v>
      </c>
      <c r="F215" s="2" t="s">
        <v>232</v>
      </c>
      <c r="G215" s="4" t="s">
        <v>285</v>
      </c>
      <c r="H21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5" s="2" t="str">
        <f>IF(OR(LEFT(Table4[[#This Row],[win_prob]],1)="D",LEFT(Table4[[#This Row],[win_prob]],1)="R"),LEFT(Table4[[#This Row],[win_prob]],1),LEFT(Table4[[#This Row],[Category]],1))</f>
        <v>R</v>
      </c>
      <c r="J21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1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15" s="16" t="str">
        <f>RIGHT(Table4[[#This Row],[Margin]],LEN(Table4[[#This Row],[Margin]])-FIND("+",Table4[[#This Row],[Margin]]))</f>
        <v>8</v>
      </c>
      <c r="M215" s="20" t="str">
        <f>IF(Table4[[#This Row],[listedprob]]=1,"called",IF(LEFT(Table4[[#This Row],[Margin]],1)="D",(Table4[[#This Row],[Numeric Margin]]/2+50)/100,(-Table4[[#This Row],[Numeric Margin]]/2+50)/100))</f>
        <v>called</v>
      </c>
      <c r="N215" s="20" t="str">
        <f>IFERROR(IF(Table4[[#This Row],[D 2pv]]="called","called",Table4[[#This Row],[D 2pv]]*Table4[[#This Row],[Percent of votes in% In]]),Table4[[#This Row],[D 2pv]]*0.95)</f>
        <v>called</v>
      </c>
      <c r="O215" s="20" t="str">
        <f>IF(Table4[[#This Row],[D pct]]="called","called",(Table4[[#This Row],[D 2pv]]+$E$7))</f>
        <v>called</v>
      </c>
      <c r="P21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5" s="21" t="str">
        <f>IF(Table4[[#This Row],[D captured of remain]]="called","called",Table4[[#This Row],[D captured of remain]]+Table4[[#This Row],[D pct]])</f>
        <v>called</v>
      </c>
      <c r="R215" s="22" t="str">
        <f>IF(Table4[[#This Row],[Expected D]]=1,"D",IF(Table4[[#This Row],[Expected R]]=1,"R",IF(Table4[[#This Row],[D total]]&gt;=0.5,"D","R")))</f>
        <v>R</v>
      </c>
      <c r="S215" s="22"/>
    </row>
    <row r="216" spans="2:23" x14ac:dyDescent="0.35">
      <c r="B216" s="27">
        <v>207</v>
      </c>
      <c r="C216" s="2" t="s">
        <v>257</v>
      </c>
      <c r="D216" s="2" t="s">
        <v>284</v>
      </c>
      <c r="E216" s="4" t="s">
        <v>28</v>
      </c>
      <c r="F216" s="2" t="s">
        <v>250</v>
      </c>
      <c r="G216" s="4" t="s">
        <v>285</v>
      </c>
      <c r="H21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6" s="2" t="str">
        <f>IF(OR(LEFT(Table4[[#This Row],[win_prob]],1)="D",LEFT(Table4[[#This Row],[win_prob]],1)="R"),LEFT(Table4[[#This Row],[win_prob]],1),LEFT(Table4[[#This Row],[Category]],1))</f>
        <v>R</v>
      </c>
      <c r="J21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1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16" s="16" t="str">
        <f>RIGHT(Table4[[#This Row],[Margin]],LEN(Table4[[#This Row],[Margin]])-FIND("+",Table4[[#This Row],[Margin]]))</f>
        <v>4</v>
      </c>
      <c r="M216" s="20" t="str">
        <f>IF(Table4[[#This Row],[listedprob]]=1,"called",IF(LEFT(Table4[[#This Row],[Margin]],1)="D",(Table4[[#This Row],[Numeric Margin]]/2+50)/100,(-Table4[[#This Row],[Numeric Margin]]/2+50)/100))</f>
        <v>called</v>
      </c>
      <c r="N216" s="20" t="str">
        <f>IFERROR(IF(Table4[[#This Row],[D 2pv]]="called","called",Table4[[#This Row],[D 2pv]]*Table4[[#This Row],[Percent of votes in% In]]),Table4[[#This Row],[D 2pv]]*0.95)</f>
        <v>called</v>
      </c>
      <c r="O216" s="20" t="str">
        <f>IF(Table4[[#This Row],[D pct]]="called","called",(Table4[[#This Row],[D 2pv]]+$E$7))</f>
        <v>called</v>
      </c>
      <c r="P21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6" s="21" t="str">
        <f>IF(Table4[[#This Row],[D captured of remain]]="called","called",Table4[[#This Row],[D captured of remain]]+Table4[[#This Row],[D pct]])</f>
        <v>called</v>
      </c>
      <c r="R216" s="22" t="str">
        <f>IF(Table4[[#This Row],[Expected D]]=1,"D",IF(Table4[[#This Row],[Expected R]]=1,"R",IF(Table4[[#This Row],[D total]]&gt;=0.5,"D","R")))</f>
        <v>R</v>
      </c>
      <c r="S216" s="22"/>
      <c r="V216" s="4"/>
      <c r="W216" s="4"/>
    </row>
    <row r="217" spans="2:23" x14ac:dyDescent="0.35">
      <c r="B217" s="27">
        <v>208</v>
      </c>
      <c r="C217" s="2" t="s">
        <v>258</v>
      </c>
      <c r="D217" s="2" t="s">
        <v>284</v>
      </c>
      <c r="E217" s="2" t="s">
        <v>28</v>
      </c>
      <c r="F217" s="2" t="s">
        <v>683</v>
      </c>
      <c r="G217" s="4" t="s">
        <v>285</v>
      </c>
      <c r="H21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7" s="2" t="str">
        <f>IF(OR(LEFT(Table4[[#This Row],[win_prob]],1)="D",LEFT(Table4[[#This Row],[win_prob]],1)="R"),LEFT(Table4[[#This Row],[win_prob]],1),LEFT(Table4[[#This Row],[Category]],1))</f>
        <v>R</v>
      </c>
      <c r="J21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1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17" s="16" t="str">
        <f>RIGHT(Table4[[#This Row],[Margin]],LEN(Table4[[#This Row],[Margin]])-FIND("+",Table4[[#This Row],[Margin]]))</f>
        <v>0.82</v>
      </c>
      <c r="M217" s="20" t="str">
        <f>IF(Table4[[#This Row],[listedprob]]=1,"called",IF(LEFT(Table4[[#This Row],[Margin]],1)="D",(Table4[[#This Row],[Numeric Margin]]/2+50)/100,(-Table4[[#This Row],[Numeric Margin]]/2+50)/100))</f>
        <v>called</v>
      </c>
      <c r="N217" s="20" t="str">
        <f>IFERROR(IF(Table4[[#This Row],[D 2pv]]="called","called",Table4[[#This Row],[D 2pv]]*Table4[[#This Row],[Percent of votes in% In]]),Table4[[#This Row],[D 2pv]]*0.95)</f>
        <v>called</v>
      </c>
      <c r="O217" s="20" t="str">
        <f>IF(Table4[[#This Row],[D pct]]="called","called",(Table4[[#This Row],[D 2pv]]+$E$7))</f>
        <v>called</v>
      </c>
      <c r="P21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7" s="21" t="str">
        <f>IF(Table4[[#This Row],[D captured of remain]]="called","called",Table4[[#This Row],[D captured of remain]]+Table4[[#This Row],[D pct]])</f>
        <v>called</v>
      </c>
      <c r="R217" s="22" t="str">
        <f>IF(Table4[[#This Row],[Expected D]]=1,"D",IF(Table4[[#This Row],[Expected R]]=1,"R",IF(Table4[[#This Row],[D total]]&gt;=0.5,"D","R")))</f>
        <v>R</v>
      </c>
      <c r="S217" s="22"/>
      <c r="V217" s="4"/>
      <c r="W217" s="4"/>
    </row>
    <row r="218" spans="2:23" x14ac:dyDescent="0.35">
      <c r="B218" s="27">
        <v>209</v>
      </c>
      <c r="C218" s="2" t="s">
        <v>259</v>
      </c>
      <c r="D218" s="2" t="s">
        <v>284</v>
      </c>
      <c r="E218" s="4" t="s">
        <v>28</v>
      </c>
      <c r="F218" s="2" t="s">
        <v>260</v>
      </c>
      <c r="G218" s="4" t="s">
        <v>285</v>
      </c>
      <c r="H21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8" s="2" t="str">
        <f>IF(OR(LEFT(Table4[[#This Row],[win_prob]],1)="D",LEFT(Table4[[#This Row],[win_prob]],1)="R"),LEFT(Table4[[#This Row],[win_prob]],1),LEFT(Table4[[#This Row],[Category]],1))</f>
        <v>R</v>
      </c>
      <c r="J21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1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18" s="16" t="str">
        <f>RIGHT(Table4[[#This Row],[Margin]],LEN(Table4[[#This Row],[Margin]])-FIND("+",Table4[[#This Row],[Margin]]))</f>
        <v>2</v>
      </c>
      <c r="M218" s="20" t="str">
        <f>IF(Table4[[#This Row],[listedprob]]=1,"called",IF(LEFT(Table4[[#This Row],[Margin]],1)="D",(Table4[[#This Row],[Numeric Margin]]/2+50)/100,(-Table4[[#This Row],[Numeric Margin]]/2+50)/100))</f>
        <v>called</v>
      </c>
      <c r="N218" s="20" t="str">
        <f>IFERROR(IF(Table4[[#This Row],[D 2pv]]="called","called",Table4[[#This Row],[D 2pv]]*Table4[[#This Row],[Percent of votes in% In]]),Table4[[#This Row],[D 2pv]]*0.95)</f>
        <v>called</v>
      </c>
      <c r="O218" s="20" t="str">
        <f>IF(Table4[[#This Row],[D pct]]="called","called",(Table4[[#This Row],[D 2pv]]+$E$7))</f>
        <v>called</v>
      </c>
      <c r="P21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8" s="21" t="str">
        <f>IF(Table4[[#This Row],[D captured of remain]]="called","called",Table4[[#This Row],[D captured of remain]]+Table4[[#This Row],[D pct]])</f>
        <v>called</v>
      </c>
      <c r="R218" s="22" t="str">
        <f>IF(Table4[[#This Row],[Expected D]]=1,"D",IF(Table4[[#This Row],[Expected R]]=1,"R",IF(Table4[[#This Row],[D total]]&gt;=0.5,"D","R")))</f>
        <v>R</v>
      </c>
      <c r="S218" s="22"/>
      <c r="V218" s="4"/>
    </row>
    <row r="219" spans="2:23" x14ac:dyDescent="0.35">
      <c r="B219" s="27">
        <v>210</v>
      </c>
      <c r="C219" s="2" t="s">
        <v>261</v>
      </c>
      <c r="D219" s="2" t="s">
        <v>284</v>
      </c>
      <c r="E219" s="4" t="s">
        <v>28</v>
      </c>
      <c r="F219" s="2" t="s">
        <v>684</v>
      </c>
      <c r="G219" s="4" t="s">
        <v>285</v>
      </c>
      <c r="H21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19" s="2" t="str">
        <f>IF(OR(LEFT(Table4[[#This Row],[win_prob]],1)="D",LEFT(Table4[[#This Row],[win_prob]],1)="R"),LEFT(Table4[[#This Row],[win_prob]],1),LEFT(Table4[[#This Row],[Category]],1))</f>
        <v>R</v>
      </c>
      <c r="J21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1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19" s="16" t="str">
        <f>RIGHT(Table4[[#This Row],[Margin]],LEN(Table4[[#This Row],[Margin]])-FIND("+",Table4[[#This Row],[Margin]]))</f>
        <v>1.6</v>
      </c>
      <c r="M219" s="20" t="str">
        <f>IF(Table4[[#This Row],[listedprob]]=1,"called",IF(LEFT(Table4[[#This Row],[Margin]],1)="D",(Table4[[#This Row],[Numeric Margin]]/2+50)/100,(-Table4[[#This Row],[Numeric Margin]]/2+50)/100))</f>
        <v>called</v>
      </c>
      <c r="N219" s="20" t="str">
        <f>IFERROR(IF(Table4[[#This Row],[D 2pv]]="called","called",Table4[[#This Row],[D 2pv]]*Table4[[#This Row],[Percent of votes in% In]]),Table4[[#This Row],[D 2pv]]*0.95)</f>
        <v>called</v>
      </c>
      <c r="O219" s="20" t="str">
        <f>IF(Table4[[#This Row],[D pct]]="called","called",(Table4[[#This Row],[D 2pv]]+$E$7))</f>
        <v>called</v>
      </c>
      <c r="P21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19" s="21" t="str">
        <f>IF(Table4[[#This Row],[D captured of remain]]="called","called",Table4[[#This Row],[D captured of remain]]+Table4[[#This Row],[D pct]])</f>
        <v>called</v>
      </c>
      <c r="R219" s="22" t="str">
        <f>IF(Table4[[#This Row],[Expected D]]=1,"D",IF(Table4[[#This Row],[Expected R]]=1,"R",IF(Table4[[#This Row],[D total]]&gt;=0.5,"D","R")))</f>
        <v>R</v>
      </c>
      <c r="S219" s="22"/>
      <c r="V219" s="4"/>
    </row>
    <row r="220" spans="2:23" x14ac:dyDescent="0.35">
      <c r="B220" s="27">
        <v>211</v>
      </c>
      <c r="C220" s="2" t="s">
        <v>262</v>
      </c>
      <c r="D220" s="2" t="s">
        <v>35</v>
      </c>
      <c r="E220" s="4" t="s">
        <v>28</v>
      </c>
      <c r="F220" s="2" t="s">
        <v>241</v>
      </c>
      <c r="G220" s="4" t="s">
        <v>285</v>
      </c>
      <c r="H22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0" s="2" t="str">
        <f>IF(OR(LEFT(Table4[[#This Row],[win_prob]],1)="D",LEFT(Table4[[#This Row],[win_prob]],1)="R"),LEFT(Table4[[#This Row],[win_prob]],1),LEFT(Table4[[#This Row],[Category]],1))</f>
        <v>D</v>
      </c>
      <c r="J220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0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0" s="16" t="str">
        <f>RIGHT(Table4[[#This Row],[Margin]],LEN(Table4[[#This Row],[Margin]])-FIND("+",Table4[[#This Row],[Margin]]))</f>
        <v>3</v>
      </c>
      <c r="M220" s="20" t="str">
        <f>IF(Table4[[#This Row],[listedprob]]=1,"called",IF(LEFT(Table4[[#This Row],[Margin]],1)="D",(Table4[[#This Row],[Numeric Margin]]/2+50)/100,(-Table4[[#This Row],[Numeric Margin]]/2+50)/100))</f>
        <v>called</v>
      </c>
      <c r="N220" s="20" t="str">
        <f>IFERROR(IF(Table4[[#This Row],[D 2pv]]="called","called",Table4[[#This Row],[D 2pv]]*Table4[[#This Row],[Percent of votes in% In]]),Table4[[#This Row],[D 2pv]]*0.95)</f>
        <v>called</v>
      </c>
      <c r="O220" s="20" t="str">
        <f>IF(Table4[[#This Row],[D pct]]="called","called",(Table4[[#This Row],[D 2pv]]+$E$7))</f>
        <v>called</v>
      </c>
      <c r="P22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0" s="21" t="str">
        <f>IF(Table4[[#This Row],[D captured of remain]]="called","called",Table4[[#This Row],[D captured of remain]]+Table4[[#This Row],[D pct]])</f>
        <v>called</v>
      </c>
      <c r="R220" s="22" t="str">
        <f>IF(Table4[[#This Row],[Expected D]]=1,"D",IF(Table4[[#This Row],[Expected R]]=1,"R",IF(Table4[[#This Row],[D total]]&gt;=0.5,"D","R")))</f>
        <v>D</v>
      </c>
      <c r="S220" s="22"/>
      <c r="V220" s="4"/>
    </row>
    <row r="221" spans="2:23" x14ac:dyDescent="0.35">
      <c r="B221" s="27">
        <v>212</v>
      </c>
      <c r="C221" s="2" t="s">
        <v>263</v>
      </c>
      <c r="D221" s="2" t="s">
        <v>35</v>
      </c>
      <c r="E221" s="4" t="s">
        <v>28</v>
      </c>
      <c r="F221" s="2" t="s">
        <v>247</v>
      </c>
      <c r="G221" s="4" t="s">
        <v>285</v>
      </c>
      <c r="H22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1" s="2" t="str">
        <f>IF(OR(LEFT(Table4[[#This Row],[win_prob]],1)="D",LEFT(Table4[[#This Row],[win_prob]],1)="R"),LEFT(Table4[[#This Row],[win_prob]],1),LEFT(Table4[[#This Row],[Category]],1))</f>
        <v>D</v>
      </c>
      <c r="J22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1" s="16" t="str">
        <f>RIGHT(Table4[[#This Row],[Margin]],LEN(Table4[[#This Row],[Margin]])-FIND("+",Table4[[#This Row],[Margin]]))</f>
        <v>5</v>
      </c>
      <c r="M221" s="20" t="str">
        <f>IF(Table4[[#This Row],[listedprob]]=1,"called",IF(LEFT(Table4[[#This Row],[Margin]],1)="D",(Table4[[#This Row],[Numeric Margin]]/2+50)/100,(-Table4[[#This Row],[Numeric Margin]]/2+50)/100))</f>
        <v>called</v>
      </c>
      <c r="N221" s="20" t="str">
        <f>IFERROR(IF(Table4[[#This Row],[D 2pv]]="called","called",Table4[[#This Row],[D 2pv]]*Table4[[#This Row],[Percent of votes in% In]]),Table4[[#This Row],[D 2pv]]*0.95)</f>
        <v>called</v>
      </c>
      <c r="O221" s="20" t="str">
        <f>IF(Table4[[#This Row],[D pct]]="called","called",(Table4[[#This Row],[D 2pv]]+$E$7))</f>
        <v>called</v>
      </c>
      <c r="P22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1" s="21" t="str">
        <f>IF(Table4[[#This Row],[D captured of remain]]="called","called",Table4[[#This Row],[D captured of remain]]+Table4[[#This Row],[D pct]])</f>
        <v>called</v>
      </c>
      <c r="R221" s="22" t="str">
        <f>IF(Table4[[#This Row],[Expected D]]=1,"D",IF(Table4[[#This Row],[Expected R]]=1,"R",IF(Table4[[#This Row],[D total]]&gt;=0.5,"D","R")))</f>
        <v>D</v>
      </c>
      <c r="S221" s="22"/>
      <c r="V221" s="4"/>
    </row>
    <row r="222" spans="2:23" x14ac:dyDescent="0.35">
      <c r="B222" s="27">
        <v>213</v>
      </c>
      <c r="C222" s="2" t="s">
        <v>264</v>
      </c>
      <c r="D222" s="2" t="s">
        <v>35</v>
      </c>
      <c r="E222" s="4" t="s">
        <v>28</v>
      </c>
      <c r="F222" s="2" t="s">
        <v>247</v>
      </c>
      <c r="G222" s="4" t="s">
        <v>285</v>
      </c>
      <c r="H22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2" s="2" t="str">
        <f>IF(OR(LEFT(Table4[[#This Row],[win_prob]],1)="D",LEFT(Table4[[#This Row],[win_prob]],1)="R"),LEFT(Table4[[#This Row],[win_prob]],1),LEFT(Table4[[#This Row],[Category]],1))</f>
        <v>D</v>
      </c>
      <c r="J22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2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2" s="16" t="str">
        <f>RIGHT(Table4[[#This Row],[Margin]],LEN(Table4[[#This Row],[Margin]])-FIND("+",Table4[[#This Row],[Margin]]))</f>
        <v>5</v>
      </c>
      <c r="M222" s="20" t="str">
        <f>IF(Table4[[#This Row],[listedprob]]=1,"called",IF(LEFT(Table4[[#This Row],[Margin]],1)="D",(Table4[[#This Row],[Numeric Margin]]/2+50)/100,(-Table4[[#This Row],[Numeric Margin]]/2+50)/100))</f>
        <v>called</v>
      </c>
      <c r="N222" s="20" t="str">
        <f>IFERROR(IF(Table4[[#This Row],[D 2pv]]="called","called",Table4[[#This Row],[D 2pv]]*Table4[[#This Row],[Percent of votes in% In]]),Table4[[#This Row],[D 2pv]]*0.95)</f>
        <v>called</v>
      </c>
      <c r="O222" s="20" t="str">
        <f>IF(Table4[[#This Row],[D pct]]="called","called",(Table4[[#This Row],[D 2pv]]+$E$7))</f>
        <v>called</v>
      </c>
      <c r="P22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2" s="21" t="str">
        <f>IF(Table4[[#This Row],[D captured of remain]]="called","called",Table4[[#This Row],[D captured of remain]]+Table4[[#This Row],[D pct]])</f>
        <v>called</v>
      </c>
      <c r="R222" s="22" t="str">
        <f>IF(Table4[[#This Row],[Expected D]]=1,"D",IF(Table4[[#This Row],[Expected R]]=1,"R",IF(Table4[[#This Row],[D total]]&gt;=0.5,"D","R")))</f>
        <v>D</v>
      </c>
      <c r="S222" s="22"/>
      <c r="V222" s="4"/>
    </row>
    <row r="223" spans="2:23" x14ac:dyDescent="0.35">
      <c r="B223" s="27">
        <v>214</v>
      </c>
      <c r="C223" s="2" t="s">
        <v>265</v>
      </c>
      <c r="D223" s="2" t="s">
        <v>35</v>
      </c>
      <c r="E223" s="4">
        <v>0.94</v>
      </c>
      <c r="F223" s="2" t="s">
        <v>685</v>
      </c>
      <c r="G223" s="4" t="s">
        <v>285</v>
      </c>
      <c r="H22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3" s="2" t="str">
        <f>IF(OR(LEFT(Table4[[#This Row],[win_prob]],1)="D",LEFT(Table4[[#This Row],[win_prob]],1)="R"),LEFT(Table4[[#This Row],[win_prob]],1),LEFT(Table4[[#This Row],[Category]],1))</f>
        <v>D</v>
      </c>
      <c r="J223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3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23" s="16" t="str">
        <f>RIGHT(Table4[[#This Row],[Margin]],LEN(Table4[[#This Row],[Margin]])-FIND("+",Table4[[#This Row],[Margin]]))</f>
        <v>1.5</v>
      </c>
      <c r="M223" s="20" t="str">
        <f>IF(Table4[[#This Row],[listedprob]]=1,"called",IF(LEFT(Table4[[#This Row],[Margin]],1)="D",(Table4[[#This Row],[Numeric Margin]]/2+50)/100,(-Table4[[#This Row],[Numeric Margin]]/2+50)/100))</f>
        <v>called</v>
      </c>
      <c r="N223" s="20" t="str">
        <f>IFERROR(IF(Table4[[#This Row],[D 2pv]]="called","called",Table4[[#This Row],[D 2pv]]*Table4[[#This Row],[Percent of votes in% In]]),Table4[[#This Row],[D 2pv]]*0.95)</f>
        <v>called</v>
      </c>
      <c r="O223" s="20" t="str">
        <f>IF(Table4[[#This Row],[D pct]]="called","called",(Table4[[#This Row],[D 2pv]]+$E$7))</f>
        <v>called</v>
      </c>
      <c r="P22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3" s="21" t="str">
        <f>IF(Table4[[#This Row],[D captured of remain]]="called","called",Table4[[#This Row],[D captured of remain]]+Table4[[#This Row],[D pct]])</f>
        <v>called</v>
      </c>
      <c r="R223" s="22" t="str">
        <f>IF(Table4[[#This Row],[Expected D]]=1,"D",IF(Table4[[#This Row],[Expected R]]=1,"R",IF(Table4[[#This Row],[D total]]&gt;=0.5,"D","R")))</f>
        <v>D</v>
      </c>
      <c r="S223" s="22"/>
      <c r="V223" s="4"/>
    </row>
    <row r="224" spans="2:23" x14ac:dyDescent="0.35">
      <c r="B224" s="27">
        <v>215</v>
      </c>
      <c r="C224" s="2" t="s">
        <v>266</v>
      </c>
      <c r="D224" s="2" t="s">
        <v>35</v>
      </c>
      <c r="E224" s="4" t="s">
        <v>28</v>
      </c>
      <c r="F224" s="2" t="s">
        <v>237</v>
      </c>
      <c r="G224" s="4" t="s">
        <v>285</v>
      </c>
      <c r="H22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4" s="2" t="str">
        <f>IF(OR(LEFT(Table4[[#This Row],[win_prob]],1)="D",LEFT(Table4[[#This Row],[win_prob]],1)="R"),LEFT(Table4[[#This Row],[win_prob]],1),LEFT(Table4[[#This Row],[Category]],1))</f>
        <v>D</v>
      </c>
      <c r="J224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4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4" s="16" t="str">
        <f>RIGHT(Table4[[#This Row],[Margin]],LEN(Table4[[#This Row],[Margin]])-FIND("+",Table4[[#This Row],[Margin]]))</f>
        <v>2</v>
      </c>
      <c r="M224" s="20" t="str">
        <f>IF(Table4[[#This Row],[listedprob]]=1,"called",IF(LEFT(Table4[[#This Row],[Margin]],1)="D",(Table4[[#This Row],[Numeric Margin]]/2+50)/100,(-Table4[[#This Row],[Numeric Margin]]/2+50)/100))</f>
        <v>called</v>
      </c>
      <c r="N224" s="20" t="str">
        <f>IFERROR(IF(Table4[[#This Row],[D 2pv]]="called","called",Table4[[#This Row],[D 2pv]]*Table4[[#This Row],[Percent of votes in% In]]),Table4[[#This Row],[D 2pv]]*0.95)</f>
        <v>called</v>
      </c>
      <c r="O224" s="20" t="str">
        <f>IF(Table4[[#This Row],[D pct]]="called","called",(Table4[[#This Row],[D 2pv]]+$E$7))</f>
        <v>called</v>
      </c>
      <c r="P22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4" s="21" t="str">
        <f>IF(Table4[[#This Row],[D captured of remain]]="called","called",Table4[[#This Row],[D captured of remain]]+Table4[[#This Row],[D pct]])</f>
        <v>called</v>
      </c>
      <c r="R224" s="22" t="str">
        <f>IF(Table4[[#This Row],[Expected D]]=1,"D",IF(Table4[[#This Row],[Expected R]]=1,"R",IF(Table4[[#This Row],[D total]]&gt;=0.5,"D","R")))</f>
        <v>D</v>
      </c>
      <c r="S224" s="22"/>
      <c r="V224" s="4"/>
      <c r="W224" s="4"/>
    </row>
    <row r="225" spans="2:23" x14ac:dyDescent="0.35">
      <c r="B225" s="27">
        <v>216</v>
      </c>
      <c r="C225" s="2" t="s">
        <v>268</v>
      </c>
      <c r="D225" s="2" t="s">
        <v>35</v>
      </c>
      <c r="E225" s="4" t="s">
        <v>28</v>
      </c>
      <c r="F225" s="2" t="s">
        <v>241</v>
      </c>
      <c r="G225" s="4" t="s">
        <v>285</v>
      </c>
      <c r="H22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5" s="2" t="str">
        <f>IF(OR(LEFT(Table4[[#This Row],[win_prob]],1)="D",LEFT(Table4[[#This Row],[win_prob]],1)="R"),LEFT(Table4[[#This Row],[win_prob]],1),LEFT(Table4[[#This Row],[Category]],1))</f>
        <v>D</v>
      </c>
      <c r="J22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5" s="16" t="str">
        <f>RIGHT(Table4[[#This Row],[Margin]],LEN(Table4[[#This Row],[Margin]])-FIND("+",Table4[[#This Row],[Margin]]))</f>
        <v>3</v>
      </c>
      <c r="M225" s="20" t="str">
        <f>IF(Table4[[#This Row],[listedprob]]=1,"called",IF(LEFT(Table4[[#This Row],[Margin]],1)="D",(Table4[[#This Row],[Numeric Margin]]/2+50)/100,(-Table4[[#This Row],[Numeric Margin]]/2+50)/100))</f>
        <v>called</v>
      </c>
      <c r="N225" s="20" t="str">
        <f>IFERROR(IF(Table4[[#This Row],[D 2pv]]="called","called",Table4[[#This Row],[D 2pv]]*Table4[[#This Row],[Percent of votes in% In]]),Table4[[#This Row],[D 2pv]]*0.95)</f>
        <v>called</v>
      </c>
      <c r="O225" s="20" t="str">
        <f>IF(Table4[[#This Row],[D pct]]="called","called",(Table4[[#This Row],[D 2pv]]+$E$7))</f>
        <v>called</v>
      </c>
      <c r="P22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5" s="21" t="str">
        <f>IF(Table4[[#This Row],[D captured of remain]]="called","called",Table4[[#This Row],[D captured of remain]]+Table4[[#This Row],[D pct]])</f>
        <v>called</v>
      </c>
      <c r="R225" s="22" t="str">
        <f>IF(Table4[[#This Row],[Expected D]]=1,"D",IF(Table4[[#This Row],[Expected R]]=1,"R",IF(Table4[[#This Row],[D total]]&gt;=0.5,"D","R")))</f>
        <v>D</v>
      </c>
      <c r="S225" s="22"/>
      <c r="V225" s="4"/>
      <c r="W225" s="4"/>
    </row>
    <row r="226" spans="2:23" x14ac:dyDescent="0.35">
      <c r="B226" s="27">
        <v>217</v>
      </c>
      <c r="C226" s="2" t="s">
        <v>269</v>
      </c>
      <c r="D226" s="2" t="s">
        <v>35</v>
      </c>
      <c r="E226" s="4" t="s">
        <v>28</v>
      </c>
      <c r="F226" s="2" t="s">
        <v>243</v>
      </c>
      <c r="G226" s="4" t="s">
        <v>285</v>
      </c>
      <c r="H22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6" s="2" t="str">
        <f>IF(OR(LEFT(Table4[[#This Row],[win_prob]],1)="D",LEFT(Table4[[#This Row],[win_prob]],1)="R"),LEFT(Table4[[#This Row],[win_prob]],1),LEFT(Table4[[#This Row],[Category]],1))</f>
        <v>D</v>
      </c>
      <c r="J226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6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6" s="16" t="str">
        <f>RIGHT(Table4[[#This Row],[Margin]],LEN(Table4[[#This Row],[Margin]])-FIND("+",Table4[[#This Row],[Margin]]))</f>
        <v>6</v>
      </c>
      <c r="M226" s="20" t="str">
        <f>IF(Table4[[#This Row],[listedprob]]=1,"called",IF(LEFT(Table4[[#This Row],[Margin]],1)="D",(Table4[[#This Row],[Numeric Margin]]/2+50)/100,(-Table4[[#This Row],[Numeric Margin]]/2+50)/100))</f>
        <v>called</v>
      </c>
      <c r="N226" s="20" t="str">
        <f>IFERROR(IF(Table4[[#This Row],[D 2pv]]="called","called",Table4[[#This Row],[D 2pv]]*Table4[[#This Row],[Percent of votes in% In]]),Table4[[#This Row],[D 2pv]]*0.95)</f>
        <v>called</v>
      </c>
      <c r="O226" s="20" t="str">
        <f>IF(Table4[[#This Row],[D pct]]="called","called",(Table4[[#This Row],[D 2pv]]+$E$7))</f>
        <v>called</v>
      </c>
      <c r="P22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6" s="21" t="str">
        <f>IF(Table4[[#This Row],[D captured of remain]]="called","called",Table4[[#This Row],[D captured of remain]]+Table4[[#This Row],[D pct]])</f>
        <v>called</v>
      </c>
      <c r="R226" s="22" t="str">
        <f>IF(Table4[[#This Row],[Expected D]]=1,"D",IF(Table4[[#This Row],[Expected R]]=1,"R",IF(Table4[[#This Row],[D total]]&gt;=0.5,"D","R")))</f>
        <v>D</v>
      </c>
      <c r="S226" s="22"/>
      <c r="V226" s="4"/>
    </row>
    <row r="227" spans="2:23" x14ac:dyDescent="0.35">
      <c r="B227" s="27">
        <v>218</v>
      </c>
      <c r="C227" s="2" t="s">
        <v>270</v>
      </c>
      <c r="D227" s="2" t="s">
        <v>35</v>
      </c>
      <c r="E227" s="4" t="s">
        <v>28</v>
      </c>
      <c r="F227" s="2" t="s">
        <v>245</v>
      </c>
      <c r="G227" s="4" t="s">
        <v>285</v>
      </c>
      <c r="H22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7" s="2" t="str">
        <f>IF(OR(LEFT(Table4[[#This Row],[win_prob]],1)="D",LEFT(Table4[[#This Row],[win_prob]],1)="R"),LEFT(Table4[[#This Row],[win_prob]],1),LEFT(Table4[[#This Row],[Category]],1))</f>
        <v>D</v>
      </c>
      <c r="J227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7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7" s="16" t="str">
        <f>RIGHT(Table4[[#This Row],[Margin]],LEN(Table4[[#This Row],[Margin]])-FIND("+",Table4[[#This Row],[Margin]]))</f>
        <v>4</v>
      </c>
      <c r="M227" s="20" t="str">
        <f>IF(Table4[[#This Row],[listedprob]]=1,"called",IF(LEFT(Table4[[#This Row],[Margin]],1)="D",(Table4[[#This Row],[Numeric Margin]]/2+50)/100,(-Table4[[#This Row],[Numeric Margin]]/2+50)/100))</f>
        <v>called</v>
      </c>
      <c r="N227" s="20" t="str">
        <f>IFERROR(IF(Table4[[#This Row],[D 2pv]]="called","called",Table4[[#This Row],[D 2pv]]*Table4[[#This Row],[Percent of votes in% In]]),Table4[[#This Row],[D 2pv]]*0.95)</f>
        <v>called</v>
      </c>
      <c r="O227" s="20" t="str">
        <f>IF(Table4[[#This Row],[D pct]]="called","called",(Table4[[#This Row],[D 2pv]]+$E$7))</f>
        <v>called</v>
      </c>
      <c r="P22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7" s="21" t="str">
        <f>IF(Table4[[#This Row],[D captured of remain]]="called","called",Table4[[#This Row],[D captured of remain]]+Table4[[#This Row],[D pct]])</f>
        <v>called</v>
      </c>
      <c r="R227" s="22" t="str">
        <f>IF(Table4[[#This Row],[Expected D]]=1,"D",IF(Table4[[#This Row],[Expected R]]=1,"R",IF(Table4[[#This Row],[D total]]&gt;=0.5,"D","R")))</f>
        <v>D</v>
      </c>
      <c r="S227" s="22"/>
      <c r="V227" s="4"/>
    </row>
    <row r="228" spans="2:23" x14ac:dyDescent="0.35">
      <c r="B228" s="27">
        <v>219</v>
      </c>
      <c r="C228" s="2" t="s">
        <v>271</v>
      </c>
      <c r="D228" s="2" t="s">
        <v>35</v>
      </c>
      <c r="E228" s="4" t="s">
        <v>28</v>
      </c>
      <c r="F228" s="2" t="s">
        <v>272</v>
      </c>
      <c r="G228" s="4" t="s">
        <v>285</v>
      </c>
      <c r="H22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8" s="2" t="str">
        <f>IF(OR(LEFT(Table4[[#This Row],[win_prob]],1)="D",LEFT(Table4[[#This Row],[win_prob]],1)="R"),LEFT(Table4[[#This Row],[win_prob]],1),LEFT(Table4[[#This Row],[Category]],1))</f>
        <v>D</v>
      </c>
      <c r="J228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8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8" s="16" t="str">
        <f>RIGHT(Table4[[#This Row],[Margin]],LEN(Table4[[#This Row],[Margin]])-FIND("+",Table4[[#This Row],[Margin]]))</f>
        <v>13</v>
      </c>
      <c r="M228" s="20" t="str">
        <f>IF(Table4[[#This Row],[listedprob]]=1,"called",IF(LEFT(Table4[[#This Row],[Margin]],1)="D",(Table4[[#This Row],[Numeric Margin]]/2+50)/100,(-Table4[[#This Row],[Numeric Margin]]/2+50)/100))</f>
        <v>called</v>
      </c>
      <c r="N228" s="20" t="str">
        <f>IFERROR(IF(Table4[[#This Row],[D 2pv]]="called","called",Table4[[#This Row],[D 2pv]]*Table4[[#This Row],[Percent of votes in% In]]),Table4[[#This Row],[D 2pv]]*0.95)</f>
        <v>called</v>
      </c>
      <c r="O228" s="20" t="str">
        <f>IF(Table4[[#This Row],[D pct]]="called","called",(Table4[[#This Row],[D 2pv]]+$E$7))</f>
        <v>called</v>
      </c>
      <c r="P22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8" s="21" t="str">
        <f>IF(Table4[[#This Row],[D captured of remain]]="called","called",Table4[[#This Row],[D captured of remain]]+Table4[[#This Row],[D pct]])</f>
        <v>called</v>
      </c>
      <c r="R228" s="22" t="str">
        <f>IF(Table4[[#This Row],[Expected D]]=1,"D",IF(Table4[[#This Row],[Expected R]]=1,"R",IF(Table4[[#This Row],[D total]]&gt;=0.5,"D","R")))</f>
        <v>D</v>
      </c>
      <c r="S228" s="22"/>
      <c r="V228" s="4"/>
      <c r="W228" s="4"/>
    </row>
    <row r="229" spans="2:23" x14ac:dyDescent="0.35">
      <c r="B229" s="27">
        <v>220</v>
      </c>
      <c r="C229" s="2" t="s">
        <v>273</v>
      </c>
      <c r="D229" s="2" t="s">
        <v>35</v>
      </c>
      <c r="E229" s="4" t="s">
        <v>28</v>
      </c>
      <c r="F229" s="2" t="s">
        <v>274</v>
      </c>
      <c r="G229" s="4" t="s">
        <v>285</v>
      </c>
      <c r="H22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29" s="2" t="str">
        <f>IF(OR(LEFT(Table4[[#This Row],[win_prob]],1)="D",LEFT(Table4[[#This Row],[win_prob]],1)="R"),LEFT(Table4[[#This Row],[win_prob]],1),LEFT(Table4[[#This Row],[Category]],1))</f>
        <v>D</v>
      </c>
      <c r="J229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29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29" s="16" t="str">
        <f>RIGHT(Table4[[#This Row],[Margin]],LEN(Table4[[#This Row],[Margin]])-FIND("+",Table4[[#This Row],[Margin]]))</f>
        <v>8</v>
      </c>
      <c r="M229" s="20" t="str">
        <f>IF(Table4[[#This Row],[listedprob]]=1,"called",IF(LEFT(Table4[[#This Row],[Margin]],1)="D",(Table4[[#This Row],[Numeric Margin]]/2+50)/100,(-Table4[[#This Row],[Numeric Margin]]/2+50)/100))</f>
        <v>called</v>
      </c>
      <c r="N229" s="20" t="str">
        <f>IFERROR(IF(Table4[[#This Row],[D 2pv]]="called","called",Table4[[#This Row],[D 2pv]]*Table4[[#This Row],[Percent of votes in% In]]),Table4[[#This Row],[D 2pv]]*0.95)</f>
        <v>called</v>
      </c>
      <c r="O229" s="20" t="str">
        <f>IF(Table4[[#This Row],[D pct]]="called","called",(Table4[[#This Row],[D 2pv]]+$E$7))</f>
        <v>called</v>
      </c>
      <c r="P22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29" s="21" t="str">
        <f>IF(Table4[[#This Row],[D captured of remain]]="called","called",Table4[[#This Row],[D captured of remain]]+Table4[[#This Row],[D pct]])</f>
        <v>called</v>
      </c>
      <c r="R229" s="22" t="str">
        <f>IF(Table4[[#This Row],[Expected D]]=1,"D",IF(Table4[[#This Row],[Expected R]]=1,"R",IF(Table4[[#This Row],[D total]]&gt;=0.5,"D","R")))</f>
        <v>D</v>
      </c>
      <c r="S229" s="22"/>
      <c r="V229" s="4"/>
      <c r="W229" s="4"/>
    </row>
    <row r="230" spans="2:23" x14ac:dyDescent="0.35">
      <c r="B230" s="27">
        <v>221</v>
      </c>
      <c r="C230" s="2" t="s">
        <v>275</v>
      </c>
      <c r="D230" s="2" t="s">
        <v>284</v>
      </c>
      <c r="E230" s="4" t="s">
        <v>28</v>
      </c>
      <c r="F230" s="2" t="s">
        <v>568</v>
      </c>
      <c r="G230" s="4" t="s">
        <v>285</v>
      </c>
      <c r="H23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0" s="2" t="str">
        <f>IF(OR(LEFT(Table4[[#This Row],[win_prob]],1)="D",LEFT(Table4[[#This Row],[win_prob]],1)="R"),LEFT(Table4[[#This Row],[win_prob]],1),LEFT(Table4[[#This Row],[Category]],1))</f>
        <v>R</v>
      </c>
      <c r="J23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3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0" s="16" t="str">
        <f>RIGHT(Table4[[#This Row],[Margin]],LEN(Table4[[#This Row],[Margin]])-FIND("+",Table4[[#This Row],[Margin]]))</f>
        <v>3</v>
      </c>
      <c r="M230" s="20" t="str">
        <f>IF(Table4[[#This Row],[listedprob]]=1,"called",IF(LEFT(Table4[[#This Row],[Margin]],1)="D",(Table4[[#This Row],[Numeric Margin]]/2+50)/100,(-Table4[[#This Row],[Numeric Margin]]/2+50)/100))</f>
        <v>called</v>
      </c>
      <c r="N230" s="20" t="str">
        <f>IFERROR(IF(Table4[[#This Row],[D 2pv]]="called","called",Table4[[#This Row],[D 2pv]]*Table4[[#This Row],[Percent of votes in% In]]),Table4[[#This Row],[D 2pv]]*0.95)</f>
        <v>called</v>
      </c>
      <c r="O230" s="20" t="str">
        <f>IF(Table4[[#This Row],[D pct]]="called","called",(Table4[[#This Row],[D 2pv]]+$E$7))</f>
        <v>called</v>
      </c>
      <c r="P23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0" s="21" t="str">
        <f>IF(Table4[[#This Row],[D captured of remain]]="called","called",Table4[[#This Row],[D captured of remain]]+Table4[[#This Row],[D pct]])</f>
        <v>called</v>
      </c>
      <c r="R230" s="22" t="str">
        <f>IF(Table4[[#This Row],[Expected D]]=1,"D",IF(Table4[[#This Row],[Expected R]]=1,"R",IF(Table4[[#This Row],[D total]]&gt;=0.5,"D","R")))</f>
        <v>R</v>
      </c>
      <c r="S230" s="22"/>
      <c r="V230" s="4"/>
    </row>
    <row r="231" spans="2:23" x14ac:dyDescent="0.35">
      <c r="B231" s="27">
        <v>222</v>
      </c>
      <c r="C231" s="2" t="s">
        <v>276</v>
      </c>
      <c r="D231" s="2" t="s">
        <v>35</v>
      </c>
      <c r="E231" s="4" t="s">
        <v>28</v>
      </c>
      <c r="F231" s="2" t="s">
        <v>247</v>
      </c>
      <c r="G231" s="4" t="s">
        <v>285</v>
      </c>
      <c r="H23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1" s="2" t="str">
        <f>IF(OR(LEFT(Table4[[#This Row],[win_prob]],1)="D",LEFT(Table4[[#This Row],[win_prob]],1)="R"),LEFT(Table4[[#This Row],[win_prob]],1),LEFT(Table4[[#This Row],[Category]],1))</f>
        <v>D</v>
      </c>
      <c r="J231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31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31" s="16" t="str">
        <f>RIGHT(Table4[[#This Row],[Margin]],LEN(Table4[[#This Row],[Margin]])-FIND("+",Table4[[#This Row],[Margin]]))</f>
        <v>5</v>
      </c>
      <c r="M231" s="20" t="str">
        <f>IF(Table4[[#This Row],[listedprob]]=1,"called",IF(LEFT(Table4[[#This Row],[Margin]],1)="D",(Table4[[#This Row],[Numeric Margin]]/2+50)/100,(-Table4[[#This Row],[Numeric Margin]]/2+50)/100))</f>
        <v>called</v>
      </c>
      <c r="N231" s="20" t="str">
        <f>IFERROR(IF(Table4[[#This Row],[D 2pv]]="called","called",Table4[[#This Row],[D 2pv]]*Table4[[#This Row],[Percent of votes in% In]]),Table4[[#This Row],[D 2pv]]*0.95)</f>
        <v>called</v>
      </c>
      <c r="O231" s="20" t="str">
        <f>IF(Table4[[#This Row],[D pct]]="called","called",(Table4[[#This Row],[D 2pv]]+$E$7))</f>
        <v>called</v>
      </c>
      <c r="P23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1" s="21" t="str">
        <f>IF(Table4[[#This Row],[D captured of remain]]="called","called",Table4[[#This Row],[D captured of remain]]+Table4[[#This Row],[D pct]])</f>
        <v>called</v>
      </c>
      <c r="R231" s="22" t="str">
        <f>IF(Table4[[#This Row],[Expected D]]=1,"D",IF(Table4[[#This Row],[Expected R]]=1,"R",IF(Table4[[#This Row],[D total]]&gt;=0.5,"D","R")))</f>
        <v>D</v>
      </c>
      <c r="S231" s="22"/>
      <c r="V231" s="4"/>
    </row>
    <row r="232" spans="2:23" x14ac:dyDescent="0.35">
      <c r="B232" s="27">
        <v>223</v>
      </c>
      <c r="C232" s="2" t="s">
        <v>277</v>
      </c>
      <c r="D232" s="2" t="s">
        <v>35</v>
      </c>
      <c r="E232" s="4" t="s">
        <v>28</v>
      </c>
      <c r="F232" s="2" t="s">
        <v>243</v>
      </c>
      <c r="G232" s="4" t="s">
        <v>285</v>
      </c>
      <c r="H23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2" s="2" t="str">
        <f>IF(OR(LEFT(Table4[[#This Row],[win_prob]],1)="D",LEFT(Table4[[#This Row],[win_prob]],1)="R"),LEFT(Table4[[#This Row],[win_prob]],1),LEFT(Table4[[#This Row],[Category]],1))</f>
        <v>D</v>
      </c>
      <c r="J232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32" s="16" t="str">
        <f>IFERROR(IF(INDEX(Table5[Call],MATCH(Table4[[#This Row],[District]],Table5[Confirmed Calls (other outlets)],0))="R",1,"not here"),IF(Table4[[#This Row],[Favored]]="R",Table4[[#This Row],[listedprob]],1-Table4[[#This Row],[listedprob]]))</f>
        <v>not here</v>
      </c>
      <c r="L232" s="16" t="str">
        <f>RIGHT(Table4[[#This Row],[Margin]],LEN(Table4[[#This Row],[Margin]])-FIND("+",Table4[[#This Row],[Margin]]))</f>
        <v>6</v>
      </c>
      <c r="M232" s="20" t="str">
        <f>IF(Table4[[#This Row],[listedprob]]=1,"called",IF(LEFT(Table4[[#This Row],[Margin]],1)="D",(Table4[[#This Row],[Numeric Margin]]/2+50)/100,(-Table4[[#This Row],[Numeric Margin]]/2+50)/100))</f>
        <v>called</v>
      </c>
      <c r="N232" s="20" t="str">
        <f>IFERROR(IF(Table4[[#This Row],[D 2pv]]="called","called",Table4[[#This Row],[D 2pv]]*Table4[[#This Row],[Percent of votes in% In]]),Table4[[#This Row],[D 2pv]]*0.95)</f>
        <v>called</v>
      </c>
      <c r="O232" s="20" t="str">
        <f>IF(Table4[[#This Row],[D pct]]="called","called",(Table4[[#This Row],[D 2pv]]+$E$7))</f>
        <v>called</v>
      </c>
      <c r="P23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2" s="21" t="str">
        <f>IF(Table4[[#This Row],[D captured of remain]]="called","called",Table4[[#This Row],[D captured of remain]]+Table4[[#This Row],[D pct]])</f>
        <v>called</v>
      </c>
      <c r="R232" s="22" t="str">
        <f>IF(Table4[[#This Row],[Expected D]]=1,"D",IF(Table4[[#This Row],[Expected R]]=1,"R",IF(Table4[[#This Row],[D total]]&gt;=0.5,"D","R")))</f>
        <v>D</v>
      </c>
      <c r="S232" s="22"/>
      <c r="V232" s="4"/>
    </row>
    <row r="233" spans="2:23" x14ac:dyDescent="0.35">
      <c r="B233" s="27">
        <v>224</v>
      </c>
      <c r="C233" s="2" t="s">
        <v>286</v>
      </c>
      <c r="D233" s="2" t="s">
        <v>284</v>
      </c>
      <c r="E233" s="4" t="s">
        <v>28</v>
      </c>
      <c r="F233" s="2" t="s">
        <v>232</v>
      </c>
      <c r="G233" s="4" t="s">
        <v>311</v>
      </c>
      <c r="H23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3" s="2" t="str">
        <f>IF(OR(LEFT(Table4[[#This Row],[win_prob]],1)="D",LEFT(Table4[[#This Row],[win_prob]],1)="R"),LEFT(Table4[[#This Row],[win_prob]],1),LEFT(Table4[[#This Row],[Category]],1))</f>
        <v>R</v>
      </c>
      <c r="J233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3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3" s="16" t="str">
        <f>RIGHT(Table4[[#This Row],[Margin]],LEN(Table4[[#This Row],[Margin]])-FIND("+",Table4[[#This Row],[Margin]]))</f>
        <v>8</v>
      </c>
      <c r="M233" s="20" t="str">
        <f>IF(Table4[[#This Row],[listedprob]]=1,"called",IF(LEFT(Table4[[#This Row],[Margin]],1)="D",(Table4[[#This Row],[Numeric Margin]]/2+50)/100,(-Table4[[#This Row],[Numeric Margin]]/2+50)/100))</f>
        <v>called</v>
      </c>
      <c r="N233" s="20" t="str">
        <f>IFERROR(IF(Table4[[#This Row],[D 2pv]]="called","called",Table4[[#This Row],[D 2pv]]*Table4[[#This Row],[Percent of votes in% In]]),Table4[[#This Row],[D 2pv]]*0.95)</f>
        <v>called</v>
      </c>
      <c r="O233" s="20" t="str">
        <f>IF(Table4[[#This Row],[D pct]]="called","called",(Table4[[#This Row],[D 2pv]]+$E$7))</f>
        <v>called</v>
      </c>
      <c r="P23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3" s="21" t="str">
        <f>IF(Table4[[#This Row],[D captured of remain]]="called","called",Table4[[#This Row],[D captured of remain]]+Table4[[#This Row],[D pct]])</f>
        <v>called</v>
      </c>
      <c r="R233" s="22" t="str">
        <f>IF(Table4[[#This Row],[Expected D]]=1,"D",IF(Table4[[#This Row],[Expected R]]=1,"R",IF(Table4[[#This Row],[D total]]&gt;=0.5,"D","R")))</f>
        <v>R</v>
      </c>
      <c r="S233" s="22"/>
      <c r="V233" s="4"/>
      <c r="W233" s="4"/>
    </row>
    <row r="234" spans="2:23" x14ac:dyDescent="0.35">
      <c r="B234" s="27">
        <v>225</v>
      </c>
      <c r="C234" s="2" t="s">
        <v>287</v>
      </c>
      <c r="D234" s="2" t="s">
        <v>284</v>
      </c>
      <c r="E234" s="2" t="s">
        <v>28</v>
      </c>
      <c r="F234" s="2" t="s">
        <v>637</v>
      </c>
      <c r="G234" s="4" t="s">
        <v>311</v>
      </c>
      <c r="H23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4" s="2" t="str">
        <f>IF(OR(LEFT(Table4[[#This Row],[win_prob]],1)="D",LEFT(Table4[[#This Row],[win_prob]],1)="R"),LEFT(Table4[[#This Row],[win_prob]],1),LEFT(Table4[[#This Row],[Category]],1))</f>
        <v>R</v>
      </c>
      <c r="J234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3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4" s="16" t="str">
        <f>RIGHT(Table4[[#This Row],[Margin]],LEN(Table4[[#This Row],[Margin]])-FIND("+",Table4[[#This Row],[Margin]]))</f>
        <v>1.5</v>
      </c>
      <c r="M234" s="20" t="str">
        <f>IF(Table4[[#This Row],[listedprob]]=1,"called",IF(LEFT(Table4[[#This Row],[Margin]],1)="D",(Table4[[#This Row],[Numeric Margin]]/2+50)/100,(-Table4[[#This Row],[Numeric Margin]]/2+50)/100))</f>
        <v>called</v>
      </c>
      <c r="N234" s="20" t="str">
        <f>IFERROR(IF(Table4[[#This Row],[D 2pv]]="called","called",Table4[[#This Row],[D 2pv]]*Table4[[#This Row],[Percent of votes in% In]]),Table4[[#This Row],[D 2pv]]*0.95)</f>
        <v>called</v>
      </c>
      <c r="O234" s="20" t="str">
        <f>IF(Table4[[#This Row],[D pct]]="called","called",(Table4[[#This Row],[D 2pv]]+$E$7))</f>
        <v>called</v>
      </c>
      <c r="P23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4" s="21" t="str">
        <f>IF(Table4[[#This Row],[D captured of remain]]="called","called",Table4[[#This Row],[D captured of remain]]+Table4[[#This Row],[D pct]])</f>
        <v>called</v>
      </c>
      <c r="R234" s="22" t="str">
        <f>IF(Table4[[#This Row],[Expected D]]=1,"D",IF(Table4[[#This Row],[Expected R]]=1,"R",IF(Table4[[#This Row],[D total]]&gt;=0.5,"D","R")))</f>
        <v>R</v>
      </c>
      <c r="S234" s="22"/>
      <c r="W234" s="4"/>
    </row>
    <row r="235" spans="2:23" x14ac:dyDescent="0.35">
      <c r="B235" s="27">
        <v>226</v>
      </c>
      <c r="C235" s="2" t="s">
        <v>288</v>
      </c>
      <c r="D235" s="2" t="s">
        <v>289</v>
      </c>
      <c r="E235" s="4">
        <v>0.56999999999999995</v>
      </c>
      <c r="F235" s="2" t="s">
        <v>559</v>
      </c>
      <c r="G235" s="4" t="s">
        <v>311</v>
      </c>
      <c r="H23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0.89</v>
      </c>
      <c r="I235" s="2" t="str">
        <f>IF(OR(LEFT(Table4[[#This Row],[win_prob]],1)="D",LEFT(Table4[[#This Row],[win_prob]],1)="R"),LEFT(Table4[[#This Row],[win_prob]],1),LEFT(Table4[[#This Row],[Category]],1))</f>
        <v>R</v>
      </c>
      <c r="J235" s="2">
        <f>IFERROR(IF(INDEX(Table5[Call],MATCH(Table4[[#This Row],[District]],Table5[Confirmed Calls (other outlets)],0))="D",1,"not here"),IF(Table4[[#This Row],[Favored]]="D",Table4[[#This Row],[listedprob]],1-Table4[[#This Row],[listedprob]]))</f>
        <v>0.10999999999999999</v>
      </c>
      <c r="K235" s="16">
        <f>IFERROR(IF(INDEX(Table5[Call],MATCH(Table4[[#This Row],[District]],Table5[Confirmed Calls (other outlets)],0))="R",1,"not here"),IF(Table4[[#This Row],[Favored]]="R",Table4[[#This Row],[listedprob]],1-Table4[[#This Row],[listedprob]]))</f>
        <v>0.89</v>
      </c>
      <c r="L235" s="16" t="str">
        <f>RIGHT(Table4[[#This Row],[Margin]],LEN(Table4[[#This Row],[Margin]])-FIND("+",Table4[[#This Row],[Margin]]))</f>
        <v>6</v>
      </c>
      <c r="M235" s="20">
        <f>IF(Table4[[#This Row],[listedprob]]=1,"called",IF(LEFT(Table4[[#This Row],[Margin]],1)="D",(Table4[[#This Row],[Numeric Margin]]/2+50)/100,(-Table4[[#This Row],[Numeric Margin]]/2+50)/100))</f>
        <v>0.47</v>
      </c>
      <c r="N235" s="20">
        <f>IFERROR(IF(Table4[[#This Row],[D 2pv]]="called","called",Table4[[#This Row],[D 2pv]]*Table4[[#This Row],[Percent of votes in% In]]),Table4[[#This Row],[D 2pv]]*0.95)</f>
        <v>0.26789999999999997</v>
      </c>
      <c r="O235" s="20">
        <f>IF(Table4[[#This Row],[D pct]]="called","called",(Table4[[#This Row],[D 2pv]]+$E$7))</f>
        <v>0.54</v>
      </c>
      <c r="P235" s="20">
        <f>IFERROR(IF(Table4[[#This Row],[D remaining pct]]="called","called",Table4[[#This Row],[D remaining pct]]*(1-Table4[[#This Row],[Percent of votes in% In]])),Table4[[#This Row],[D remaining pct]]*0.05)</f>
        <v>0.23220000000000005</v>
      </c>
      <c r="Q235" s="21">
        <f>IF(Table4[[#This Row],[D captured of remain]]="called","called",Table4[[#This Row],[D captured of remain]]+Table4[[#This Row],[D pct]])</f>
        <v>0.50009999999999999</v>
      </c>
      <c r="R235" s="22" t="str">
        <f>IF(Table4[[#This Row],[Expected D]]=1,"D",IF(Table4[[#This Row],[Expected R]]=1,"R",IF(Table4[[#This Row],[D total]]&gt;=0.5,"D","R")))</f>
        <v>D</v>
      </c>
      <c r="S235" s="22"/>
      <c r="V235" s="4"/>
      <c r="W235" s="4"/>
    </row>
    <row r="236" spans="2:23" x14ac:dyDescent="0.35">
      <c r="B236" s="27">
        <v>227</v>
      </c>
      <c r="C236" s="2" t="s">
        <v>290</v>
      </c>
      <c r="D236" s="2" t="s">
        <v>284</v>
      </c>
      <c r="E236" s="4">
        <v>0.85</v>
      </c>
      <c r="F236" s="2" t="s">
        <v>601</v>
      </c>
      <c r="G236" s="4" t="s">
        <v>311</v>
      </c>
      <c r="H23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6" s="2" t="str">
        <f>IF(OR(LEFT(Table4[[#This Row],[win_prob]],1)="D",LEFT(Table4[[#This Row],[win_prob]],1)="R"),LEFT(Table4[[#This Row],[win_prob]],1),LEFT(Table4[[#This Row],[Category]],1))</f>
        <v>R</v>
      </c>
      <c r="J236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3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6" s="16" t="str">
        <f>RIGHT(Table4[[#This Row],[Margin]],LEN(Table4[[#This Row],[Margin]])-FIND("+",Table4[[#This Row],[Margin]]))</f>
        <v>16</v>
      </c>
      <c r="M236" s="20" t="str">
        <f>IF(Table4[[#This Row],[listedprob]]=1,"called",IF(LEFT(Table4[[#This Row],[Margin]],1)="D",(Table4[[#This Row],[Numeric Margin]]/2+50)/100,(-Table4[[#This Row],[Numeric Margin]]/2+50)/100))</f>
        <v>called</v>
      </c>
      <c r="N236" s="20" t="str">
        <f>IFERROR(IF(Table4[[#This Row],[D 2pv]]="called","called",Table4[[#This Row],[D 2pv]]*Table4[[#This Row],[Percent of votes in% In]]),Table4[[#This Row],[D 2pv]]*0.95)</f>
        <v>called</v>
      </c>
      <c r="O236" s="20" t="str">
        <f>IF(Table4[[#This Row],[D pct]]="called","called",(Table4[[#This Row],[D 2pv]]+$E$7))</f>
        <v>called</v>
      </c>
      <c r="P23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6" s="21" t="str">
        <f>IF(Table4[[#This Row],[D captured of remain]]="called","called",Table4[[#This Row],[D captured of remain]]+Table4[[#This Row],[D pct]])</f>
        <v>called</v>
      </c>
      <c r="R236" s="22" t="str">
        <f>IF(Table4[[#This Row],[Expected D]]=1,"D",IF(Table4[[#This Row],[Expected R]]=1,"R",IF(Table4[[#This Row],[D total]]&gt;=0.5,"D","R")))</f>
        <v>R</v>
      </c>
      <c r="S236" s="22"/>
      <c r="V236" s="4"/>
      <c r="W236" s="4"/>
    </row>
    <row r="237" spans="2:23" x14ac:dyDescent="0.35">
      <c r="B237" s="27">
        <v>228</v>
      </c>
      <c r="C237" s="2" t="s">
        <v>291</v>
      </c>
      <c r="D237" s="2" t="s">
        <v>284</v>
      </c>
      <c r="E237" s="4">
        <v>0.84</v>
      </c>
      <c r="F237" s="2" t="s">
        <v>250</v>
      </c>
      <c r="G237" s="4" t="s">
        <v>311</v>
      </c>
      <c r="H23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7" s="2" t="str">
        <f>IF(OR(LEFT(Table4[[#This Row],[win_prob]],1)="D",LEFT(Table4[[#This Row],[win_prob]],1)="R"),LEFT(Table4[[#This Row],[win_prob]],1),LEFT(Table4[[#This Row],[Category]],1))</f>
        <v>R</v>
      </c>
      <c r="J23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3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7" s="16" t="str">
        <f>RIGHT(Table4[[#This Row],[Margin]],LEN(Table4[[#This Row],[Margin]])-FIND("+",Table4[[#This Row],[Margin]]))</f>
        <v>4</v>
      </c>
      <c r="M237" s="20" t="str">
        <f>IF(Table4[[#This Row],[listedprob]]=1,"called",IF(LEFT(Table4[[#This Row],[Margin]],1)="D",(Table4[[#This Row],[Numeric Margin]]/2+50)/100,(-Table4[[#This Row],[Numeric Margin]]/2+50)/100))</f>
        <v>called</v>
      </c>
      <c r="N237" s="20" t="str">
        <f>IFERROR(IF(Table4[[#This Row],[D 2pv]]="called","called",Table4[[#This Row],[D 2pv]]*Table4[[#This Row],[Percent of votes in% In]]),Table4[[#This Row],[D 2pv]]*0.95)</f>
        <v>called</v>
      </c>
      <c r="O237" s="20" t="str">
        <f>IF(Table4[[#This Row],[D pct]]="called","called",(Table4[[#This Row],[D 2pv]]+$E$7))</f>
        <v>called</v>
      </c>
      <c r="P23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7" s="21" t="str">
        <f>IF(Table4[[#This Row],[D captured of remain]]="called","called",Table4[[#This Row],[D captured of remain]]+Table4[[#This Row],[D pct]])</f>
        <v>called</v>
      </c>
      <c r="R237" s="22" t="str">
        <f>IF(Table4[[#This Row],[Expected D]]=1,"D",IF(Table4[[#This Row],[Expected R]]=1,"R",IF(Table4[[#This Row],[D total]]&gt;=0.5,"D","R")))</f>
        <v>R</v>
      </c>
      <c r="S237" s="22"/>
      <c r="V237" s="4"/>
      <c r="W237" s="4"/>
    </row>
    <row r="238" spans="2:23" x14ac:dyDescent="0.35">
      <c r="B238" s="27">
        <v>229</v>
      </c>
      <c r="C238" s="2" t="s">
        <v>292</v>
      </c>
      <c r="D238" s="2" t="s">
        <v>284</v>
      </c>
      <c r="E238" s="4">
        <v>0.84</v>
      </c>
      <c r="F238" s="2" t="s">
        <v>232</v>
      </c>
      <c r="G238" s="4" t="s">
        <v>311</v>
      </c>
      <c r="H23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8" s="2" t="str">
        <f>IF(OR(LEFT(Table4[[#This Row],[win_prob]],1)="D",LEFT(Table4[[#This Row],[win_prob]],1)="R"),LEFT(Table4[[#This Row],[win_prob]],1),LEFT(Table4[[#This Row],[Category]],1))</f>
        <v>R</v>
      </c>
      <c r="J23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3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8" s="16" t="str">
        <f>RIGHT(Table4[[#This Row],[Margin]],LEN(Table4[[#This Row],[Margin]])-FIND("+",Table4[[#This Row],[Margin]]))</f>
        <v>8</v>
      </c>
      <c r="M238" s="20" t="str">
        <f>IF(Table4[[#This Row],[listedprob]]=1,"called",IF(LEFT(Table4[[#This Row],[Margin]],1)="D",(Table4[[#This Row],[Numeric Margin]]/2+50)/100,(-Table4[[#This Row],[Numeric Margin]]/2+50)/100))</f>
        <v>called</v>
      </c>
      <c r="N238" s="20" t="str">
        <f>IFERROR(IF(Table4[[#This Row],[D 2pv]]="called","called",Table4[[#This Row],[D 2pv]]*Table4[[#This Row],[Percent of votes in% In]]),Table4[[#This Row],[D 2pv]]*0.95)</f>
        <v>called</v>
      </c>
      <c r="O238" s="20" t="str">
        <f>IF(Table4[[#This Row],[D pct]]="called","called",(Table4[[#This Row],[D 2pv]]+$E$7))</f>
        <v>called</v>
      </c>
      <c r="P23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8" s="21" t="str">
        <f>IF(Table4[[#This Row],[D captured of remain]]="called","called",Table4[[#This Row],[D captured of remain]]+Table4[[#This Row],[D pct]])</f>
        <v>called</v>
      </c>
      <c r="R238" s="22" t="str">
        <f>IF(Table4[[#This Row],[Expected D]]=1,"D",IF(Table4[[#This Row],[Expected R]]=1,"R",IF(Table4[[#This Row],[D total]]&gt;=0.5,"D","R")))</f>
        <v>R</v>
      </c>
      <c r="S238" s="22"/>
      <c r="V238" s="4"/>
      <c r="W238" s="4"/>
    </row>
    <row r="239" spans="2:23" x14ac:dyDescent="0.35">
      <c r="B239" s="27">
        <v>230</v>
      </c>
      <c r="C239" s="2" t="s">
        <v>293</v>
      </c>
      <c r="D239" s="2" t="s">
        <v>284</v>
      </c>
      <c r="E239" s="4" t="s">
        <v>28</v>
      </c>
      <c r="F239" s="2" t="s">
        <v>232</v>
      </c>
      <c r="G239" s="4" t="s">
        <v>311</v>
      </c>
      <c r="H23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39" s="2" t="str">
        <f>IF(OR(LEFT(Table4[[#This Row],[win_prob]],1)="D",LEFT(Table4[[#This Row],[win_prob]],1)="R"),LEFT(Table4[[#This Row],[win_prob]],1),LEFT(Table4[[#This Row],[Category]],1))</f>
        <v>R</v>
      </c>
      <c r="J23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3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39" s="16" t="str">
        <f>RIGHT(Table4[[#This Row],[Margin]],LEN(Table4[[#This Row],[Margin]])-FIND("+",Table4[[#This Row],[Margin]]))</f>
        <v>8</v>
      </c>
      <c r="M239" s="20" t="str">
        <f>IF(Table4[[#This Row],[listedprob]]=1,"called",IF(LEFT(Table4[[#This Row],[Margin]],1)="D",(Table4[[#This Row],[Numeric Margin]]/2+50)/100,(-Table4[[#This Row],[Numeric Margin]]/2+50)/100))</f>
        <v>called</v>
      </c>
      <c r="N239" s="20" t="str">
        <f>IFERROR(IF(Table4[[#This Row],[D 2pv]]="called","called",Table4[[#This Row],[D 2pv]]*Table4[[#This Row],[Percent of votes in% In]]),Table4[[#This Row],[D 2pv]]*0.95)</f>
        <v>called</v>
      </c>
      <c r="O239" s="20" t="str">
        <f>IF(Table4[[#This Row],[D pct]]="called","called",(Table4[[#This Row],[D 2pv]]+$E$7))</f>
        <v>called</v>
      </c>
      <c r="P23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39" s="21" t="str">
        <f>IF(Table4[[#This Row],[D captured of remain]]="called","called",Table4[[#This Row],[D captured of remain]]+Table4[[#This Row],[D pct]])</f>
        <v>called</v>
      </c>
      <c r="R239" s="22" t="str">
        <f>IF(Table4[[#This Row],[Expected D]]=1,"D",IF(Table4[[#This Row],[Expected R]]=1,"R",IF(Table4[[#This Row],[D total]]&gt;=0.5,"D","R")))</f>
        <v>R</v>
      </c>
      <c r="S239" s="22"/>
      <c r="V239" s="4"/>
      <c r="W239" s="4"/>
    </row>
    <row r="240" spans="2:23" x14ac:dyDescent="0.35">
      <c r="B240" s="27">
        <v>231</v>
      </c>
      <c r="C240" s="2" t="s">
        <v>294</v>
      </c>
      <c r="D240" s="2" t="s">
        <v>284</v>
      </c>
      <c r="E240" s="4" t="s">
        <v>28</v>
      </c>
      <c r="F240" s="2" t="s">
        <v>562</v>
      </c>
      <c r="G240" s="4" t="s">
        <v>311</v>
      </c>
      <c r="H24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0" s="2" t="str">
        <f>IF(OR(LEFT(Table4[[#This Row],[win_prob]],1)="D",LEFT(Table4[[#This Row],[win_prob]],1)="R"),LEFT(Table4[[#This Row],[win_prob]],1),LEFT(Table4[[#This Row],[Category]],1))</f>
        <v>R</v>
      </c>
      <c r="J24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0" s="16" t="str">
        <f>RIGHT(Table4[[#This Row],[Margin]],LEN(Table4[[#This Row],[Margin]])-FIND("+",Table4[[#This Row],[Margin]]))</f>
        <v>17</v>
      </c>
      <c r="M240" s="20" t="str">
        <f>IF(Table4[[#This Row],[listedprob]]=1,"called",IF(LEFT(Table4[[#This Row],[Margin]],1)="D",(Table4[[#This Row],[Numeric Margin]]/2+50)/100,(-Table4[[#This Row],[Numeric Margin]]/2+50)/100))</f>
        <v>called</v>
      </c>
      <c r="N240" s="20" t="str">
        <f>IFERROR(IF(Table4[[#This Row],[D 2pv]]="called","called",Table4[[#This Row],[D 2pv]]*Table4[[#This Row],[Percent of votes in% In]]),Table4[[#This Row],[D 2pv]]*0.95)</f>
        <v>called</v>
      </c>
      <c r="O240" s="20" t="str">
        <f>IF(Table4[[#This Row],[D pct]]="called","called",(Table4[[#This Row],[D 2pv]]+$E$7))</f>
        <v>called</v>
      </c>
      <c r="P24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0" s="21" t="str">
        <f>IF(Table4[[#This Row],[D captured of remain]]="called","called",Table4[[#This Row],[D captured of remain]]+Table4[[#This Row],[D pct]])</f>
        <v>called</v>
      </c>
      <c r="R240" s="22" t="str">
        <f>IF(Table4[[#This Row],[Expected D]]=1,"D",IF(Table4[[#This Row],[Expected R]]=1,"R",IF(Table4[[#This Row],[D total]]&gt;=0.5,"D","R")))</f>
        <v>R</v>
      </c>
      <c r="S240" s="22"/>
      <c r="V240" s="4"/>
      <c r="W240" s="4"/>
    </row>
    <row r="241" spans="2:23" x14ac:dyDescent="0.35">
      <c r="B241" s="27">
        <v>232</v>
      </c>
      <c r="C241" s="2" t="s">
        <v>295</v>
      </c>
      <c r="D241" s="2" t="s">
        <v>284</v>
      </c>
      <c r="E241" s="4" t="s">
        <v>28</v>
      </c>
      <c r="F241" s="2" t="s">
        <v>234</v>
      </c>
      <c r="G241" s="4" t="s">
        <v>311</v>
      </c>
      <c r="H24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1" s="2" t="str">
        <f>IF(OR(LEFT(Table4[[#This Row],[win_prob]],1)="D",LEFT(Table4[[#This Row],[win_prob]],1)="R"),LEFT(Table4[[#This Row],[win_prob]],1),LEFT(Table4[[#This Row],[Category]],1))</f>
        <v>R</v>
      </c>
      <c r="J24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1" s="16" t="str">
        <f>RIGHT(Table4[[#This Row],[Margin]],LEN(Table4[[#This Row],[Margin]])-FIND("+",Table4[[#This Row],[Margin]]))</f>
        <v>15</v>
      </c>
      <c r="M241" s="20" t="str">
        <f>IF(Table4[[#This Row],[listedprob]]=1,"called",IF(LEFT(Table4[[#This Row],[Margin]],1)="D",(Table4[[#This Row],[Numeric Margin]]/2+50)/100,(-Table4[[#This Row],[Numeric Margin]]/2+50)/100))</f>
        <v>called</v>
      </c>
      <c r="N241" s="20" t="str">
        <f>IFERROR(IF(Table4[[#This Row],[D 2pv]]="called","called",Table4[[#This Row],[D 2pv]]*Table4[[#This Row],[Percent of votes in% In]]),Table4[[#This Row],[D 2pv]]*0.95)</f>
        <v>called</v>
      </c>
      <c r="O241" s="20" t="str">
        <f>IF(Table4[[#This Row],[D pct]]="called","called",(Table4[[#This Row],[D 2pv]]+$E$7))</f>
        <v>called</v>
      </c>
      <c r="P24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1" s="21" t="str">
        <f>IF(Table4[[#This Row],[D captured of remain]]="called","called",Table4[[#This Row],[D captured of remain]]+Table4[[#This Row],[D pct]])</f>
        <v>called</v>
      </c>
      <c r="R241" s="22" t="str">
        <f>IF(Table4[[#This Row],[Expected D]]=1,"D",IF(Table4[[#This Row],[Expected R]]=1,"R",IF(Table4[[#This Row],[D total]]&gt;=0.5,"D","R")))</f>
        <v>R</v>
      </c>
      <c r="S241" s="22"/>
      <c r="V241" s="4"/>
      <c r="W241" s="4"/>
    </row>
    <row r="242" spans="2:23" x14ac:dyDescent="0.35">
      <c r="B242" s="27">
        <v>233</v>
      </c>
      <c r="C242" s="2" t="s">
        <v>296</v>
      </c>
      <c r="D242" s="2" t="s">
        <v>284</v>
      </c>
      <c r="E242" s="4" t="s">
        <v>28</v>
      </c>
      <c r="F242" s="2" t="s">
        <v>558</v>
      </c>
      <c r="G242" s="4" t="s">
        <v>311</v>
      </c>
      <c r="H24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2" s="2" t="str">
        <f>IF(OR(LEFT(Table4[[#This Row],[win_prob]],1)="D",LEFT(Table4[[#This Row],[win_prob]],1)="R"),LEFT(Table4[[#This Row],[win_prob]],1),LEFT(Table4[[#This Row],[Category]],1))</f>
        <v>R</v>
      </c>
      <c r="J24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2" s="16" t="str">
        <f>RIGHT(Table4[[#This Row],[Margin]],LEN(Table4[[#This Row],[Margin]])-FIND("+",Table4[[#This Row],[Margin]]))</f>
        <v>7</v>
      </c>
      <c r="M242" s="20" t="str">
        <f>IF(Table4[[#This Row],[listedprob]]=1,"called",IF(LEFT(Table4[[#This Row],[Margin]],1)="D",(Table4[[#This Row],[Numeric Margin]]/2+50)/100,(-Table4[[#This Row],[Numeric Margin]]/2+50)/100))</f>
        <v>called</v>
      </c>
      <c r="N242" s="20" t="str">
        <f>IFERROR(IF(Table4[[#This Row],[D 2pv]]="called","called",Table4[[#This Row],[D 2pv]]*Table4[[#This Row],[Percent of votes in% In]]),Table4[[#This Row],[D 2pv]]*0.95)</f>
        <v>called</v>
      </c>
      <c r="O242" s="20" t="str">
        <f>IF(Table4[[#This Row],[D pct]]="called","called",(Table4[[#This Row],[D 2pv]]+$E$7))</f>
        <v>called</v>
      </c>
      <c r="P24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2" s="21" t="str">
        <f>IF(Table4[[#This Row],[D captured of remain]]="called","called",Table4[[#This Row],[D captured of remain]]+Table4[[#This Row],[D pct]])</f>
        <v>called</v>
      </c>
      <c r="R242" s="22" t="str">
        <f>IF(Table4[[#This Row],[Expected D]]=1,"D",IF(Table4[[#This Row],[Expected R]]=1,"R",IF(Table4[[#This Row],[D total]]&gt;=0.5,"D","R")))</f>
        <v>R</v>
      </c>
      <c r="S242" s="22"/>
      <c r="V242" s="4"/>
      <c r="W242" s="4"/>
    </row>
    <row r="243" spans="2:23" x14ac:dyDescent="0.35">
      <c r="B243" s="27">
        <v>234</v>
      </c>
      <c r="C243" s="2" t="s">
        <v>297</v>
      </c>
      <c r="D243" s="2" t="s">
        <v>284</v>
      </c>
      <c r="E243" s="4" t="s">
        <v>28</v>
      </c>
      <c r="F243" s="2" t="s">
        <v>232</v>
      </c>
      <c r="G243" s="4" t="s">
        <v>311</v>
      </c>
      <c r="H24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3" s="2" t="str">
        <f>IF(OR(LEFT(Table4[[#This Row],[win_prob]],1)="D",LEFT(Table4[[#This Row],[win_prob]],1)="R"),LEFT(Table4[[#This Row],[win_prob]],1),LEFT(Table4[[#This Row],[Category]],1))</f>
        <v>R</v>
      </c>
      <c r="J24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3" s="16" t="str">
        <f>RIGHT(Table4[[#This Row],[Margin]],LEN(Table4[[#This Row],[Margin]])-FIND("+",Table4[[#This Row],[Margin]]))</f>
        <v>8</v>
      </c>
      <c r="M243" s="20" t="str">
        <f>IF(Table4[[#This Row],[listedprob]]=1,"called",IF(LEFT(Table4[[#This Row],[Margin]],1)="D",(Table4[[#This Row],[Numeric Margin]]/2+50)/100,(-Table4[[#This Row],[Numeric Margin]]/2+50)/100))</f>
        <v>called</v>
      </c>
      <c r="N243" s="20" t="str">
        <f>IFERROR(IF(Table4[[#This Row],[D 2pv]]="called","called",Table4[[#This Row],[D 2pv]]*Table4[[#This Row],[Percent of votes in% In]]),Table4[[#This Row],[D 2pv]]*0.95)</f>
        <v>called</v>
      </c>
      <c r="O243" s="20" t="str">
        <f>IF(Table4[[#This Row],[D pct]]="called","called",(Table4[[#This Row],[D 2pv]]+$E$7))</f>
        <v>called</v>
      </c>
      <c r="P24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3" s="21" t="str">
        <f>IF(Table4[[#This Row],[D captured of remain]]="called","called",Table4[[#This Row],[D captured of remain]]+Table4[[#This Row],[D pct]])</f>
        <v>called</v>
      </c>
      <c r="R243" s="22" t="str">
        <f>IF(Table4[[#This Row],[Expected D]]=1,"D",IF(Table4[[#This Row],[Expected R]]=1,"R",IF(Table4[[#This Row],[D total]]&gt;=0.5,"D","R")))</f>
        <v>R</v>
      </c>
      <c r="S243" s="22"/>
      <c r="V243" s="4"/>
    </row>
    <row r="244" spans="2:23" x14ac:dyDescent="0.35">
      <c r="B244" s="27">
        <v>235</v>
      </c>
      <c r="C244" s="2" t="s">
        <v>298</v>
      </c>
      <c r="D244" s="2" t="s">
        <v>284</v>
      </c>
      <c r="E244" s="4" t="s">
        <v>28</v>
      </c>
      <c r="F244" s="2" t="s">
        <v>658</v>
      </c>
      <c r="G244" s="4" t="s">
        <v>311</v>
      </c>
      <c r="H24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4" s="2" t="str">
        <f>IF(OR(LEFT(Table4[[#This Row],[win_prob]],1)="D",LEFT(Table4[[#This Row],[win_prob]],1)="R"),LEFT(Table4[[#This Row],[win_prob]],1),LEFT(Table4[[#This Row],[Category]],1))</f>
        <v>R</v>
      </c>
      <c r="J24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4" s="16" t="str">
        <f>RIGHT(Table4[[#This Row],[Margin]],LEN(Table4[[#This Row],[Margin]])-FIND("+",Table4[[#This Row],[Margin]]))</f>
        <v>0.69</v>
      </c>
      <c r="M244" s="20" t="str">
        <f>IF(Table4[[#This Row],[listedprob]]=1,"called",IF(LEFT(Table4[[#This Row],[Margin]],1)="D",(Table4[[#This Row],[Numeric Margin]]/2+50)/100,(-Table4[[#This Row],[Numeric Margin]]/2+50)/100))</f>
        <v>called</v>
      </c>
      <c r="N244" s="20" t="str">
        <f>IFERROR(IF(Table4[[#This Row],[D 2pv]]="called","called",Table4[[#This Row],[D 2pv]]*Table4[[#This Row],[Percent of votes in% In]]),Table4[[#This Row],[D 2pv]]*0.95)</f>
        <v>called</v>
      </c>
      <c r="O244" s="20" t="str">
        <f>IF(Table4[[#This Row],[D pct]]="called","called",(Table4[[#This Row],[D 2pv]]+$E$7))</f>
        <v>called</v>
      </c>
      <c r="P24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4" s="21" t="str">
        <f>IF(Table4[[#This Row],[D captured of remain]]="called","called",Table4[[#This Row],[D captured of remain]]+Table4[[#This Row],[D pct]])</f>
        <v>called</v>
      </c>
      <c r="R244" s="22" t="str">
        <f>IF(Table4[[#This Row],[Expected D]]=1,"D",IF(Table4[[#This Row],[Expected R]]=1,"R",IF(Table4[[#This Row],[D total]]&gt;=0.5,"D","R")))</f>
        <v>R</v>
      </c>
      <c r="S244" s="22"/>
      <c r="V244" s="4"/>
    </row>
    <row r="245" spans="2:23" x14ac:dyDescent="0.35">
      <c r="B245" s="27">
        <v>236</v>
      </c>
      <c r="C245" s="2" t="s">
        <v>299</v>
      </c>
      <c r="D245" s="2" t="s">
        <v>284</v>
      </c>
      <c r="E245" s="4" t="s">
        <v>28</v>
      </c>
      <c r="F245" s="2" t="s">
        <v>563</v>
      </c>
      <c r="G245" s="4" t="s">
        <v>311</v>
      </c>
      <c r="H24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5" s="2" t="str">
        <f>IF(OR(LEFT(Table4[[#This Row],[win_prob]],1)="D",LEFT(Table4[[#This Row],[win_prob]],1)="R"),LEFT(Table4[[#This Row],[win_prob]],1),LEFT(Table4[[#This Row],[Category]],1))</f>
        <v>R</v>
      </c>
      <c r="J24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5" s="16" t="str">
        <f>RIGHT(Table4[[#This Row],[Margin]],LEN(Table4[[#This Row],[Margin]])-FIND("+",Table4[[#This Row],[Margin]]))</f>
        <v>0.49</v>
      </c>
      <c r="M245" s="20" t="str">
        <f>IF(Table4[[#This Row],[listedprob]]=1,"called",IF(LEFT(Table4[[#This Row],[Margin]],1)="D",(Table4[[#This Row],[Numeric Margin]]/2+50)/100,(-Table4[[#This Row],[Numeric Margin]]/2+50)/100))</f>
        <v>called</v>
      </c>
      <c r="N245" s="20" t="str">
        <f>IFERROR(IF(Table4[[#This Row],[D 2pv]]="called","called",Table4[[#This Row],[D 2pv]]*Table4[[#This Row],[Percent of votes in% In]]),Table4[[#This Row],[D 2pv]]*0.95)</f>
        <v>called</v>
      </c>
      <c r="O245" s="20" t="str">
        <f>IF(Table4[[#This Row],[D pct]]="called","called",(Table4[[#This Row],[D 2pv]]+$E$7))</f>
        <v>called</v>
      </c>
      <c r="P24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5" s="21" t="str">
        <f>IF(Table4[[#This Row],[D captured of remain]]="called","called",Table4[[#This Row],[D captured of remain]]+Table4[[#This Row],[D pct]])</f>
        <v>called</v>
      </c>
      <c r="R245" s="22" t="str">
        <f>IF(Table4[[#This Row],[Expected D]]=1,"D",IF(Table4[[#This Row],[Expected R]]=1,"R",IF(Table4[[#This Row],[D total]]&gt;=0.5,"D","R")))</f>
        <v>R</v>
      </c>
      <c r="S245" s="22"/>
      <c r="V245" s="4"/>
    </row>
    <row r="246" spans="2:23" x14ac:dyDescent="0.35">
      <c r="B246" s="27">
        <v>237</v>
      </c>
      <c r="C246" s="2" t="s">
        <v>300</v>
      </c>
      <c r="D246" s="2" t="s">
        <v>284</v>
      </c>
      <c r="E246" s="4" t="s">
        <v>28</v>
      </c>
      <c r="F246" s="2" t="s">
        <v>564</v>
      </c>
      <c r="G246" s="4" t="s">
        <v>311</v>
      </c>
      <c r="H24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6" s="2" t="str">
        <f>IF(OR(LEFT(Table4[[#This Row],[win_prob]],1)="D",LEFT(Table4[[#This Row],[win_prob]],1)="R"),LEFT(Table4[[#This Row],[win_prob]],1),LEFT(Table4[[#This Row],[Category]],1))</f>
        <v>R</v>
      </c>
      <c r="J24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6" s="16" t="str">
        <f>RIGHT(Table4[[#This Row],[Margin]],LEN(Table4[[#This Row],[Margin]])-FIND("+",Table4[[#This Row],[Margin]]))</f>
        <v>12</v>
      </c>
      <c r="M246" s="20" t="str">
        <f>IF(Table4[[#This Row],[listedprob]]=1,"called",IF(LEFT(Table4[[#This Row],[Margin]],1)="D",(Table4[[#This Row],[Numeric Margin]]/2+50)/100,(-Table4[[#This Row],[Numeric Margin]]/2+50)/100))</f>
        <v>called</v>
      </c>
      <c r="N246" s="20" t="str">
        <f>IFERROR(IF(Table4[[#This Row],[D 2pv]]="called","called",Table4[[#This Row],[D 2pv]]*Table4[[#This Row],[Percent of votes in% In]]),Table4[[#This Row],[D 2pv]]*0.95)</f>
        <v>called</v>
      </c>
      <c r="O246" s="20" t="str">
        <f>IF(Table4[[#This Row],[D pct]]="called","called",(Table4[[#This Row],[D 2pv]]+$E$7))</f>
        <v>called</v>
      </c>
      <c r="P24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6" s="21" t="str">
        <f>IF(Table4[[#This Row],[D captured of remain]]="called","called",Table4[[#This Row],[D captured of remain]]+Table4[[#This Row],[D pct]])</f>
        <v>called</v>
      </c>
      <c r="R246" s="22" t="str">
        <f>IF(Table4[[#This Row],[Expected D]]=1,"D",IF(Table4[[#This Row],[Expected R]]=1,"R",IF(Table4[[#This Row],[D total]]&gt;=0.5,"D","R")))</f>
        <v>R</v>
      </c>
      <c r="S246" s="22"/>
      <c r="V246" s="4"/>
    </row>
    <row r="247" spans="2:23" x14ac:dyDescent="0.35">
      <c r="B247" s="27">
        <v>238</v>
      </c>
      <c r="C247" s="2" t="s">
        <v>301</v>
      </c>
      <c r="D247" s="2" t="s">
        <v>284</v>
      </c>
      <c r="E247" s="2" t="s">
        <v>28</v>
      </c>
      <c r="F247" s="2" t="s">
        <v>568</v>
      </c>
      <c r="G247" s="4" t="s">
        <v>311</v>
      </c>
      <c r="H24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7" s="2" t="str">
        <f>IF(OR(LEFT(Table4[[#This Row],[win_prob]],1)="D",LEFT(Table4[[#This Row],[win_prob]],1)="R"),LEFT(Table4[[#This Row],[win_prob]],1),LEFT(Table4[[#This Row],[Category]],1))</f>
        <v>R</v>
      </c>
      <c r="J247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4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7" s="16" t="str">
        <f>RIGHT(Table4[[#This Row],[Margin]],LEN(Table4[[#This Row],[Margin]])-FIND("+",Table4[[#This Row],[Margin]]))</f>
        <v>3</v>
      </c>
      <c r="M247" s="20" t="str">
        <f>IF(Table4[[#This Row],[listedprob]]=1,"called",IF(LEFT(Table4[[#This Row],[Margin]],1)="D",(Table4[[#This Row],[Numeric Margin]]/2+50)/100,(-Table4[[#This Row],[Numeric Margin]]/2+50)/100))</f>
        <v>called</v>
      </c>
      <c r="N247" s="20" t="str">
        <f>IFERROR(IF(Table4[[#This Row],[D 2pv]]="called","called",Table4[[#This Row],[D 2pv]]*Table4[[#This Row],[Percent of votes in% In]]),Table4[[#This Row],[D 2pv]]*0.95)</f>
        <v>called</v>
      </c>
      <c r="O247" s="20" t="str">
        <f>IF(Table4[[#This Row],[D pct]]="called","called",(Table4[[#This Row],[D 2pv]]+$E$7))</f>
        <v>called</v>
      </c>
      <c r="P24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7" s="21" t="str">
        <f>IF(Table4[[#This Row],[D captured of remain]]="called","called",Table4[[#This Row],[D captured of remain]]+Table4[[#This Row],[D pct]])</f>
        <v>called</v>
      </c>
      <c r="R247" s="22" t="str">
        <f>IF(Table4[[#This Row],[Expected D]]=1,"D",IF(Table4[[#This Row],[Expected R]]=1,"R",IF(Table4[[#This Row],[D total]]&gt;=0.5,"D","R")))</f>
        <v>R</v>
      </c>
      <c r="S247" s="22"/>
    </row>
    <row r="248" spans="2:23" x14ac:dyDescent="0.35">
      <c r="B248" s="27">
        <v>239</v>
      </c>
      <c r="C248" s="2" t="s">
        <v>302</v>
      </c>
      <c r="D248" s="2" t="s">
        <v>284</v>
      </c>
      <c r="E248" s="2" t="s">
        <v>28</v>
      </c>
      <c r="F248" s="2" t="s">
        <v>250</v>
      </c>
      <c r="G248" s="4" t="s">
        <v>311</v>
      </c>
      <c r="H24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8" s="2" t="str">
        <f>IF(OR(LEFT(Table4[[#This Row],[win_prob]],1)="D",LEFT(Table4[[#This Row],[win_prob]],1)="R"),LEFT(Table4[[#This Row],[win_prob]],1),LEFT(Table4[[#This Row],[Category]],1))</f>
        <v>R</v>
      </c>
      <c r="J24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8" s="16" t="str">
        <f>RIGHT(Table4[[#This Row],[Margin]],LEN(Table4[[#This Row],[Margin]])-FIND("+",Table4[[#This Row],[Margin]]))</f>
        <v>4</v>
      </c>
      <c r="M248" s="20" t="str">
        <f>IF(Table4[[#This Row],[listedprob]]=1,"called",IF(LEFT(Table4[[#This Row],[Margin]],1)="D",(Table4[[#This Row],[Numeric Margin]]/2+50)/100,(-Table4[[#This Row],[Numeric Margin]]/2+50)/100))</f>
        <v>called</v>
      </c>
      <c r="N248" s="20" t="str">
        <f>IFERROR(IF(Table4[[#This Row],[D 2pv]]="called","called",Table4[[#This Row],[D 2pv]]*Table4[[#This Row],[Percent of votes in% In]]),Table4[[#This Row],[D 2pv]]*0.95)</f>
        <v>called</v>
      </c>
      <c r="O248" s="20" t="str">
        <f>IF(Table4[[#This Row],[D pct]]="called","called",(Table4[[#This Row],[D 2pv]]+$E$7))</f>
        <v>called</v>
      </c>
      <c r="P24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8" s="21" t="str">
        <f>IF(Table4[[#This Row],[D captured of remain]]="called","called",Table4[[#This Row],[D captured of remain]]+Table4[[#This Row],[D pct]])</f>
        <v>called</v>
      </c>
      <c r="R248" s="22" t="str">
        <f>IF(Table4[[#This Row],[Expected D]]=1,"D",IF(Table4[[#This Row],[Expected R]]=1,"R",IF(Table4[[#This Row],[D total]]&gt;=0.5,"D","R")))</f>
        <v>R</v>
      </c>
      <c r="S248" s="22"/>
      <c r="W248" s="4"/>
    </row>
    <row r="249" spans="2:23" x14ac:dyDescent="0.35">
      <c r="B249" s="27">
        <v>240</v>
      </c>
      <c r="C249" s="2" t="s">
        <v>303</v>
      </c>
      <c r="D249" s="2" t="s">
        <v>284</v>
      </c>
      <c r="E249" s="4" t="s">
        <v>28</v>
      </c>
      <c r="F249" s="2" t="s">
        <v>564</v>
      </c>
      <c r="G249" s="4" t="s">
        <v>311</v>
      </c>
      <c r="H24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49" s="2" t="str">
        <f>IF(OR(LEFT(Table4[[#This Row],[win_prob]],1)="D",LEFT(Table4[[#This Row],[win_prob]],1)="R"),LEFT(Table4[[#This Row],[win_prob]],1),LEFT(Table4[[#This Row],[Category]],1))</f>
        <v>R</v>
      </c>
      <c r="J24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4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49" s="16" t="str">
        <f>RIGHT(Table4[[#This Row],[Margin]],LEN(Table4[[#This Row],[Margin]])-FIND("+",Table4[[#This Row],[Margin]]))</f>
        <v>12</v>
      </c>
      <c r="M249" s="20" t="str">
        <f>IF(Table4[[#This Row],[listedprob]]=1,"called",IF(LEFT(Table4[[#This Row],[Margin]],1)="D",(Table4[[#This Row],[Numeric Margin]]/2+50)/100,(-Table4[[#This Row],[Numeric Margin]]/2+50)/100))</f>
        <v>called</v>
      </c>
      <c r="N249" s="20" t="str">
        <f>IFERROR(IF(Table4[[#This Row],[D 2pv]]="called","called",Table4[[#This Row],[D 2pv]]*Table4[[#This Row],[Percent of votes in% In]]),Table4[[#This Row],[D 2pv]]*0.95)</f>
        <v>called</v>
      </c>
      <c r="O249" s="20" t="str">
        <f>IF(Table4[[#This Row],[D pct]]="called","called",(Table4[[#This Row],[D 2pv]]+$E$7))</f>
        <v>called</v>
      </c>
      <c r="P24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49" s="21" t="str">
        <f>IF(Table4[[#This Row],[D captured of remain]]="called","called",Table4[[#This Row],[D captured of remain]]+Table4[[#This Row],[D pct]])</f>
        <v>called</v>
      </c>
      <c r="R249" s="22" t="str">
        <f>IF(Table4[[#This Row],[Expected D]]=1,"D",IF(Table4[[#This Row],[Expected R]]=1,"R",IF(Table4[[#This Row],[D total]]&gt;=0.5,"D","R")))</f>
        <v>R</v>
      </c>
      <c r="S249" s="22"/>
      <c r="V249" s="4"/>
    </row>
    <row r="250" spans="2:23" x14ac:dyDescent="0.35">
      <c r="B250" s="27">
        <v>241</v>
      </c>
      <c r="C250" s="2" t="s">
        <v>304</v>
      </c>
      <c r="D250" s="2" t="s">
        <v>284</v>
      </c>
      <c r="E250" s="4" t="s">
        <v>28</v>
      </c>
      <c r="F250" s="2" t="s">
        <v>566</v>
      </c>
      <c r="G250" s="4" t="s">
        <v>311</v>
      </c>
      <c r="H25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0" s="2" t="str">
        <f>IF(OR(LEFT(Table4[[#This Row],[win_prob]],1)="D",LEFT(Table4[[#This Row],[win_prob]],1)="R"),LEFT(Table4[[#This Row],[win_prob]],1),LEFT(Table4[[#This Row],[Category]],1))</f>
        <v>R</v>
      </c>
      <c r="J25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0" s="16" t="str">
        <f>RIGHT(Table4[[#This Row],[Margin]],LEN(Table4[[#This Row],[Margin]])-FIND("+",Table4[[#This Row],[Margin]]))</f>
        <v>22</v>
      </c>
      <c r="M250" s="20" t="str">
        <f>IF(Table4[[#This Row],[listedprob]]=1,"called",IF(LEFT(Table4[[#This Row],[Margin]],1)="D",(Table4[[#This Row],[Numeric Margin]]/2+50)/100,(-Table4[[#This Row],[Numeric Margin]]/2+50)/100))</f>
        <v>called</v>
      </c>
      <c r="N250" s="20" t="str">
        <f>IFERROR(IF(Table4[[#This Row],[D 2pv]]="called","called",Table4[[#This Row],[D 2pv]]*Table4[[#This Row],[Percent of votes in% In]]),Table4[[#This Row],[D 2pv]]*0.95)</f>
        <v>called</v>
      </c>
      <c r="O250" s="20" t="str">
        <f>IF(Table4[[#This Row],[D pct]]="called","called",(Table4[[#This Row],[D 2pv]]+$E$7))</f>
        <v>called</v>
      </c>
      <c r="P25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0" s="21" t="str">
        <f>IF(Table4[[#This Row],[D captured of remain]]="called","called",Table4[[#This Row],[D captured of remain]]+Table4[[#This Row],[D pct]])</f>
        <v>called</v>
      </c>
      <c r="R250" s="22" t="str">
        <f>IF(Table4[[#This Row],[Expected D]]=1,"D",IF(Table4[[#This Row],[Expected R]]=1,"R",IF(Table4[[#This Row],[D total]]&gt;=0.5,"D","R")))</f>
        <v>R</v>
      </c>
      <c r="S250" s="22"/>
      <c r="V250" s="4"/>
      <c r="W250" s="4"/>
    </row>
    <row r="251" spans="2:23" x14ac:dyDescent="0.35">
      <c r="B251" s="27">
        <v>242</v>
      </c>
      <c r="C251" s="2" t="s">
        <v>305</v>
      </c>
      <c r="D251" s="2" t="s">
        <v>284</v>
      </c>
      <c r="E251" s="4" t="s">
        <v>28</v>
      </c>
      <c r="F251" s="2" t="s">
        <v>567</v>
      </c>
      <c r="G251" s="4" t="s">
        <v>311</v>
      </c>
      <c r="H25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1" s="2" t="str">
        <f>IF(OR(LEFT(Table4[[#This Row],[win_prob]],1)="D",LEFT(Table4[[#This Row],[win_prob]],1)="R"),LEFT(Table4[[#This Row],[win_prob]],1),LEFT(Table4[[#This Row],[Category]],1))</f>
        <v>R</v>
      </c>
      <c r="J25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1" s="16" t="str">
        <f>RIGHT(Table4[[#This Row],[Margin]],LEN(Table4[[#This Row],[Margin]])-FIND("+",Table4[[#This Row],[Margin]]))</f>
        <v>24</v>
      </c>
      <c r="M251" s="20" t="str">
        <f>IF(Table4[[#This Row],[listedprob]]=1,"called",IF(LEFT(Table4[[#This Row],[Margin]],1)="D",(Table4[[#This Row],[Numeric Margin]]/2+50)/100,(-Table4[[#This Row],[Numeric Margin]]/2+50)/100))</f>
        <v>called</v>
      </c>
      <c r="N251" s="20" t="str">
        <f>IFERROR(IF(Table4[[#This Row],[D 2pv]]="called","called",Table4[[#This Row],[D 2pv]]*Table4[[#This Row],[Percent of votes in% In]]),Table4[[#This Row],[D 2pv]]*0.95)</f>
        <v>called</v>
      </c>
      <c r="O251" s="20" t="str">
        <f>IF(Table4[[#This Row],[D pct]]="called","called",(Table4[[#This Row],[D 2pv]]+$E$7))</f>
        <v>called</v>
      </c>
      <c r="P25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1" s="21" t="str">
        <f>IF(Table4[[#This Row],[D captured of remain]]="called","called",Table4[[#This Row],[D captured of remain]]+Table4[[#This Row],[D pct]])</f>
        <v>called</v>
      </c>
      <c r="R251" s="22" t="str">
        <f>IF(Table4[[#This Row],[Expected D]]=1,"D",IF(Table4[[#This Row],[Expected R]]=1,"R",IF(Table4[[#This Row],[D total]]&gt;=0.5,"D","R")))</f>
        <v>R</v>
      </c>
      <c r="S251" s="22"/>
      <c r="V251" s="4"/>
      <c r="W251" s="4"/>
    </row>
    <row r="252" spans="2:23" x14ac:dyDescent="0.35">
      <c r="B252" s="27">
        <v>243</v>
      </c>
      <c r="C252" s="2" t="s">
        <v>306</v>
      </c>
      <c r="D252" s="2" t="s">
        <v>284</v>
      </c>
      <c r="E252" s="4" t="s">
        <v>28</v>
      </c>
      <c r="F252" s="2" t="s">
        <v>568</v>
      </c>
      <c r="G252" s="4" t="s">
        <v>311</v>
      </c>
      <c r="H25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2" s="2" t="str">
        <f>IF(OR(LEFT(Table4[[#This Row],[win_prob]],1)="D",LEFT(Table4[[#This Row],[win_prob]],1)="R"),LEFT(Table4[[#This Row],[win_prob]],1),LEFT(Table4[[#This Row],[Category]],1))</f>
        <v>R</v>
      </c>
      <c r="J252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5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2" s="16" t="str">
        <f>RIGHT(Table4[[#This Row],[Margin]],LEN(Table4[[#This Row],[Margin]])-FIND("+",Table4[[#This Row],[Margin]]))</f>
        <v>3</v>
      </c>
      <c r="M252" s="20" t="str">
        <f>IF(Table4[[#This Row],[listedprob]]=1,"called",IF(LEFT(Table4[[#This Row],[Margin]],1)="D",(Table4[[#This Row],[Numeric Margin]]/2+50)/100,(-Table4[[#This Row],[Numeric Margin]]/2+50)/100))</f>
        <v>called</v>
      </c>
      <c r="N252" s="20" t="str">
        <f>IFERROR(IF(Table4[[#This Row],[D 2pv]]="called","called",Table4[[#This Row],[D 2pv]]*Table4[[#This Row],[Percent of votes in% In]]),Table4[[#This Row],[D 2pv]]*0.95)</f>
        <v>called</v>
      </c>
      <c r="O252" s="20" t="str">
        <f>IF(Table4[[#This Row],[D pct]]="called","called",(Table4[[#This Row],[D 2pv]]+$E$7))</f>
        <v>called</v>
      </c>
      <c r="P25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2" s="21" t="str">
        <f>IF(Table4[[#This Row],[D captured of remain]]="called","called",Table4[[#This Row],[D captured of remain]]+Table4[[#This Row],[D pct]])</f>
        <v>called</v>
      </c>
      <c r="R252" s="22" t="str">
        <f>IF(Table4[[#This Row],[Expected D]]=1,"D",IF(Table4[[#This Row],[Expected R]]=1,"R",IF(Table4[[#This Row],[D total]]&gt;=0.5,"D","R")))</f>
        <v>R</v>
      </c>
      <c r="S252" s="22"/>
      <c r="V252" s="4"/>
      <c r="W252" s="4"/>
    </row>
    <row r="253" spans="2:23" x14ac:dyDescent="0.35">
      <c r="B253" s="27">
        <v>244</v>
      </c>
      <c r="C253" s="2" t="s">
        <v>307</v>
      </c>
      <c r="D253" s="2" t="s">
        <v>284</v>
      </c>
      <c r="E253" s="4" t="s">
        <v>28</v>
      </c>
      <c r="F253" s="2" t="s">
        <v>569</v>
      </c>
      <c r="G253" s="4" t="s">
        <v>311</v>
      </c>
      <c r="H25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3" s="2" t="str">
        <f>IF(OR(LEFT(Table4[[#This Row],[win_prob]],1)="D",LEFT(Table4[[#This Row],[win_prob]],1)="R"),LEFT(Table4[[#This Row],[win_prob]],1),LEFT(Table4[[#This Row],[Category]],1))</f>
        <v>R</v>
      </c>
      <c r="J25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3" s="16" t="str">
        <f>RIGHT(Table4[[#This Row],[Margin]],LEN(Table4[[#This Row],[Margin]])-FIND("+",Table4[[#This Row],[Margin]]))</f>
        <v>14</v>
      </c>
      <c r="M253" s="20" t="str">
        <f>IF(Table4[[#This Row],[listedprob]]=1,"called",IF(LEFT(Table4[[#This Row],[Margin]],1)="D",(Table4[[#This Row],[Numeric Margin]]/2+50)/100,(-Table4[[#This Row],[Numeric Margin]]/2+50)/100))</f>
        <v>called</v>
      </c>
      <c r="N253" s="20" t="str">
        <f>IFERROR(IF(Table4[[#This Row],[D 2pv]]="called","called",Table4[[#This Row],[D 2pv]]*Table4[[#This Row],[Percent of votes in% In]]),Table4[[#This Row],[D 2pv]]*0.95)</f>
        <v>called</v>
      </c>
      <c r="O253" s="20" t="str">
        <f>IF(Table4[[#This Row],[D pct]]="called","called",(Table4[[#This Row],[D 2pv]]+$E$7))</f>
        <v>called</v>
      </c>
      <c r="P25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3" s="21" t="str">
        <f>IF(Table4[[#This Row],[D captured of remain]]="called","called",Table4[[#This Row],[D captured of remain]]+Table4[[#This Row],[D pct]])</f>
        <v>called</v>
      </c>
      <c r="R253" s="22" t="str">
        <f>IF(Table4[[#This Row],[Expected D]]=1,"D",IF(Table4[[#This Row],[Expected R]]=1,"R",IF(Table4[[#This Row],[D total]]&gt;=0.5,"D","R")))</f>
        <v>R</v>
      </c>
      <c r="S253" s="22"/>
      <c r="V253" s="4"/>
      <c r="W253" s="4"/>
    </row>
    <row r="254" spans="2:23" x14ac:dyDescent="0.35">
      <c r="B254" s="27">
        <v>245</v>
      </c>
      <c r="C254" s="2" t="s">
        <v>308</v>
      </c>
      <c r="D254" s="2" t="s">
        <v>284</v>
      </c>
      <c r="E254" s="4" t="s">
        <v>28</v>
      </c>
      <c r="F254" s="2" t="s">
        <v>570</v>
      </c>
      <c r="G254" s="4" t="s">
        <v>311</v>
      </c>
      <c r="H25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4" s="2" t="str">
        <f>IF(OR(LEFT(Table4[[#This Row],[win_prob]],1)="D",LEFT(Table4[[#This Row],[win_prob]],1)="R"),LEFT(Table4[[#This Row],[win_prob]],1),LEFT(Table4[[#This Row],[Category]],1))</f>
        <v>R</v>
      </c>
      <c r="J25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4" s="16" t="str">
        <f>RIGHT(Table4[[#This Row],[Margin]],LEN(Table4[[#This Row],[Margin]])-FIND("+",Table4[[#This Row],[Margin]]))</f>
        <v>9</v>
      </c>
      <c r="M254" s="20" t="str">
        <f>IF(Table4[[#This Row],[listedprob]]=1,"called",IF(LEFT(Table4[[#This Row],[Margin]],1)="D",(Table4[[#This Row],[Numeric Margin]]/2+50)/100,(-Table4[[#This Row],[Numeric Margin]]/2+50)/100))</f>
        <v>called</v>
      </c>
      <c r="N254" s="20" t="str">
        <f>IFERROR(IF(Table4[[#This Row],[D 2pv]]="called","called",Table4[[#This Row],[D 2pv]]*Table4[[#This Row],[Percent of votes in% In]]),Table4[[#This Row],[D 2pv]]*0.95)</f>
        <v>called</v>
      </c>
      <c r="O254" s="20" t="str">
        <f>IF(Table4[[#This Row],[D pct]]="called","called",(Table4[[#This Row],[D 2pv]]+$E$7))</f>
        <v>called</v>
      </c>
      <c r="P25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4" s="21" t="str">
        <f>IF(Table4[[#This Row],[D captured of remain]]="called","called",Table4[[#This Row],[D captured of remain]]+Table4[[#This Row],[D pct]])</f>
        <v>called</v>
      </c>
      <c r="R254" s="22" t="str">
        <f>IF(Table4[[#This Row],[Expected D]]=1,"D",IF(Table4[[#This Row],[Expected R]]=1,"R",IF(Table4[[#This Row],[D total]]&gt;=0.5,"D","R")))</f>
        <v>R</v>
      </c>
      <c r="S254" s="22"/>
      <c r="V254" s="4"/>
      <c r="W254" s="4"/>
    </row>
    <row r="255" spans="2:23" x14ac:dyDescent="0.35">
      <c r="B255" s="27">
        <v>246</v>
      </c>
      <c r="C255" s="2" t="s">
        <v>309</v>
      </c>
      <c r="D255" s="2" t="s">
        <v>35</v>
      </c>
      <c r="E255" s="4" t="s">
        <v>28</v>
      </c>
      <c r="F255" s="2" t="s">
        <v>686</v>
      </c>
      <c r="G255" s="4" t="s">
        <v>311</v>
      </c>
      <c r="H25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5" s="2" t="str">
        <f>IF(OR(LEFT(Table4[[#This Row],[win_prob]],1)="D",LEFT(Table4[[#This Row],[win_prob]],1)="R"),LEFT(Table4[[#This Row],[win_prob]],1),LEFT(Table4[[#This Row],[Category]],1))</f>
        <v>D</v>
      </c>
      <c r="J255" s="2">
        <f>IFERROR(IF(INDEX(Table5[Call],MATCH(Table4[[#This Row],[District]],Table5[Confirmed Calls (other outlets)],0))="D",1,"not here"),IF(Table4[[#This Row],[Favored]]="D",Table4[[#This Row],[listedprob]],1-Table4[[#This Row],[listedprob]]))</f>
        <v>1</v>
      </c>
      <c r="K255" s="16">
        <f>IFERROR(IF(INDEX(Table5[Call],MATCH(Table4[[#This Row],[District]],Table5[Confirmed Calls (other outlets)],0))="R",1,"not here"),IF(Table4[[#This Row],[Favored]]="R",Table4[[#This Row],[listedprob]],1-Table4[[#This Row],[listedprob]]))</f>
        <v>0</v>
      </c>
      <c r="L255" s="16" t="str">
        <f>RIGHT(Table4[[#This Row],[Margin]],LEN(Table4[[#This Row],[Margin]])-FIND("+",Table4[[#This Row],[Margin]]))</f>
        <v>1.1</v>
      </c>
      <c r="M255" s="20" t="str">
        <f>IF(Table4[[#This Row],[listedprob]]=1,"called",IF(LEFT(Table4[[#This Row],[Margin]],1)="D",(Table4[[#This Row],[Numeric Margin]]/2+50)/100,(-Table4[[#This Row],[Numeric Margin]]/2+50)/100))</f>
        <v>called</v>
      </c>
      <c r="N255" s="20" t="str">
        <f>IFERROR(IF(Table4[[#This Row],[D 2pv]]="called","called",Table4[[#This Row],[D 2pv]]*Table4[[#This Row],[Percent of votes in% In]]),Table4[[#This Row],[D 2pv]]*0.95)</f>
        <v>called</v>
      </c>
      <c r="O255" s="20" t="str">
        <f>IF(Table4[[#This Row],[D pct]]="called","called",(Table4[[#This Row],[D 2pv]]+$E$7))</f>
        <v>called</v>
      </c>
      <c r="P25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5" s="21" t="str">
        <f>IF(Table4[[#This Row],[D captured of remain]]="called","called",Table4[[#This Row],[D captured of remain]]+Table4[[#This Row],[D pct]])</f>
        <v>called</v>
      </c>
      <c r="R255" s="22" t="str">
        <f>IF(Table4[[#This Row],[Expected D]]=1,"D",IF(Table4[[#This Row],[Expected R]]=1,"R",IF(Table4[[#This Row],[D total]]&gt;=0.5,"D","R")))</f>
        <v>D</v>
      </c>
      <c r="S255" s="22"/>
      <c r="V255" s="4"/>
      <c r="W255" s="4"/>
    </row>
    <row r="256" spans="2:23" x14ac:dyDescent="0.35">
      <c r="B256" s="27">
        <v>247</v>
      </c>
      <c r="C256" s="2" t="s">
        <v>310</v>
      </c>
      <c r="D256" s="2" t="s">
        <v>284</v>
      </c>
      <c r="E256" s="4" t="s">
        <v>28</v>
      </c>
      <c r="F256" s="2" t="s">
        <v>250</v>
      </c>
      <c r="G256" s="4" t="s">
        <v>311</v>
      </c>
      <c r="H25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6" s="2" t="str">
        <f>IF(OR(LEFT(Table4[[#This Row],[win_prob]],1)="D",LEFT(Table4[[#This Row],[win_prob]],1)="R"),LEFT(Table4[[#This Row],[win_prob]],1),LEFT(Table4[[#This Row],[Category]],1))</f>
        <v>R</v>
      </c>
      <c r="J25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6" s="16" t="str">
        <f>RIGHT(Table4[[#This Row],[Margin]],LEN(Table4[[#This Row],[Margin]])-FIND("+",Table4[[#This Row],[Margin]]))</f>
        <v>4</v>
      </c>
      <c r="M256" s="20" t="str">
        <f>IF(Table4[[#This Row],[listedprob]]=1,"called",IF(LEFT(Table4[[#This Row],[Margin]],1)="D",(Table4[[#This Row],[Numeric Margin]]/2+50)/100,(-Table4[[#This Row],[Numeric Margin]]/2+50)/100))</f>
        <v>called</v>
      </c>
      <c r="N256" s="20" t="str">
        <f>IFERROR(IF(Table4[[#This Row],[D 2pv]]="called","called",Table4[[#This Row],[D 2pv]]*Table4[[#This Row],[Percent of votes in% In]]),Table4[[#This Row],[D 2pv]]*0.95)</f>
        <v>called</v>
      </c>
      <c r="O256" s="20" t="str">
        <f>IF(Table4[[#This Row],[D pct]]="called","called",(Table4[[#This Row],[D 2pv]]+$E$7))</f>
        <v>called</v>
      </c>
      <c r="P25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6" s="21" t="str">
        <f>IF(Table4[[#This Row],[D captured of remain]]="called","called",Table4[[#This Row],[D captured of remain]]+Table4[[#This Row],[D pct]])</f>
        <v>called</v>
      </c>
      <c r="R256" s="22" t="str">
        <f>IF(Table4[[#This Row],[Expected D]]=1,"D",IF(Table4[[#This Row],[Expected R]]=1,"R",IF(Table4[[#This Row],[D total]]&gt;=0.5,"D","R")))</f>
        <v>R</v>
      </c>
      <c r="S256" s="22"/>
      <c r="V256" s="4"/>
      <c r="W256" s="4"/>
    </row>
    <row r="257" spans="2:23" x14ac:dyDescent="0.35">
      <c r="B257" s="27">
        <v>248</v>
      </c>
      <c r="C257" s="2" t="s">
        <v>312</v>
      </c>
      <c r="D257" s="2" t="s">
        <v>284</v>
      </c>
      <c r="E257" s="4" t="s">
        <v>28</v>
      </c>
      <c r="F257" s="2" t="s">
        <v>571</v>
      </c>
      <c r="G257" s="4" t="s">
        <v>502</v>
      </c>
      <c r="H25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7" s="2" t="str">
        <f>IF(OR(LEFT(Table4[[#This Row],[win_prob]],1)="D",LEFT(Table4[[#This Row],[win_prob]],1)="R"),LEFT(Table4[[#This Row],[win_prob]],1),LEFT(Table4[[#This Row],[Category]],1))</f>
        <v>R</v>
      </c>
      <c r="J25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7" s="16" t="str">
        <f>RIGHT(Table4[[#This Row],[Margin]],LEN(Table4[[#This Row],[Margin]])-FIND("+",Table4[[#This Row],[Margin]]))</f>
        <v>68</v>
      </c>
      <c r="M257" s="20" t="str">
        <f>IF(Table4[[#This Row],[listedprob]]=1,"called",IF(LEFT(Table4[[#This Row],[Margin]],1)="D",(Table4[[#This Row],[Numeric Margin]]/2+50)/100,(-Table4[[#This Row],[Numeric Margin]]/2+50)/100))</f>
        <v>called</v>
      </c>
      <c r="N257" s="20" t="str">
        <f>IFERROR(IF(Table4[[#This Row],[D 2pv]]="called","called",Table4[[#This Row],[D 2pv]]*Table4[[#This Row],[Percent of votes in% In]]),Table4[[#This Row],[D 2pv]]*0.95)</f>
        <v>called</v>
      </c>
      <c r="O257" s="20" t="str">
        <f>IF(Table4[[#This Row],[D pct]]="called","called",(Table4[[#This Row],[D 2pv]]+$E$7))</f>
        <v>called</v>
      </c>
      <c r="P25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7" s="21" t="str">
        <f>IF(Table4[[#This Row],[D captured of remain]]="called","called",Table4[[#This Row],[D captured of remain]]+Table4[[#This Row],[D pct]])</f>
        <v>called</v>
      </c>
      <c r="R257" s="22" t="str">
        <f>IF(Table4[[#This Row],[Expected D]]=1,"D",IF(Table4[[#This Row],[Expected R]]=1,"R",IF(Table4[[#This Row],[D total]]&gt;=0.5,"D","R")))</f>
        <v>R</v>
      </c>
      <c r="S257" s="22"/>
      <c r="V257" s="4"/>
    </row>
    <row r="258" spans="2:23" x14ac:dyDescent="0.35">
      <c r="B258" s="27">
        <v>249</v>
      </c>
      <c r="C258" s="2" t="s">
        <v>313</v>
      </c>
      <c r="D258" s="2" t="s">
        <v>284</v>
      </c>
      <c r="E258" s="4" t="s">
        <v>28</v>
      </c>
      <c r="F258" s="2" t="s">
        <v>572</v>
      </c>
      <c r="G258" s="4" t="s">
        <v>502</v>
      </c>
      <c r="H25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8" s="2" t="str">
        <f>IF(OR(LEFT(Table4[[#This Row],[win_prob]],1)="D",LEFT(Table4[[#This Row],[win_prob]],1)="R"),LEFT(Table4[[#This Row],[win_prob]],1),LEFT(Table4[[#This Row],[Category]],1))</f>
        <v>R</v>
      </c>
      <c r="J25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8" s="16" t="str">
        <f>RIGHT(Table4[[#This Row],[Margin]],LEN(Table4[[#This Row],[Margin]])-FIND("+",Table4[[#This Row],[Margin]]))</f>
        <v>40</v>
      </c>
      <c r="M258" s="20" t="str">
        <f>IF(Table4[[#This Row],[listedprob]]=1,"called",IF(LEFT(Table4[[#This Row],[Margin]],1)="D",(Table4[[#This Row],[Numeric Margin]]/2+50)/100,(-Table4[[#This Row],[Numeric Margin]]/2+50)/100))</f>
        <v>called</v>
      </c>
      <c r="N258" s="20" t="str">
        <f>IFERROR(IF(Table4[[#This Row],[D 2pv]]="called","called",Table4[[#This Row],[D 2pv]]*Table4[[#This Row],[Percent of votes in% In]]),Table4[[#This Row],[D 2pv]]*0.95)</f>
        <v>called</v>
      </c>
      <c r="O258" s="20" t="str">
        <f>IF(Table4[[#This Row],[D pct]]="called","called",(Table4[[#This Row],[D 2pv]]+$E$7))</f>
        <v>called</v>
      </c>
      <c r="P25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8" s="21" t="str">
        <f>IF(Table4[[#This Row],[D captured of remain]]="called","called",Table4[[#This Row],[D captured of remain]]+Table4[[#This Row],[D pct]])</f>
        <v>called</v>
      </c>
      <c r="R258" s="22" t="str">
        <f>IF(Table4[[#This Row],[Expected D]]=1,"D",IF(Table4[[#This Row],[Expected R]]=1,"R",IF(Table4[[#This Row],[D total]]&gt;=0.5,"D","R")))</f>
        <v>R</v>
      </c>
      <c r="S258" s="22"/>
      <c r="V258" s="4"/>
    </row>
    <row r="259" spans="2:23" x14ac:dyDescent="0.35">
      <c r="B259" s="27">
        <v>250</v>
      </c>
      <c r="C259" s="2" t="s">
        <v>314</v>
      </c>
      <c r="D259" s="2" t="s">
        <v>284</v>
      </c>
      <c r="E259" s="4" t="s">
        <v>28</v>
      </c>
      <c r="F259" s="2" t="s">
        <v>573</v>
      </c>
      <c r="G259" s="4" t="s">
        <v>502</v>
      </c>
      <c r="H25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59" s="2" t="str">
        <f>IF(OR(LEFT(Table4[[#This Row],[win_prob]],1)="D",LEFT(Table4[[#This Row],[win_prob]],1)="R"),LEFT(Table4[[#This Row],[win_prob]],1),LEFT(Table4[[#This Row],[Category]],1))</f>
        <v>R</v>
      </c>
      <c r="J25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5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59" s="16" t="str">
        <f>RIGHT(Table4[[#This Row],[Margin]],LEN(Table4[[#This Row],[Margin]])-FIND("+",Table4[[#This Row],[Margin]]))</f>
        <v>46</v>
      </c>
      <c r="M259" s="20" t="str">
        <f>IF(Table4[[#This Row],[listedprob]]=1,"called",IF(LEFT(Table4[[#This Row],[Margin]],1)="D",(Table4[[#This Row],[Numeric Margin]]/2+50)/100,(-Table4[[#This Row],[Numeric Margin]]/2+50)/100))</f>
        <v>called</v>
      </c>
      <c r="N259" s="20" t="str">
        <f>IFERROR(IF(Table4[[#This Row],[D 2pv]]="called","called",Table4[[#This Row],[D 2pv]]*Table4[[#This Row],[Percent of votes in% In]]),Table4[[#This Row],[D 2pv]]*0.95)</f>
        <v>called</v>
      </c>
      <c r="O259" s="20" t="str">
        <f>IF(Table4[[#This Row],[D pct]]="called","called",(Table4[[#This Row],[D 2pv]]+$E$7))</f>
        <v>called</v>
      </c>
      <c r="P25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59" s="21" t="str">
        <f>IF(Table4[[#This Row],[D captured of remain]]="called","called",Table4[[#This Row],[D captured of remain]]+Table4[[#This Row],[D pct]])</f>
        <v>called</v>
      </c>
      <c r="R259" s="22" t="str">
        <f>IF(Table4[[#This Row],[Expected D]]=1,"D",IF(Table4[[#This Row],[Expected R]]=1,"R",IF(Table4[[#This Row],[D total]]&gt;=0.5,"D","R")))</f>
        <v>R</v>
      </c>
      <c r="S259" s="22"/>
      <c r="V259" s="4"/>
      <c r="W259" s="4"/>
    </row>
    <row r="260" spans="2:23" x14ac:dyDescent="0.35">
      <c r="B260" s="27">
        <v>251</v>
      </c>
      <c r="C260" s="2" t="s">
        <v>315</v>
      </c>
      <c r="D260" s="2" t="s">
        <v>284</v>
      </c>
      <c r="E260" s="4" t="s">
        <v>28</v>
      </c>
      <c r="F260" s="2" t="s">
        <v>574</v>
      </c>
      <c r="G260" s="4" t="s">
        <v>502</v>
      </c>
      <c r="H26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0" s="2" t="str">
        <f>IF(OR(LEFT(Table4[[#This Row],[win_prob]],1)="D",LEFT(Table4[[#This Row],[win_prob]],1)="R"),LEFT(Table4[[#This Row],[win_prob]],1),LEFT(Table4[[#This Row],[Category]],1))</f>
        <v>R</v>
      </c>
      <c r="J26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0" s="16" t="str">
        <f>RIGHT(Table4[[#This Row],[Margin]],LEN(Table4[[#This Row],[Margin]])-FIND("+",Table4[[#This Row],[Margin]]))</f>
        <v>71</v>
      </c>
      <c r="M260" s="20" t="str">
        <f>IF(Table4[[#This Row],[listedprob]]=1,"called",IF(LEFT(Table4[[#This Row],[Margin]],1)="D",(Table4[[#This Row],[Numeric Margin]]/2+50)/100,(-Table4[[#This Row],[Numeric Margin]]/2+50)/100))</f>
        <v>called</v>
      </c>
      <c r="N260" s="20" t="str">
        <f>IFERROR(IF(Table4[[#This Row],[D 2pv]]="called","called",Table4[[#This Row],[D 2pv]]*Table4[[#This Row],[Percent of votes in% In]]),Table4[[#This Row],[D 2pv]]*0.95)</f>
        <v>called</v>
      </c>
      <c r="O260" s="20" t="str">
        <f>IF(Table4[[#This Row],[D pct]]="called","called",(Table4[[#This Row],[D 2pv]]+$E$7))</f>
        <v>called</v>
      </c>
      <c r="P26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0" s="21" t="str">
        <f>IF(Table4[[#This Row],[D captured of remain]]="called","called",Table4[[#This Row],[D captured of remain]]+Table4[[#This Row],[D pct]])</f>
        <v>called</v>
      </c>
      <c r="R260" s="22" t="str">
        <f>IF(Table4[[#This Row],[Expected D]]=1,"D",IF(Table4[[#This Row],[Expected R]]=1,"R",IF(Table4[[#This Row],[D total]]&gt;=0.5,"D","R")))</f>
        <v>R</v>
      </c>
      <c r="S260" s="22"/>
      <c r="V260" s="4"/>
    </row>
    <row r="261" spans="2:23" x14ac:dyDescent="0.35">
      <c r="B261" s="27">
        <v>252</v>
      </c>
      <c r="C261" s="2" t="s">
        <v>316</v>
      </c>
      <c r="D261" s="2" t="s">
        <v>284</v>
      </c>
      <c r="E261" s="4" t="s">
        <v>28</v>
      </c>
      <c r="F261" s="2" t="s">
        <v>575</v>
      </c>
      <c r="G261" s="4" t="s">
        <v>502</v>
      </c>
      <c r="H26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1" s="2" t="str">
        <f>IF(OR(LEFT(Table4[[#This Row],[win_prob]],1)="D",LEFT(Table4[[#This Row],[win_prob]],1)="R"),LEFT(Table4[[#This Row],[win_prob]],1),LEFT(Table4[[#This Row],[Category]],1))</f>
        <v>R</v>
      </c>
      <c r="J26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1" s="16" t="str">
        <f>RIGHT(Table4[[#This Row],[Margin]],LEN(Table4[[#This Row],[Margin]])-FIND("+",Table4[[#This Row],[Margin]]))</f>
        <v>38</v>
      </c>
      <c r="M261" s="20" t="str">
        <f>IF(Table4[[#This Row],[listedprob]]=1,"called",IF(LEFT(Table4[[#This Row],[Margin]],1)="D",(Table4[[#This Row],[Numeric Margin]]/2+50)/100,(-Table4[[#This Row],[Numeric Margin]]/2+50)/100))</f>
        <v>called</v>
      </c>
      <c r="N261" s="20" t="str">
        <f>IFERROR(IF(Table4[[#This Row],[D 2pv]]="called","called",Table4[[#This Row],[D 2pv]]*Table4[[#This Row],[Percent of votes in% In]]),Table4[[#This Row],[D 2pv]]*0.95)</f>
        <v>called</v>
      </c>
      <c r="O261" s="20" t="str">
        <f>IF(Table4[[#This Row],[D pct]]="called","called",(Table4[[#This Row],[D 2pv]]+$E$7))</f>
        <v>called</v>
      </c>
      <c r="P26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1" s="21" t="str">
        <f>IF(Table4[[#This Row],[D captured of remain]]="called","called",Table4[[#This Row],[D captured of remain]]+Table4[[#This Row],[D pct]])</f>
        <v>called</v>
      </c>
      <c r="R261" s="22" t="str">
        <f>IF(Table4[[#This Row],[Expected D]]=1,"D",IF(Table4[[#This Row],[Expected R]]=1,"R",IF(Table4[[#This Row],[D total]]&gt;=0.5,"D","R")))</f>
        <v>R</v>
      </c>
      <c r="S261" s="22"/>
      <c r="V261" s="4"/>
    </row>
    <row r="262" spans="2:23" x14ac:dyDescent="0.35">
      <c r="B262" s="27">
        <v>253</v>
      </c>
      <c r="C262" s="2" t="s">
        <v>317</v>
      </c>
      <c r="D262" s="2" t="s">
        <v>284</v>
      </c>
      <c r="E262" s="4" t="s">
        <v>28</v>
      </c>
      <c r="F262" s="2" t="s">
        <v>576</v>
      </c>
      <c r="G262" s="4" t="s">
        <v>502</v>
      </c>
      <c r="H26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2" s="2" t="str">
        <f>IF(OR(LEFT(Table4[[#This Row],[win_prob]],1)="D",LEFT(Table4[[#This Row],[win_prob]],1)="R"),LEFT(Table4[[#This Row],[win_prob]],1),LEFT(Table4[[#This Row],[Category]],1))</f>
        <v>R</v>
      </c>
      <c r="J26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2" s="16" t="str">
        <f>RIGHT(Table4[[#This Row],[Margin]],LEN(Table4[[#This Row],[Margin]])-FIND("+",Table4[[#This Row],[Margin]]))</f>
        <v>69</v>
      </c>
      <c r="M262" s="20" t="str">
        <f>IF(Table4[[#This Row],[listedprob]]=1,"called",IF(LEFT(Table4[[#This Row],[Margin]],1)="D",(Table4[[#This Row],[Numeric Margin]]/2+50)/100,(-Table4[[#This Row],[Numeric Margin]]/2+50)/100))</f>
        <v>called</v>
      </c>
      <c r="N262" s="20" t="str">
        <f>IFERROR(IF(Table4[[#This Row],[D 2pv]]="called","called",Table4[[#This Row],[D 2pv]]*Table4[[#This Row],[Percent of votes in% In]]),Table4[[#This Row],[D 2pv]]*0.95)</f>
        <v>called</v>
      </c>
      <c r="O262" s="20" t="str">
        <f>IF(Table4[[#This Row],[D pct]]="called","called",(Table4[[#This Row],[D 2pv]]+$E$7))</f>
        <v>called</v>
      </c>
      <c r="P26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2" s="21" t="str">
        <f>IF(Table4[[#This Row],[D captured of remain]]="called","called",Table4[[#This Row],[D captured of remain]]+Table4[[#This Row],[D pct]])</f>
        <v>called</v>
      </c>
      <c r="R262" s="22" t="str">
        <f>IF(Table4[[#This Row],[Expected D]]=1,"D",IF(Table4[[#This Row],[Expected R]]=1,"R",IF(Table4[[#This Row],[D total]]&gt;=0.5,"D","R")))</f>
        <v>R</v>
      </c>
      <c r="S262" s="22"/>
      <c r="V262" s="4"/>
    </row>
    <row r="263" spans="2:23" x14ac:dyDescent="0.35">
      <c r="B263" s="27">
        <v>254</v>
      </c>
      <c r="C263" s="2" t="s">
        <v>318</v>
      </c>
      <c r="D263" s="2" t="s">
        <v>284</v>
      </c>
      <c r="E263" s="4" t="s">
        <v>28</v>
      </c>
      <c r="F263" s="2" t="s">
        <v>582</v>
      </c>
      <c r="G263" s="4" t="s">
        <v>502</v>
      </c>
      <c r="H26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3" s="2" t="str">
        <f>IF(OR(LEFT(Table4[[#This Row],[win_prob]],1)="D",LEFT(Table4[[#This Row],[win_prob]],1)="R"),LEFT(Table4[[#This Row],[win_prob]],1),LEFT(Table4[[#This Row],[Category]],1))</f>
        <v>R</v>
      </c>
      <c r="J26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3" s="16" t="str">
        <f>RIGHT(Table4[[#This Row],[Margin]],LEN(Table4[[#This Row],[Margin]])-FIND("+",Table4[[#This Row],[Margin]]))</f>
        <v>19</v>
      </c>
      <c r="M263" s="20" t="str">
        <f>IF(Table4[[#This Row],[listedprob]]=1,"called",IF(LEFT(Table4[[#This Row],[Margin]],1)="D",(Table4[[#This Row],[Numeric Margin]]/2+50)/100,(-Table4[[#This Row],[Numeric Margin]]/2+50)/100))</f>
        <v>called</v>
      </c>
      <c r="N263" s="20" t="str">
        <f>IFERROR(IF(Table4[[#This Row],[D 2pv]]="called","called",Table4[[#This Row],[D 2pv]]*Table4[[#This Row],[Percent of votes in% In]]),Table4[[#This Row],[D 2pv]]*0.95)</f>
        <v>called</v>
      </c>
      <c r="O263" s="20" t="str">
        <f>IF(Table4[[#This Row],[D pct]]="called","called",(Table4[[#This Row],[D 2pv]]+$E$7))</f>
        <v>called</v>
      </c>
      <c r="P26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3" s="21" t="str">
        <f>IF(Table4[[#This Row],[D captured of remain]]="called","called",Table4[[#This Row],[D captured of remain]]+Table4[[#This Row],[D pct]])</f>
        <v>called</v>
      </c>
      <c r="R263" s="22" t="str">
        <f>IF(Table4[[#This Row],[Expected D]]=1,"D",IF(Table4[[#This Row],[Expected R]]=1,"R",IF(Table4[[#This Row],[D total]]&gt;=0.5,"D","R")))</f>
        <v>R</v>
      </c>
      <c r="S263" s="22"/>
      <c r="V263" s="4"/>
    </row>
    <row r="264" spans="2:23" x14ac:dyDescent="0.35">
      <c r="B264" s="27">
        <v>255</v>
      </c>
      <c r="C264" s="2" t="s">
        <v>319</v>
      </c>
      <c r="D264" s="2" t="s">
        <v>320</v>
      </c>
      <c r="E264" s="4">
        <v>0</v>
      </c>
      <c r="F264" s="2" t="s">
        <v>577</v>
      </c>
      <c r="G264" s="4" t="s">
        <v>502</v>
      </c>
      <c r="H26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4" s="2" t="str">
        <f>IF(OR(LEFT(Table4[[#This Row],[win_prob]],1)="D",LEFT(Table4[[#This Row],[win_prob]],1)="R"),LEFT(Table4[[#This Row],[win_prob]],1),LEFT(Table4[[#This Row],[Category]],1))</f>
        <v>R</v>
      </c>
      <c r="J26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4" s="16" t="e">
        <f>RIGHT(Table4[[#This Row],[Margin]],LEN(Table4[[#This Row],[Margin]])-FIND("+",Table4[[#This Row],[Margin]]))</f>
        <v>#VALUE!</v>
      </c>
      <c r="M264" s="20" t="str">
        <f>IF(Table4[[#This Row],[listedprob]]=1,"called",IF(LEFT(Table4[[#This Row],[Margin]],1)="D",(Table4[[#This Row],[Numeric Margin]]/2+50)/100,(-Table4[[#This Row],[Numeric Margin]]/2+50)/100))</f>
        <v>called</v>
      </c>
      <c r="N264" s="20" t="str">
        <f>IFERROR(IF(Table4[[#This Row],[D 2pv]]="called","called",Table4[[#This Row],[D 2pv]]*Table4[[#This Row],[Percent of votes in% In]]),Table4[[#This Row],[D 2pv]]*0.95)</f>
        <v>called</v>
      </c>
      <c r="O264" s="20" t="str">
        <f>IF(Table4[[#This Row],[D pct]]="called","called",(Table4[[#This Row],[D 2pv]]+$E$7))</f>
        <v>called</v>
      </c>
      <c r="P26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4" s="21" t="str">
        <f>IF(Table4[[#This Row],[D captured of remain]]="called","called",Table4[[#This Row],[D captured of remain]]+Table4[[#This Row],[D pct]])</f>
        <v>called</v>
      </c>
      <c r="R264" s="22" t="str">
        <f>IF(Table4[[#This Row],[Expected D]]=1,"D",IF(Table4[[#This Row],[Expected R]]=1,"R",IF(Table4[[#This Row],[D total]]&gt;=0.5,"D","R")))</f>
        <v>R</v>
      </c>
      <c r="S264" s="22"/>
      <c r="V264" s="4"/>
      <c r="W264" s="4"/>
    </row>
    <row r="265" spans="2:23" x14ac:dyDescent="0.35">
      <c r="B265" s="27">
        <v>256</v>
      </c>
      <c r="C265" s="2" t="s">
        <v>321</v>
      </c>
      <c r="D265" s="2" t="s">
        <v>320</v>
      </c>
      <c r="E265" s="4">
        <v>0</v>
      </c>
      <c r="F265" s="2" t="s">
        <v>577</v>
      </c>
      <c r="G265" s="4" t="s">
        <v>502</v>
      </c>
      <c r="H26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5" s="2" t="str">
        <f>IF(OR(LEFT(Table4[[#This Row],[win_prob]],1)="D",LEFT(Table4[[#This Row],[win_prob]],1)="R"),LEFT(Table4[[#This Row],[win_prob]],1),LEFT(Table4[[#This Row],[Category]],1))</f>
        <v>R</v>
      </c>
      <c r="J26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5" s="16" t="e">
        <f>RIGHT(Table4[[#This Row],[Margin]],LEN(Table4[[#This Row],[Margin]])-FIND("+",Table4[[#This Row],[Margin]]))</f>
        <v>#VALUE!</v>
      </c>
      <c r="M265" s="20" t="str">
        <f>IF(Table4[[#This Row],[listedprob]]=1,"called",IF(LEFT(Table4[[#This Row],[Margin]],1)="D",(Table4[[#This Row],[Numeric Margin]]/2+50)/100,(-Table4[[#This Row],[Numeric Margin]]/2+50)/100))</f>
        <v>called</v>
      </c>
      <c r="N265" s="20" t="str">
        <f>IFERROR(IF(Table4[[#This Row],[D 2pv]]="called","called",Table4[[#This Row],[D 2pv]]*Table4[[#This Row],[Percent of votes in% In]]),Table4[[#This Row],[D 2pv]]*0.95)</f>
        <v>called</v>
      </c>
      <c r="O265" s="20" t="str">
        <f>IF(Table4[[#This Row],[D pct]]="called","called",(Table4[[#This Row],[D 2pv]]+$E$7))</f>
        <v>called</v>
      </c>
      <c r="P26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5" s="21" t="str">
        <f>IF(Table4[[#This Row],[D captured of remain]]="called","called",Table4[[#This Row],[D captured of remain]]+Table4[[#This Row],[D pct]])</f>
        <v>called</v>
      </c>
      <c r="R265" s="22" t="str">
        <f>IF(Table4[[#This Row],[Expected D]]=1,"D",IF(Table4[[#This Row],[Expected R]]=1,"R",IF(Table4[[#This Row],[D total]]&gt;=0.5,"D","R")))</f>
        <v>R</v>
      </c>
      <c r="S265" s="22"/>
      <c r="V265" s="4"/>
      <c r="W265" s="4"/>
    </row>
    <row r="266" spans="2:23" x14ac:dyDescent="0.35">
      <c r="B266" s="27">
        <v>257</v>
      </c>
      <c r="C266" s="2" t="s">
        <v>322</v>
      </c>
      <c r="D266" s="2" t="s">
        <v>284</v>
      </c>
      <c r="E266" s="4" t="s">
        <v>28</v>
      </c>
      <c r="F266" s="2" t="s">
        <v>604</v>
      </c>
      <c r="G266" s="4" t="s">
        <v>502</v>
      </c>
      <c r="H26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6" s="2" t="str">
        <f>IF(OR(LEFT(Table4[[#This Row],[win_prob]],1)="D",LEFT(Table4[[#This Row],[win_prob]],1)="R"),LEFT(Table4[[#This Row],[win_prob]],1),LEFT(Table4[[#This Row],[Category]],1))</f>
        <v>R</v>
      </c>
      <c r="J26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6" s="16" t="str">
        <f>RIGHT(Table4[[#This Row],[Margin]],LEN(Table4[[#This Row],[Margin]])-FIND("+",Table4[[#This Row],[Margin]]))</f>
        <v>48</v>
      </c>
      <c r="M266" s="20" t="str">
        <f>IF(Table4[[#This Row],[listedprob]]=1,"called",IF(LEFT(Table4[[#This Row],[Margin]],1)="D",(Table4[[#This Row],[Numeric Margin]]/2+50)/100,(-Table4[[#This Row],[Numeric Margin]]/2+50)/100))</f>
        <v>called</v>
      </c>
      <c r="N266" s="20" t="str">
        <f>IFERROR(IF(Table4[[#This Row],[D 2pv]]="called","called",Table4[[#This Row],[D 2pv]]*Table4[[#This Row],[Percent of votes in% In]]),Table4[[#This Row],[D 2pv]]*0.95)</f>
        <v>called</v>
      </c>
      <c r="O266" s="20" t="str">
        <f>IF(Table4[[#This Row],[D pct]]="called","called",(Table4[[#This Row],[D 2pv]]+$E$7))</f>
        <v>called</v>
      </c>
      <c r="P26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6" s="21" t="str">
        <f>IF(Table4[[#This Row],[D captured of remain]]="called","called",Table4[[#This Row],[D captured of remain]]+Table4[[#This Row],[D pct]])</f>
        <v>called</v>
      </c>
      <c r="R266" s="22" t="str">
        <f>IF(Table4[[#This Row],[Expected D]]=1,"D",IF(Table4[[#This Row],[Expected R]]=1,"R",IF(Table4[[#This Row],[D total]]&gt;=0.5,"D","R")))</f>
        <v>R</v>
      </c>
      <c r="S266" s="22"/>
      <c r="V266" s="4"/>
      <c r="W266" s="4"/>
    </row>
    <row r="267" spans="2:23" x14ac:dyDescent="0.35">
      <c r="B267" s="27">
        <v>258</v>
      </c>
      <c r="C267" s="2" t="s">
        <v>323</v>
      </c>
      <c r="D267" s="2" t="s">
        <v>284</v>
      </c>
      <c r="E267" s="4" t="s">
        <v>28</v>
      </c>
      <c r="F267" s="2" t="s">
        <v>579</v>
      </c>
      <c r="G267" s="4" t="s">
        <v>502</v>
      </c>
      <c r="H26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7" s="2" t="str">
        <f>IF(OR(LEFT(Table4[[#This Row],[win_prob]],1)="D",LEFT(Table4[[#This Row],[win_prob]],1)="R"),LEFT(Table4[[#This Row],[win_prob]],1),LEFT(Table4[[#This Row],[Category]],1))</f>
        <v>R</v>
      </c>
      <c r="J26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7" s="16" t="str">
        <f>RIGHT(Table4[[#This Row],[Margin]],LEN(Table4[[#This Row],[Margin]])-FIND("+",Table4[[#This Row],[Margin]]))</f>
        <v>25</v>
      </c>
      <c r="M267" s="20" t="str">
        <f>IF(Table4[[#This Row],[listedprob]]=1,"called",IF(LEFT(Table4[[#This Row],[Margin]],1)="D",(Table4[[#This Row],[Numeric Margin]]/2+50)/100,(-Table4[[#This Row],[Numeric Margin]]/2+50)/100))</f>
        <v>called</v>
      </c>
      <c r="N267" s="20" t="str">
        <f>IFERROR(IF(Table4[[#This Row],[D 2pv]]="called","called",Table4[[#This Row],[D 2pv]]*Table4[[#This Row],[Percent of votes in% In]]),Table4[[#This Row],[D 2pv]]*0.95)</f>
        <v>called</v>
      </c>
      <c r="O267" s="20" t="str">
        <f>IF(Table4[[#This Row],[D pct]]="called","called",(Table4[[#This Row],[D 2pv]]+$E$7))</f>
        <v>called</v>
      </c>
      <c r="P26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7" s="21" t="str">
        <f>IF(Table4[[#This Row],[D captured of remain]]="called","called",Table4[[#This Row],[D captured of remain]]+Table4[[#This Row],[D pct]])</f>
        <v>called</v>
      </c>
      <c r="R267" s="22" t="str">
        <f>IF(Table4[[#This Row],[Expected D]]=1,"D",IF(Table4[[#This Row],[Expected R]]=1,"R",IF(Table4[[#This Row],[D total]]&gt;=0.5,"D","R")))</f>
        <v>R</v>
      </c>
      <c r="S267" s="22"/>
      <c r="V267" s="4"/>
      <c r="W267" s="4"/>
    </row>
    <row r="268" spans="2:23" x14ac:dyDescent="0.35">
      <c r="B268" s="27">
        <v>259</v>
      </c>
      <c r="C268" s="2" t="s">
        <v>324</v>
      </c>
      <c r="D268" s="2" t="s">
        <v>284</v>
      </c>
      <c r="E268" s="4" t="s">
        <v>28</v>
      </c>
      <c r="F268" s="2" t="s">
        <v>580</v>
      </c>
      <c r="G268" s="4" t="s">
        <v>502</v>
      </c>
      <c r="H26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8" s="2" t="str">
        <f>IF(OR(LEFT(Table4[[#This Row],[win_prob]],1)="D",LEFT(Table4[[#This Row],[win_prob]],1)="R"),LEFT(Table4[[#This Row],[win_prob]],1),LEFT(Table4[[#This Row],[Category]],1))</f>
        <v>R</v>
      </c>
      <c r="J26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8" s="16" t="str">
        <f>RIGHT(Table4[[#This Row],[Margin]],LEN(Table4[[#This Row],[Margin]])-FIND("+",Table4[[#This Row],[Margin]]))</f>
        <v>31</v>
      </c>
      <c r="M268" s="20" t="str">
        <f>IF(Table4[[#This Row],[listedprob]]=1,"called",IF(LEFT(Table4[[#This Row],[Margin]],1)="D",(Table4[[#This Row],[Numeric Margin]]/2+50)/100,(-Table4[[#This Row],[Numeric Margin]]/2+50)/100))</f>
        <v>called</v>
      </c>
      <c r="N268" s="20" t="str">
        <f>IFERROR(IF(Table4[[#This Row],[D 2pv]]="called","called",Table4[[#This Row],[D 2pv]]*Table4[[#This Row],[Percent of votes in% In]]),Table4[[#This Row],[D 2pv]]*0.95)</f>
        <v>called</v>
      </c>
      <c r="O268" s="20" t="str">
        <f>IF(Table4[[#This Row],[D pct]]="called","called",(Table4[[#This Row],[D 2pv]]+$E$7))</f>
        <v>called</v>
      </c>
      <c r="P26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8" s="21" t="str">
        <f>IF(Table4[[#This Row],[D captured of remain]]="called","called",Table4[[#This Row],[D captured of remain]]+Table4[[#This Row],[D pct]])</f>
        <v>called</v>
      </c>
      <c r="R268" s="22" t="str">
        <f>IF(Table4[[#This Row],[Expected D]]=1,"D",IF(Table4[[#This Row],[Expected R]]=1,"R",IF(Table4[[#This Row],[D total]]&gt;=0.5,"D","R")))</f>
        <v>R</v>
      </c>
      <c r="S268" s="22"/>
      <c r="V268" s="4"/>
    </row>
    <row r="269" spans="2:23" x14ac:dyDescent="0.35">
      <c r="B269" s="27">
        <v>260</v>
      </c>
      <c r="C269" s="2" t="s">
        <v>325</v>
      </c>
      <c r="D269" s="2" t="s">
        <v>284</v>
      </c>
      <c r="E269" s="4" t="s">
        <v>28</v>
      </c>
      <c r="F269" s="2" t="s">
        <v>581</v>
      </c>
      <c r="G269" s="4" t="s">
        <v>502</v>
      </c>
      <c r="H26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69" s="2" t="str">
        <f>IF(OR(LEFT(Table4[[#This Row],[win_prob]],1)="D",LEFT(Table4[[#This Row],[win_prob]],1)="R"),LEFT(Table4[[#This Row],[win_prob]],1),LEFT(Table4[[#This Row],[Category]],1))</f>
        <v>R</v>
      </c>
      <c r="J26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6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69" s="16" t="str">
        <f>RIGHT(Table4[[#This Row],[Margin]],LEN(Table4[[#This Row],[Margin]])-FIND("+",Table4[[#This Row],[Margin]]))</f>
        <v>45</v>
      </c>
      <c r="M269" s="20" t="str">
        <f>IF(Table4[[#This Row],[listedprob]]=1,"called",IF(LEFT(Table4[[#This Row],[Margin]],1)="D",(Table4[[#This Row],[Numeric Margin]]/2+50)/100,(-Table4[[#This Row],[Numeric Margin]]/2+50)/100))</f>
        <v>called</v>
      </c>
      <c r="N269" s="20" t="str">
        <f>IFERROR(IF(Table4[[#This Row],[D 2pv]]="called","called",Table4[[#This Row],[D 2pv]]*Table4[[#This Row],[Percent of votes in% In]]),Table4[[#This Row],[D 2pv]]*0.95)</f>
        <v>called</v>
      </c>
      <c r="O269" s="20" t="str">
        <f>IF(Table4[[#This Row],[D pct]]="called","called",(Table4[[#This Row],[D 2pv]]+$E$7))</f>
        <v>called</v>
      </c>
      <c r="P26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69" s="21" t="str">
        <f>IF(Table4[[#This Row],[D captured of remain]]="called","called",Table4[[#This Row],[D captured of remain]]+Table4[[#This Row],[D pct]])</f>
        <v>called</v>
      </c>
      <c r="R269" s="22" t="str">
        <f>IF(Table4[[#This Row],[Expected D]]=1,"D",IF(Table4[[#This Row],[Expected R]]=1,"R",IF(Table4[[#This Row],[D total]]&gt;=0.5,"D","R")))</f>
        <v>R</v>
      </c>
      <c r="S269" s="22"/>
      <c r="V269" s="4"/>
    </row>
    <row r="270" spans="2:23" x14ac:dyDescent="0.35">
      <c r="B270" s="27">
        <v>261</v>
      </c>
      <c r="C270" s="2" t="s">
        <v>326</v>
      </c>
      <c r="D270" s="2" t="s">
        <v>284</v>
      </c>
      <c r="E270" s="4">
        <v>0.82</v>
      </c>
      <c r="F270" s="2" t="s">
        <v>566</v>
      </c>
      <c r="G270" s="4" t="s">
        <v>502</v>
      </c>
      <c r="H27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0" s="2" t="str">
        <f>IF(OR(LEFT(Table4[[#This Row],[win_prob]],1)="D",LEFT(Table4[[#This Row],[win_prob]],1)="R"),LEFT(Table4[[#This Row],[win_prob]],1),LEFT(Table4[[#This Row],[Category]],1))</f>
        <v>R</v>
      </c>
      <c r="J27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0" s="16" t="str">
        <f>RIGHT(Table4[[#This Row],[Margin]],LEN(Table4[[#This Row],[Margin]])-FIND("+",Table4[[#This Row],[Margin]]))</f>
        <v>22</v>
      </c>
      <c r="M270" s="20" t="str">
        <f>IF(Table4[[#This Row],[listedprob]]=1,"called",IF(LEFT(Table4[[#This Row],[Margin]],1)="D",(Table4[[#This Row],[Numeric Margin]]/2+50)/100,(-Table4[[#This Row],[Numeric Margin]]/2+50)/100))</f>
        <v>called</v>
      </c>
      <c r="N270" s="20" t="str">
        <f>IFERROR(IF(Table4[[#This Row],[D 2pv]]="called","called",Table4[[#This Row],[D 2pv]]*Table4[[#This Row],[Percent of votes in% In]]),Table4[[#This Row],[D 2pv]]*0.95)</f>
        <v>called</v>
      </c>
      <c r="O270" s="20" t="str">
        <f>IF(Table4[[#This Row],[D pct]]="called","called",(Table4[[#This Row],[D 2pv]]+$E$7))</f>
        <v>called</v>
      </c>
      <c r="P27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0" s="21" t="str">
        <f>IF(Table4[[#This Row],[D captured of remain]]="called","called",Table4[[#This Row],[D captured of remain]]+Table4[[#This Row],[D pct]])</f>
        <v>called</v>
      </c>
      <c r="R270" s="22" t="str">
        <f>IF(Table4[[#This Row],[Expected D]]=1,"D",IF(Table4[[#This Row],[Expected R]]=1,"R",IF(Table4[[#This Row],[D total]]&gt;=0.5,"D","R")))</f>
        <v>R</v>
      </c>
      <c r="S270" s="22"/>
      <c r="V270" s="4"/>
    </row>
    <row r="271" spans="2:23" x14ac:dyDescent="0.35">
      <c r="B271" s="27">
        <v>262</v>
      </c>
      <c r="C271" s="2" t="s">
        <v>327</v>
      </c>
      <c r="D271" s="2" t="s">
        <v>284</v>
      </c>
      <c r="E271" s="4">
        <v>0.89</v>
      </c>
      <c r="F271" s="2" t="s">
        <v>585</v>
      </c>
      <c r="G271" s="4" t="s">
        <v>502</v>
      </c>
      <c r="H27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1" s="2" t="str">
        <f>IF(OR(LEFT(Table4[[#This Row],[win_prob]],1)="D",LEFT(Table4[[#This Row],[win_prob]],1)="R"),LEFT(Table4[[#This Row],[win_prob]],1),LEFT(Table4[[#This Row],[Category]],1))</f>
        <v>R</v>
      </c>
      <c r="J27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1" s="16" t="str">
        <f>RIGHT(Table4[[#This Row],[Margin]],LEN(Table4[[#This Row],[Margin]])-FIND("+",Table4[[#This Row],[Margin]]))</f>
        <v>23</v>
      </c>
      <c r="M271" s="20" t="str">
        <f>IF(Table4[[#This Row],[listedprob]]=1,"called",IF(LEFT(Table4[[#This Row],[Margin]],1)="D",(Table4[[#This Row],[Numeric Margin]]/2+50)/100,(-Table4[[#This Row],[Numeric Margin]]/2+50)/100))</f>
        <v>called</v>
      </c>
      <c r="N271" s="20" t="str">
        <f>IFERROR(IF(Table4[[#This Row],[D 2pv]]="called","called",Table4[[#This Row],[D 2pv]]*Table4[[#This Row],[Percent of votes in% In]]),Table4[[#This Row],[D 2pv]]*0.95)</f>
        <v>called</v>
      </c>
      <c r="O271" s="20" t="str">
        <f>IF(Table4[[#This Row],[D pct]]="called","called",(Table4[[#This Row],[D 2pv]]+$E$7))</f>
        <v>called</v>
      </c>
      <c r="P27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1" s="21" t="str">
        <f>IF(Table4[[#This Row],[D captured of remain]]="called","called",Table4[[#This Row],[D captured of remain]]+Table4[[#This Row],[D pct]])</f>
        <v>called</v>
      </c>
      <c r="R271" s="22" t="str">
        <f>IF(Table4[[#This Row],[Expected D]]=1,"D",IF(Table4[[#This Row],[Expected R]]=1,"R",IF(Table4[[#This Row],[D total]]&gt;=0.5,"D","R")))</f>
        <v>R</v>
      </c>
      <c r="S271" s="22"/>
      <c r="V271" s="4"/>
      <c r="W271" s="4"/>
    </row>
    <row r="272" spans="2:23" x14ac:dyDescent="0.35">
      <c r="B272" s="27">
        <v>263</v>
      </c>
      <c r="C272" s="2" t="s">
        <v>328</v>
      </c>
      <c r="D272" s="2" t="s">
        <v>284</v>
      </c>
      <c r="E272" s="4">
        <v>0.71</v>
      </c>
      <c r="F272" s="2" t="s">
        <v>584</v>
      </c>
      <c r="G272" s="4" t="s">
        <v>502</v>
      </c>
      <c r="H27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2" s="2" t="str">
        <f>IF(OR(LEFT(Table4[[#This Row],[win_prob]],1)="D",LEFT(Table4[[#This Row],[win_prob]],1)="R"),LEFT(Table4[[#This Row],[win_prob]],1),LEFT(Table4[[#This Row],[Category]],1))</f>
        <v>R</v>
      </c>
      <c r="J27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2" s="16" t="str">
        <f>RIGHT(Table4[[#This Row],[Margin]],LEN(Table4[[#This Row],[Margin]])-FIND("+",Table4[[#This Row],[Margin]]))</f>
        <v>35</v>
      </c>
      <c r="M272" s="20" t="str">
        <f>IF(Table4[[#This Row],[listedprob]]=1,"called",IF(LEFT(Table4[[#This Row],[Margin]],1)="D",(Table4[[#This Row],[Numeric Margin]]/2+50)/100,(-Table4[[#This Row],[Numeric Margin]]/2+50)/100))</f>
        <v>called</v>
      </c>
      <c r="N272" s="20" t="str">
        <f>IFERROR(IF(Table4[[#This Row],[D 2pv]]="called","called",Table4[[#This Row],[D 2pv]]*Table4[[#This Row],[Percent of votes in% In]]),Table4[[#This Row],[D 2pv]]*0.95)</f>
        <v>called</v>
      </c>
      <c r="O272" s="20" t="str">
        <f>IF(Table4[[#This Row],[D pct]]="called","called",(Table4[[#This Row],[D 2pv]]+$E$7))</f>
        <v>called</v>
      </c>
      <c r="P27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2" s="21" t="str">
        <f>IF(Table4[[#This Row],[D captured of remain]]="called","called",Table4[[#This Row],[D captured of remain]]+Table4[[#This Row],[D pct]])</f>
        <v>called</v>
      </c>
      <c r="R272" s="22" t="str">
        <f>IF(Table4[[#This Row],[Expected D]]=1,"D",IF(Table4[[#This Row],[Expected R]]=1,"R",IF(Table4[[#This Row],[D total]]&gt;=0.5,"D","R")))</f>
        <v>R</v>
      </c>
      <c r="S272" s="22"/>
      <c r="V272" s="4"/>
      <c r="W272" s="4"/>
    </row>
    <row r="273" spans="2:23" x14ac:dyDescent="0.35">
      <c r="B273" s="27">
        <v>264</v>
      </c>
      <c r="C273" s="2" t="s">
        <v>329</v>
      </c>
      <c r="D273" s="2" t="s">
        <v>284</v>
      </c>
      <c r="E273" s="4">
        <v>0.68</v>
      </c>
      <c r="F273" s="2" t="s">
        <v>585</v>
      </c>
      <c r="G273" s="4" t="s">
        <v>502</v>
      </c>
      <c r="H27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3" s="2" t="str">
        <f>IF(OR(LEFT(Table4[[#This Row],[win_prob]],1)="D",LEFT(Table4[[#This Row],[win_prob]],1)="R"),LEFT(Table4[[#This Row],[win_prob]],1),LEFT(Table4[[#This Row],[Category]],1))</f>
        <v>R</v>
      </c>
      <c r="J273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7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3" s="16" t="str">
        <f>RIGHT(Table4[[#This Row],[Margin]],LEN(Table4[[#This Row],[Margin]])-FIND("+",Table4[[#This Row],[Margin]]))</f>
        <v>23</v>
      </c>
      <c r="M273" s="20" t="str">
        <f>IF(Table4[[#This Row],[listedprob]]=1,"called",IF(LEFT(Table4[[#This Row],[Margin]],1)="D",(Table4[[#This Row],[Numeric Margin]]/2+50)/100,(-Table4[[#This Row],[Numeric Margin]]/2+50)/100))</f>
        <v>called</v>
      </c>
      <c r="N273" s="20" t="str">
        <f>IFERROR(IF(Table4[[#This Row],[D 2pv]]="called","called",Table4[[#This Row],[D 2pv]]*Table4[[#This Row],[Percent of votes in% In]]),Table4[[#This Row],[D 2pv]]*0.95)</f>
        <v>called</v>
      </c>
      <c r="O273" s="20" t="str">
        <f>IF(Table4[[#This Row],[D pct]]="called","called",(Table4[[#This Row],[D 2pv]]+$E$7))</f>
        <v>called</v>
      </c>
      <c r="P27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3" s="21" t="str">
        <f>IF(Table4[[#This Row],[D captured of remain]]="called","called",Table4[[#This Row],[D captured of remain]]+Table4[[#This Row],[D pct]])</f>
        <v>called</v>
      </c>
      <c r="R273" s="22" t="str">
        <f>IF(Table4[[#This Row],[Expected D]]=1,"D",IF(Table4[[#This Row],[Expected R]]=1,"R",IF(Table4[[#This Row],[D total]]&gt;=0.5,"D","R")))</f>
        <v>R</v>
      </c>
      <c r="S273" s="22"/>
      <c r="V273" s="4"/>
      <c r="W273" s="4"/>
    </row>
    <row r="274" spans="2:23" x14ac:dyDescent="0.35">
      <c r="B274" s="27">
        <v>265</v>
      </c>
      <c r="C274" s="2" t="s">
        <v>330</v>
      </c>
      <c r="D274" s="2" t="s">
        <v>284</v>
      </c>
      <c r="E274" s="4">
        <v>0.88</v>
      </c>
      <c r="F274" s="2" t="s">
        <v>588</v>
      </c>
      <c r="G274" s="4" t="s">
        <v>502</v>
      </c>
      <c r="H27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4" s="2" t="str">
        <f>IF(OR(LEFT(Table4[[#This Row],[win_prob]],1)="D",LEFT(Table4[[#This Row],[win_prob]],1)="R"),LEFT(Table4[[#This Row],[win_prob]],1),LEFT(Table4[[#This Row],[Category]],1))</f>
        <v>R</v>
      </c>
      <c r="J27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4" s="16" t="str">
        <f>RIGHT(Table4[[#This Row],[Margin]],LEN(Table4[[#This Row],[Margin]])-FIND("+",Table4[[#This Row],[Margin]]))</f>
        <v>21</v>
      </c>
      <c r="M274" s="20" t="str">
        <f>IF(Table4[[#This Row],[listedprob]]=1,"called",IF(LEFT(Table4[[#This Row],[Margin]],1)="D",(Table4[[#This Row],[Numeric Margin]]/2+50)/100,(-Table4[[#This Row],[Numeric Margin]]/2+50)/100))</f>
        <v>called</v>
      </c>
      <c r="N274" s="20" t="str">
        <f>IFERROR(IF(Table4[[#This Row],[D 2pv]]="called","called",Table4[[#This Row],[D 2pv]]*Table4[[#This Row],[Percent of votes in% In]]),Table4[[#This Row],[D 2pv]]*0.95)</f>
        <v>called</v>
      </c>
      <c r="O274" s="20" t="str">
        <f>IF(Table4[[#This Row],[D pct]]="called","called",(Table4[[#This Row],[D 2pv]]+$E$7))</f>
        <v>called</v>
      </c>
      <c r="P27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4" s="21" t="str">
        <f>IF(Table4[[#This Row],[D captured of remain]]="called","called",Table4[[#This Row],[D captured of remain]]+Table4[[#This Row],[D pct]])</f>
        <v>called</v>
      </c>
      <c r="R274" s="22" t="str">
        <f>IF(Table4[[#This Row],[Expected D]]=1,"D",IF(Table4[[#This Row],[Expected R]]=1,"R",IF(Table4[[#This Row],[D total]]&gt;=0.5,"D","R")))</f>
        <v>R</v>
      </c>
      <c r="S274" s="22"/>
      <c r="V274" s="4"/>
      <c r="W274" s="4"/>
    </row>
    <row r="275" spans="2:23" x14ac:dyDescent="0.35">
      <c r="B275" s="27">
        <v>266</v>
      </c>
      <c r="C275" s="2" t="s">
        <v>331</v>
      </c>
      <c r="D275" s="2" t="s">
        <v>332</v>
      </c>
      <c r="E275" s="4" t="s">
        <v>28</v>
      </c>
      <c r="F275" s="2" t="s">
        <v>657</v>
      </c>
      <c r="G275" s="4" t="s">
        <v>502</v>
      </c>
      <c r="H27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0.68</v>
      </c>
      <c r="I275" s="2" t="str">
        <f>IF(OR(LEFT(Table4[[#This Row],[win_prob]],1)="D",LEFT(Table4[[#This Row],[win_prob]],1)="R"),LEFT(Table4[[#This Row],[win_prob]],1),LEFT(Table4[[#This Row],[Category]],1))</f>
        <v>R</v>
      </c>
      <c r="J275" s="2" t="str">
        <f>IFERROR(IF(INDEX(Table5[Call],MATCH(Table4[[#This Row],[District]],Table5[Confirmed Calls (other outlets)],0))="D",1,"not here"),IF(Table4[[#This Row],[Favored]]="D",Table4[[#This Row],[listedprob]],1-Table4[[#This Row],[listedprob]]))</f>
        <v>not here</v>
      </c>
      <c r="K27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5" s="16" t="str">
        <f>RIGHT(Table4[[#This Row],[Margin]],LEN(Table4[[#This Row],[Margin]])-FIND("+",Table4[[#This Row],[Margin]]))</f>
        <v>0.35</v>
      </c>
      <c r="M275" s="20">
        <f>IF(Table4[[#This Row],[listedprob]]=1,"called",IF(LEFT(Table4[[#This Row],[Margin]],1)="D",(Table4[[#This Row],[Numeric Margin]]/2+50)/100,(-Table4[[#This Row],[Numeric Margin]]/2+50)/100))</f>
        <v>0.49825000000000003</v>
      </c>
      <c r="N275" s="20">
        <f>IFERROR(IF(Table4[[#This Row],[D 2pv]]="called","called",Table4[[#This Row],[D 2pv]]*Table4[[#This Row],[Percent of votes in% In]]),Table4[[#This Row],[D 2pv]]*0.95)</f>
        <v>0.47333750000000002</v>
      </c>
      <c r="O275" s="20">
        <f>IF(Table4[[#This Row],[D pct]]="called","called",(Table4[[#This Row],[D 2pv]]+$E$7))</f>
        <v>0.56825000000000003</v>
      </c>
      <c r="P275" s="20">
        <f>IFERROR(IF(Table4[[#This Row],[D remaining pct]]="called","called",Table4[[#This Row],[D remaining pct]]*(1-Table4[[#This Row],[Percent of votes in% In]])),Table4[[#This Row],[D remaining pct]]*0.05)</f>
        <v>2.8412500000000004E-2</v>
      </c>
      <c r="Q275" s="21">
        <f>IF(Table4[[#This Row],[D captured of remain]]="called","called",Table4[[#This Row],[D captured of remain]]+Table4[[#This Row],[D pct]])</f>
        <v>0.50175000000000003</v>
      </c>
      <c r="R275" s="22" t="str">
        <f>IF(Table4[[#This Row],[Expected D]]=1,"D",IF(Table4[[#This Row],[Expected R]]=1,"R",IF(Table4[[#This Row],[D total]]&gt;=0.5,"D","R")))</f>
        <v>R</v>
      </c>
      <c r="S275" s="22"/>
      <c r="W275" s="4"/>
    </row>
    <row r="276" spans="2:23" x14ac:dyDescent="0.35">
      <c r="B276" s="27">
        <v>267</v>
      </c>
      <c r="C276" s="2" t="s">
        <v>333</v>
      </c>
      <c r="D276" s="2" t="s">
        <v>284</v>
      </c>
      <c r="E276" s="2" t="s">
        <v>28</v>
      </c>
      <c r="F276" s="2" t="s">
        <v>567</v>
      </c>
      <c r="G276" s="4" t="s">
        <v>502</v>
      </c>
      <c r="H27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6" s="2" t="str">
        <f>IF(OR(LEFT(Table4[[#This Row],[win_prob]],1)="D",LEFT(Table4[[#This Row],[win_prob]],1)="R"),LEFT(Table4[[#This Row],[win_prob]],1),LEFT(Table4[[#This Row],[Category]],1))</f>
        <v>R</v>
      </c>
      <c r="J27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6" s="16" t="str">
        <f>RIGHT(Table4[[#This Row],[Margin]],LEN(Table4[[#This Row],[Margin]])-FIND("+",Table4[[#This Row],[Margin]]))</f>
        <v>24</v>
      </c>
      <c r="M276" s="20" t="str">
        <f>IF(Table4[[#This Row],[listedprob]]=1,"called",IF(LEFT(Table4[[#This Row],[Margin]],1)="D",(Table4[[#This Row],[Numeric Margin]]/2+50)/100,(-Table4[[#This Row],[Numeric Margin]]/2+50)/100))</f>
        <v>called</v>
      </c>
      <c r="N276" s="20" t="str">
        <f>IFERROR(IF(Table4[[#This Row],[D 2pv]]="called","called",Table4[[#This Row],[D 2pv]]*Table4[[#This Row],[Percent of votes in% In]]),Table4[[#This Row],[D 2pv]]*0.95)</f>
        <v>called</v>
      </c>
      <c r="O276" s="20" t="str">
        <f>IF(Table4[[#This Row],[D pct]]="called","called",(Table4[[#This Row],[D 2pv]]+$E$7))</f>
        <v>called</v>
      </c>
      <c r="P27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6" s="21" t="str">
        <f>IF(Table4[[#This Row],[D captured of remain]]="called","called",Table4[[#This Row],[D captured of remain]]+Table4[[#This Row],[D pct]])</f>
        <v>called</v>
      </c>
      <c r="R276" s="22" t="str">
        <f>IF(Table4[[#This Row],[Expected D]]=1,"D",IF(Table4[[#This Row],[Expected R]]=1,"R",IF(Table4[[#This Row],[D total]]&gt;=0.5,"D","R")))</f>
        <v>R</v>
      </c>
      <c r="S276" s="22"/>
      <c r="V276" s="4"/>
      <c r="W276" s="4"/>
    </row>
    <row r="277" spans="2:23" x14ac:dyDescent="0.35">
      <c r="B277" s="27">
        <v>268</v>
      </c>
      <c r="C277" s="2" t="s">
        <v>334</v>
      </c>
      <c r="D277" s="2" t="s">
        <v>284</v>
      </c>
      <c r="E277" s="4" t="s">
        <v>28</v>
      </c>
      <c r="F277" s="2" t="s">
        <v>601</v>
      </c>
      <c r="G277" s="4" t="s">
        <v>502</v>
      </c>
      <c r="H27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7" s="2" t="str">
        <f>IF(OR(LEFT(Table4[[#This Row],[win_prob]],1)="D",LEFT(Table4[[#This Row],[win_prob]],1)="R"),LEFT(Table4[[#This Row],[win_prob]],1),LEFT(Table4[[#This Row],[Category]],1))</f>
        <v>R</v>
      </c>
      <c r="J27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7" s="16" t="str">
        <f>RIGHT(Table4[[#This Row],[Margin]],LEN(Table4[[#This Row],[Margin]])-FIND("+",Table4[[#This Row],[Margin]]))</f>
        <v>16</v>
      </c>
      <c r="M277" s="20" t="str">
        <f>IF(Table4[[#This Row],[listedprob]]=1,"called",IF(LEFT(Table4[[#This Row],[Margin]],1)="D",(Table4[[#This Row],[Numeric Margin]]/2+50)/100,(-Table4[[#This Row],[Numeric Margin]]/2+50)/100))</f>
        <v>called</v>
      </c>
      <c r="N277" s="20" t="str">
        <f>IFERROR(IF(Table4[[#This Row],[D 2pv]]="called","called",Table4[[#This Row],[D 2pv]]*Table4[[#This Row],[Percent of votes in% In]]),Table4[[#This Row],[D 2pv]]*0.95)</f>
        <v>called</v>
      </c>
      <c r="O277" s="20" t="str">
        <f>IF(Table4[[#This Row],[D pct]]="called","called",(Table4[[#This Row],[D 2pv]]+$E$7))</f>
        <v>called</v>
      </c>
      <c r="P27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7" s="21" t="str">
        <f>IF(Table4[[#This Row],[D captured of remain]]="called","called",Table4[[#This Row],[D captured of remain]]+Table4[[#This Row],[D pct]])</f>
        <v>called</v>
      </c>
      <c r="R277" s="22" t="str">
        <f>IF(Table4[[#This Row],[Expected D]]=1,"D",IF(Table4[[#This Row],[Expected R]]=1,"R",IF(Table4[[#This Row],[D total]]&gt;=0.5,"D","R")))</f>
        <v>R</v>
      </c>
      <c r="S277" s="22"/>
      <c r="V277" s="4"/>
    </row>
    <row r="278" spans="2:23" x14ac:dyDescent="0.35">
      <c r="B278" s="27">
        <v>269</v>
      </c>
      <c r="C278" s="2" t="s">
        <v>335</v>
      </c>
      <c r="D278" s="2" t="s">
        <v>284</v>
      </c>
      <c r="E278" s="4" t="s">
        <v>28</v>
      </c>
      <c r="F278" s="2" t="s">
        <v>586</v>
      </c>
      <c r="G278" s="4" t="s">
        <v>502</v>
      </c>
      <c r="H27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8" s="2" t="str">
        <f>IF(OR(LEFT(Table4[[#This Row],[win_prob]],1)="D",LEFT(Table4[[#This Row],[win_prob]],1)="R"),LEFT(Table4[[#This Row],[win_prob]],1),LEFT(Table4[[#This Row],[Category]],1))</f>
        <v>R</v>
      </c>
      <c r="J27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8" s="16" t="str">
        <f>RIGHT(Table4[[#This Row],[Margin]],LEN(Table4[[#This Row],[Margin]])-FIND("+",Table4[[#This Row],[Margin]]))</f>
        <v>36</v>
      </c>
      <c r="M278" s="20" t="str">
        <f>IF(Table4[[#This Row],[listedprob]]=1,"called",IF(LEFT(Table4[[#This Row],[Margin]],1)="D",(Table4[[#This Row],[Numeric Margin]]/2+50)/100,(-Table4[[#This Row],[Numeric Margin]]/2+50)/100))</f>
        <v>called</v>
      </c>
      <c r="N278" s="20" t="str">
        <f>IFERROR(IF(Table4[[#This Row],[D 2pv]]="called","called",Table4[[#This Row],[D 2pv]]*Table4[[#This Row],[Percent of votes in% In]]),Table4[[#This Row],[D 2pv]]*0.95)</f>
        <v>called</v>
      </c>
      <c r="O278" s="20" t="str">
        <f>IF(Table4[[#This Row],[D pct]]="called","called",(Table4[[#This Row],[D 2pv]]+$E$7))</f>
        <v>called</v>
      </c>
      <c r="P27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8" s="21" t="str">
        <f>IF(Table4[[#This Row],[D captured of remain]]="called","called",Table4[[#This Row],[D captured of remain]]+Table4[[#This Row],[D pct]])</f>
        <v>called</v>
      </c>
      <c r="R278" s="22" t="str">
        <f>IF(Table4[[#This Row],[Expected D]]=1,"D",IF(Table4[[#This Row],[Expected R]]=1,"R",IF(Table4[[#This Row],[D total]]&gt;=0.5,"D","R")))</f>
        <v>R</v>
      </c>
      <c r="S278" s="22"/>
      <c r="W278" s="4"/>
    </row>
    <row r="279" spans="2:23" x14ac:dyDescent="0.35">
      <c r="B279" s="27">
        <v>270</v>
      </c>
      <c r="C279" s="2" t="s">
        <v>336</v>
      </c>
      <c r="D279" s="2" t="s">
        <v>284</v>
      </c>
      <c r="E279" s="2" t="s">
        <v>28</v>
      </c>
      <c r="F279" s="2" t="s">
        <v>583</v>
      </c>
      <c r="G279" s="4" t="s">
        <v>502</v>
      </c>
      <c r="H27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79" s="2" t="str">
        <f>IF(OR(LEFT(Table4[[#This Row],[win_prob]],1)="D",LEFT(Table4[[#This Row],[win_prob]],1)="R"),LEFT(Table4[[#This Row],[win_prob]],1),LEFT(Table4[[#This Row],[Category]],1))</f>
        <v>R</v>
      </c>
      <c r="J27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7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79" s="16" t="str">
        <f>RIGHT(Table4[[#This Row],[Margin]],LEN(Table4[[#This Row],[Margin]])-FIND("+",Table4[[#This Row],[Margin]]))</f>
        <v>20</v>
      </c>
      <c r="M279" s="20" t="str">
        <f>IF(Table4[[#This Row],[listedprob]]=1,"called",IF(LEFT(Table4[[#This Row],[Margin]],1)="D",(Table4[[#This Row],[Numeric Margin]]/2+50)/100,(-Table4[[#This Row],[Numeric Margin]]/2+50)/100))</f>
        <v>called</v>
      </c>
      <c r="N279" s="20" t="str">
        <f>IFERROR(IF(Table4[[#This Row],[D 2pv]]="called","called",Table4[[#This Row],[D 2pv]]*Table4[[#This Row],[Percent of votes in% In]]),Table4[[#This Row],[D 2pv]]*0.95)</f>
        <v>called</v>
      </c>
      <c r="O279" s="20" t="str">
        <f>IF(Table4[[#This Row],[D pct]]="called","called",(Table4[[#This Row],[D 2pv]]+$E$7))</f>
        <v>called</v>
      </c>
      <c r="P27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79" s="21" t="str">
        <f>IF(Table4[[#This Row],[D captured of remain]]="called","called",Table4[[#This Row],[D captured of remain]]+Table4[[#This Row],[D pct]])</f>
        <v>called</v>
      </c>
      <c r="R279" s="22" t="str">
        <f>IF(Table4[[#This Row],[Expected D]]=1,"D",IF(Table4[[#This Row],[Expected R]]=1,"R",IF(Table4[[#This Row],[D total]]&gt;=0.5,"D","R")))</f>
        <v>R</v>
      </c>
      <c r="S279" s="22"/>
      <c r="W279" s="4"/>
    </row>
    <row r="280" spans="2:23" x14ac:dyDescent="0.35">
      <c r="B280" s="27">
        <v>271</v>
      </c>
      <c r="C280" s="2" t="s">
        <v>337</v>
      </c>
      <c r="D280" s="2" t="s">
        <v>284</v>
      </c>
      <c r="E280" s="2" t="s">
        <v>28</v>
      </c>
      <c r="F280" s="2" t="s">
        <v>587</v>
      </c>
      <c r="G280" s="4" t="s">
        <v>502</v>
      </c>
      <c r="H28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0" s="2" t="str">
        <f>IF(OR(LEFT(Table4[[#This Row],[win_prob]],1)="D",LEFT(Table4[[#This Row],[win_prob]],1)="R"),LEFT(Table4[[#This Row],[win_prob]],1),LEFT(Table4[[#This Row],[Category]],1))</f>
        <v>R</v>
      </c>
      <c r="J28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0" s="16" t="str">
        <f>RIGHT(Table4[[#This Row],[Margin]],LEN(Table4[[#This Row],[Margin]])-FIND("+",Table4[[#This Row],[Margin]]))</f>
        <v>26</v>
      </c>
      <c r="M280" s="20" t="str">
        <f>IF(Table4[[#This Row],[listedprob]]=1,"called",IF(LEFT(Table4[[#This Row],[Margin]],1)="D",(Table4[[#This Row],[Numeric Margin]]/2+50)/100,(-Table4[[#This Row],[Numeric Margin]]/2+50)/100))</f>
        <v>called</v>
      </c>
      <c r="N280" s="20" t="str">
        <f>IFERROR(IF(Table4[[#This Row],[D 2pv]]="called","called",Table4[[#This Row],[D 2pv]]*Table4[[#This Row],[Percent of votes in% In]]),Table4[[#This Row],[D 2pv]]*0.95)</f>
        <v>called</v>
      </c>
      <c r="O280" s="20" t="str">
        <f>IF(Table4[[#This Row],[D pct]]="called","called",(Table4[[#This Row],[D 2pv]]+$E$7))</f>
        <v>called</v>
      </c>
      <c r="P28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0" s="21" t="str">
        <f>IF(Table4[[#This Row],[D captured of remain]]="called","called",Table4[[#This Row],[D captured of remain]]+Table4[[#This Row],[D pct]])</f>
        <v>called</v>
      </c>
      <c r="R280" s="22" t="str">
        <f>IF(Table4[[#This Row],[Expected D]]=1,"D",IF(Table4[[#This Row],[Expected R]]=1,"R",IF(Table4[[#This Row],[D total]]&gt;=0.5,"D","R")))</f>
        <v>R</v>
      </c>
      <c r="S280" s="22"/>
      <c r="V280" s="4"/>
    </row>
    <row r="281" spans="2:23" x14ac:dyDescent="0.35">
      <c r="B281" s="27">
        <v>272</v>
      </c>
      <c r="C281" s="2" t="s">
        <v>338</v>
      </c>
      <c r="D281" s="2" t="s">
        <v>284</v>
      </c>
      <c r="E281" s="4">
        <v>0.92</v>
      </c>
      <c r="F281" s="2" t="s">
        <v>588</v>
      </c>
      <c r="G281" s="4" t="s">
        <v>502</v>
      </c>
      <c r="H28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1" s="2" t="str">
        <f>IF(OR(LEFT(Table4[[#This Row],[win_prob]],1)="D",LEFT(Table4[[#This Row],[win_prob]],1)="R"),LEFT(Table4[[#This Row],[win_prob]],1),LEFT(Table4[[#This Row],[Category]],1))</f>
        <v>R</v>
      </c>
      <c r="J28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1" s="16" t="str">
        <f>RIGHT(Table4[[#This Row],[Margin]],LEN(Table4[[#This Row],[Margin]])-FIND("+",Table4[[#This Row],[Margin]]))</f>
        <v>21</v>
      </c>
      <c r="M281" s="20" t="str">
        <f>IF(Table4[[#This Row],[listedprob]]=1,"called",IF(LEFT(Table4[[#This Row],[Margin]],1)="D",(Table4[[#This Row],[Numeric Margin]]/2+50)/100,(-Table4[[#This Row],[Numeric Margin]]/2+50)/100))</f>
        <v>called</v>
      </c>
      <c r="N281" s="20" t="str">
        <f>IFERROR(IF(Table4[[#This Row],[D 2pv]]="called","called",Table4[[#This Row],[D 2pv]]*Table4[[#This Row],[Percent of votes in% In]]),Table4[[#This Row],[D 2pv]]*0.95)</f>
        <v>called</v>
      </c>
      <c r="O281" s="20" t="str">
        <f>IF(Table4[[#This Row],[D pct]]="called","called",(Table4[[#This Row],[D 2pv]]+$E$7))</f>
        <v>called</v>
      </c>
      <c r="P28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1" s="21" t="str">
        <f>IF(Table4[[#This Row],[D captured of remain]]="called","called",Table4[[#This Row],[D captured of remain]]+Table4[[#This Row],[D pct]])</f>
        <v>called</v>
      </c>
      <c r="R281" s="22" t="str">
        <f>IF(Table4[[#This Row],[Expected D]]=1,"D",IF(Table4[[#This Row],[Expected R]]=1,"R",IF(Table4[[#This Row],[D total]]&gt;=0.5,"D","R")))</f>
        <v>R</v>
      </c>
      <c r="S281" s="22"/>
    </row>
    <row r="282" spans="2:23" x14ac:dyDescent="0.35">
      <c r="B282" s="27">
        <v>273</v>
      </c>
      <c r="C282" s="2" t="s">
        <v>339</v>
      </c>
      <c r="D282" s="2" t="s">
        <v>320</v>
      </c>
      <c r="F282" s="2" t="s">
        <v>577</v>
      </c>
      <c r="G282" s="4" t="s">
        <v>502</v>
      </c>
      <c r="H28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2" s="2" t="str">
        <f>IF(OR(LEFT(Table4[[#This Row],[win_prob]],1)="D",LEFT(Table4[[#This Row],[win_prob]],1)="R"),LEFT(Table4[[#This Row],[win_prob]],1),LEFT(Table4[[#This Row],[Category]],1))</f>
        <v>R</v>
      </c>
      <c r="J28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2" s="16" t="e">
        <f>RIGHT(Table4[[#This Row],[Margin]],LEN(Table4[[#This Row],[Margin]])-FIND("+",Table4[[#This Row],[Margin]]))</f>
        <v>#VALUE!</v>
      </c>
      <c r="M282" s="20" t="str">
        <f>IF(Table4[[#This Row],[listedprob]]=1,"called",IF(LEFT(Table4[[#This Row],[Margin]],1)="D",(Table4[[#This Row],[Numeric Margin]]/2+50)/100,(-Table4[[#This Row],[Numeric Margin]]/2+50)/100))</f>
        <v>called</v>
      </c>
      <c r="N282" s="20" t="str">
        <f>IFERROR(IF(Table4[[#This Row],[D 2pv]]="called","called",Table4[[#This Row],[D 2pv]]*Table4[[#This Row],[Percent of votes in% In]]),Table4[[#This Row],[D 2pv]]*0.95)</f>
        <v>called</v>
      </c>
      <c r="O282" s="20" t="str">
        <f>IF(Table4[[#This Row],[D pct]]="called","called",(Table4[[#This Row],[D 2pv]]+$E$7))</f>
        <v>called</v>
      </c>
      <c r="P28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2" s="21" t="str">
        <f>IF(Table4[[#This Row],[D captured of remain]]="called","called",Table4[[#This Row],[D captured of remain]]+Table4[[#This Row],[D pct]])</f>
        <v>called</v>
      </c>
      <c r="R282" s="22" t="str">
        <f>IF(Table4[[#This Row],[Expected D]]=1,"D",IF(Table4[[#This Row],[Expected R]]=1,"R",IF(Table4[[#This Row],[D total]]&gt;=0.5,"D","R")))</f>
        <v>R</v>
      </c>
      <c r="S282" s="22"/>
      <c r="W282" s="4"/>
    </row>
    <row r="283" spans="2:23" x14ac:dyDescent="0.35">
      <c r="B283" s="27">
        <v>274</v>
      </c>
      <c r="C283" s="2" t="s">
        <v>340</v>
      </c>
      <c r="D283" s="2" t="s">
        <v>284</v>
      </c>
      <c r="E283" s="2" t="s">
        <v>28</v>
      </c>
      <c r="F283" s="2" t="s">
        <v>589</v>
      </c>
      <c r="G283" s="4" t="s">
        <v>502</v>
      </c>
      <c r="H28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3" s="2" t="str">
        <f>IF(OR(LEFT(Table4[[#This Row],[win_prob]],1)="D",LEFT(Table4[[#This Row],[win_prob]],1)="R"),LEFT(Table4[[#This Row],[win_prob]],1),LEFT(Table4[[#This Row],[Category]],1))</f>
        <v>R</v>
      </c>
      <c r="J28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3" s="16" t="str">
        <f>RIGHT(Table4[[#This Row],[Margin]],LEN(Table4[[#This Row],[Margin]])-FIND("+",Table4[[#This Row],[Margin]]))</f>
        <v>51</v>
      </c>
      <c r="M283" s="20" t="str">
        <f>IF(Table4[[#This Row],[listedprob]]=1,"called",IF(LEFT(Table4[[#This Row],[Margin]],1)="D",(Table4[[#This Row],[Numeric Margin]]/2+50)/100,(-Table4[[#This Row],[Numeric Margin]]/2+50)/100))</f>
        <v>called</v>
      </c>
      <c r="N283" s="20" t="str">
        <f>IFERROR(IF(Table4[[#This Row],[D 2pv]]="called","called",Table4[[#This Row],[D 2pv]]*Table4[[#This Row],[Percent of votes in% In]]),Table4[[#This Row],[D 2pv]]*0.95)</f>
        <v>called</v>
      </c>
      <c r="O283" s="20" t="str">
        <f>IF(Table4[[#This Row],[D pct]]="called","called",(Table4[[#This Row],[D 2pv]]+$E$7))</f>
        <v>called</v>
      </c>
      <c r="P28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3" s="21" t="str">
        <f>IF(Table4[[#This Row],[D captured of remain]]="called","called",Table4[[#This Row],[D captured of remain]]+Table4[[#This Row],[D pct]])</f>
        <v>called</v>
      </c>
      <c r="R283" s="22" t="str">
        <f>IF(Table4[[#This Row],[Expected D]]=1,"D",IF(Table4[[#This Row],[Expected R]]=1,"R",IF(Table4[[#This Row],[D total]]&gt;=0.5,"D","R")))</f>
        <v>R</v>
      </c>
      <c r="S283" s="22"/>
      <c r="W283" s="4"/>
    </row>
    <row r="284" spans="2:23" x14ac:dyDescent="0.35">
      <c r="B284" s="27">
        <v>275</v>
      </c>
      <c r="C284" s="2" t="s">
        <v>341</v>
      </c>
      <c r="D284" s="2" t="s">
        <v>284</v>
      </c>
      <c r="E284" s="2" t="s">
        <v>28</v>
      </c>
      <c r="F284" s="2" t="s">
        <v>562</v>
      </c>
      <c r="G284" s="4" t="s">
        <v>502</v>
      </c>
      <c r="H28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4" s="2" t="str">
        <f>IF(OR(LEFT(Table4[[#This Row],[win_prob]],1)="D",LEFT(Table4[[#This Row],[win_prob]],1)="R"),LEFT(Table4[[#This Row],[win_prob]],1),LEFT(Table4[[#This Row],[Category]],1))</f>
        <v>R</v>
      </c>
      <c r="J28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4" s="16" t="str">
        <f>RIGHT(Table4[[#This Row],[Margin]],LEN(Table4[[#This Row],[Margin]])-FIND("+",Table4[[#This Row],[Margin]]))</f>
        <v>17</v>
      </c>
      <c r="M284" s="20" t="str">
        <f>IF(Table4[[#This Row],[listedprob]]=1,"called",IF(LEFT(Table4[[#This Row],[Margin]],1)="D",(Table4[[#This Row],[Numeric Margin]]/2+50)/100,(-Table4[[#This Row],[Numeric Margin]]/2+50)/100))</f>
        <v>called</v>
      </c>
      <c r="N284" s="20" t="str">
        <f>IFERROR(IF(Table4[[#This Row],[D 2pv]]="called","called",Table4[[#This Row],[D 2pv]]*Table4[[#This Row],[Percent of votes in% In]]),Table4[[#This Row],[D 2pv]]*0.95)</f>
        <v>called</v>
      </c>
      <c r="O284" s="20" t="str">
        <f>IF(Table4[[#This Row],[D pct]]="called","called",(Table4[[#This Row],[D 2pv]]+$E$7))</f>
        <v>called</v>
      </c>
      <c r="P28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4" s="21" t="str">
        <f>IF(Table4[[#This Row],[D captured of remain]]="called","called",Table4[[#This Row],[D captured of remain]]+Table4[[#This Row],[D pct]])</f>
        <v>called</v>
      </c>
      <c r="R284" s="22" t="str">
        <f>IF(Table4[[#This Row],[Expected D]]=1,"D",IF(Table4[[#This Row],[Expected R]]=1,"R",IF(Table4[[#This Row],[D total]]&gt;=0.5,"D","R")))</f>
        <v>R</v>
      </c>
      <c r="S284" s="22"/>
    </row>
    <row r="285" spans="2:23" x14ac:dyDescent="0.35">
      <c r="B285" s="27">
        <v>276</v>
      </c>
      <c r="C285" s="2" t="s">
        <v>342</v>
      </c>
      <c r="D285" s="2" t="s">
        <v>284</v>
      </c>
      <c r="E285" s="2" t="s">
        <v>28</v>
      </c>
      <c r="F285" s="2" t="s">
        <v>590</v>
      </c>
      <c r="G285" s="4" t="s">
        <v>502</v>
      </c>
      <c r="H28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5" s="2" t="str">
        <f>IF(OR(LEFT(Table4[[#This Row],[win_prob]],1)="D",LEFT(Table4[[#This Row],[win_prob]],1)="R"),LEFT(Table4[[#This Row],[win_prob]],1),LEFT(Table4[[#This Row],[Category]],1))</f>
        <v>R</v>
      </c>
      <c r="J28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5" s="16" t="str">
        <f>RIGHT(Table4[[#This Row],[Margin]],LEN(Table4[[#This Row],[Margin]])-FIND("+",Table4[[#This Row],[Margin]]))</f>
        <v>30</v>
      </c>
      <c r="M285" s="20" t="str">
        <f>IF(Table4[[#This Row],[listedprob]]=1,"called",IF(LEFT(Table4[[#This Row],[Margin]],1)="D",(Table4[[#This Row],[Numeric Margin]]/2+50)/100,(-Table4[[#This Row],[Numeric Margin]]/2+50)/100))</f>
        <v>called</v>
      </c>
      <c r="N285" s="20" t="str">
        <f>IFERROR(IF(Table4[[#This Row],[D 2pv]]="called","called",Table4[[#This Row],[D 2pv]]*Table4[[#This Row],[Percent of votes in% In]]),Table4[[#This Row],[D 2pv]]*0.95)</f>
        <v>called</v>
      </c>
      <c r="O285" s="20" t="str">
        <f>IF(Table4[[#This Row],[D pct]]="called","called",(Table4[[#This Row],[D 2pv]]+$E$7))</f>
        <v>called</v>
      </c>
      <c r="P28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5" s="21" t="str">
        <f>IF(Table4[[#This Row],[D captured of remain]]="called","called",Table4[[#This Row],[D captured of remain]]+Table4[[#This Row],[D pct]])</f>
        <v>called</v>
      </c>
      <c r="R285" s="22" t="str">
        <f>IF(Table4[[#This Row],[Expected D]]=1,"D",IF(Table4[[#This Row],[Expected R]]=1,"R",IF(Table4[[#This Row],[D total]]&gt;=0.5,"D","R")))</f>
        <v>R</v>
      </c>
      <c r="S285" s="22"/>
    </row>
    <row r="286" spans="2:23" x14ac:dyDescent="0.35">
      <c r="B286" s="27">
        <v>277</v>
      </c>
      <c r="C286" s="2" t="s">
        <v>343</v>
      </c>
      <c r="D286" s="2" t="s">
        <v>284</v>
      </c>
      <c r="E286" s="2" t="s">
        <v>28</v>
      </c>
      <c r="F286" s="2" t="s">
        <v>591</v>
      </c>
      <c r="G286" s="4" t="s">
        <v>502</v>
      </c>
      <c r="H28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6" s="2" t="str">
        <f>IF(OR(LEFT(Table4[[#This Row],[win_prob]],1)="D",LEFT(Table4[[#This Row],[win_prob]],1)="R"),LEFT(Table4[[#This Row],[win_prob]],1),LEFT(Table4[[#This Row],[Category]],1))</f>
        <v>R</v>
      </c>
      <c r="J28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6" s="16" t="str">
        <f>RIGHT(Table4[[#This Row],[Margin]],LEN(Table4[[#This Row],[Margin]])-FIND("+",Table4[[#This Row],[Margin]]))</f>
        <v>28</v>
      </c>
      <c r="M286" s="20" t="str">
        <f>IF(Table4[[#This Row],[listedprob]]=1,"called",IF(LEFT(Table4[[#This Row],[Margin]],1)="D",(Table4[[#This Row],[Numeric Margin]]/2+50)/100,(-Table4[[#This Row],[Numeric Margin]]/2+50)/100))</f>
        <v>called</v>
      </c>
      <c r="N286" s="20" t="str">
        <f>IFERROR(IF(Table4[[#This Row],[D 2pv]]="called","called",Table4[[#This Row],[D 2pv]]*Table4[[#This Row],[Percent of votes in% In]]),Table4[[#This Row],[D 2pv]]*0.95)</f>
        <v>called</v>
      </c>
      <c r="O286" s="20" t="str">
        <f>IF(Table4[[#This Row],[D pct]]="called","called",(Table4[[#This Row],[D 2pv]]+$E$7))</f>
        <v>called</v>
      </c>
      <c r="P28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6" s="21" t="str">
        <f>IF(Table4[[#This Row],[D captured of remain]]="called","called",Table4[[#This Row],[D captured of remain]]+Table4[[#This Row],[D pct]])</f>
        <v>called</v>
      </c>
      <c r="R286" s="22" t="str">
        <f>IF(Table4[[#This Row],[Expected D]]=1,"D",IF(Table4[[#This Row],[Expected R]]=1,"R",IF(Table4[[#This Row],[D total]]&gt;=0.5,"D","R")))</f>
        <v>R</v>
      </c>
      <c r="S286" s="22"/>
    </row>
    <row r="287" spans="2:23" x14ac:dyDescent="0.35">
      <c r="B287" s="27">
        <v>278</v>
      </c>
      <c r="C287" s="2" t="s">
        <v>344</v>
      </c>
      <c r="D287" s="2" t="s">
        <v>284</v>
      </c>
      <c r="E287" s="2" t="s">
        <v>28</v>
      </c>
      <c r="F287" s="2" t="s">
        <v>592</v>
      </c>
      <c r="G287" s="4" t="s">
        <v>502</v>
      </c>
      <c r="H28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7" s="2" t="str">
        <f>IF(OR(LEFT(Table4[[#This Row],[win_prob]],1)="D",LEFT(Table4[[#This Row],[win_prob]],1)="R"),LEFT(Table4[[#This Row],[win_prob]],1),LEFT(Table4[[#This Row],[Category]],1))</f>
        <v>R</v>
      </c>
      <c r="J28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7" s="16" t="str">
        <f>RIGHT(Table4[[#This Row],[Margin]],LEN(Table4[[#This Row],[Margin]])-FIND("+",Table4[[#This Row],[Margin]]))</f>
        <v>41</v>
      </c>
      <c r="M287" s="20" t="str">
        <f>IF(Table4[[#This Row],[listedprob]]=1,"called",IF(LEFT(Table4[[#This Row],[Margin]],1)="D",(Table4[[#This Row],[Numeric Margin]]/2+50)/100,(-Table4[[#This Row],[Numeric Margin]]/2+50)/100))</f>
        <v>called</v>
      </c>
      <c r="N287" s="20" t="str">
        <f>IFERROR(IF(Table4[[#This Row],[D 2pv]]="called","called",Table4[[#This Row],[D 2pv]]*Table4[[#This Row],[Percent of votes in% In]]),Table4[[#This Row],[D 2pv]]*0.95)</f>
        <v>called</v>
      </c>
      <c r="O287" s="20" t="str">
        <f>IF(Table4[[#This Row],[D pct]]="called","called",(Table4[[#This Row],[D 2pv]]+$E$7))</f>
        <v>called</v>
      </c>
      <c r="P28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7" s="21" t="str">
        <f>IF(Table4[[#This Row],[D captured of remain]]="called","called",Table4[[#This Row],[D captured of remain]]+Table4[[#This Row],[D pct]])</f>
        <v>called</v>
      </c>
      <c r="R287" s="22" t="str">
        <f>IF(Table4[[#This Row],[Expected D]]=1,"D",IF(Table4[[#This Row],[Expected R]]=1,"R",IF(Table4[[#This Row],[D total]]&gt;=0.5,"D","R")))</f>
        <v>R</v>
      </c>
      <c r="S287" s="22"/>
    </row>
    <row r="288" spans="2:23" x14ac:dyDescent="0.35">
      <c r="B288" s="27">
        <v>279</v>
      </c>
      <c r="C288" s="2" t="s">
        <v>345</v>
      </c>
      <c r="D288" s="2" t="s">
        <v>284</v>
      </c>
      <c r="E288" s="2" t="s">
        <v>28</v>
      </c>
      <c r="F288" s="2" t="s">
        <v>567</v>
      </c>
      <c r="G288" s="4" t="s">
        <v>502</v>
      </c>
      <c r="H28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8" s="2" t="str">
        <f>IF(OR(LEFT(Table4[[#This Row],[win_prob]],1)="D",LEFT(Table4[[#This Row],[win_prob]],1)="R"),LEFT(Table4[[#This Row],[win_prob]],1),LEFT(Table4[[#This Row],[Category]],1))</f>
        <v>R</v>
      </c>
      <c r="J28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8" s="16" t="str">
        <f>RIGHT(Table4[[#This Row],[Margin]],LEN(Table4[[#This Row],[Margin]])-FIND("+",Table4[[#This Row],[Margin]]))</f>
        <v>24</v>
      </c>
      <c r="M288" s="20" t="str">
        <f>IF(Table4[[#This Row],[listedprob]]=1,"called",IF(LEFT(Table4[[#This Row],[Margin]],1)="D",(Table4[[#This Row],[Numeric Margin]]/2+50)/100,(-Table4[[#This Row],[Numeric Margin]]/2+50)/100))</f>
        <v>called</v>
      </c>
      <c r="N288" s="20" t="str">
        <f>IFERROR(IF(Table4[[#This Row],[D 2pv]]="called","called",Table4[[#This Row],[D 2pv]]*Table4[[#This Row],[Percent of votes in% In]]),Table4[[#This Row],[D 2pv]]*0.95)</f>
        <v>called</v>
      </c>
      <c r="O288" s="20" t="str">
        <f>IF(Table4[[#This Row],[D pct]]="called","called",(Table4[[#This Row],[D 2pv]]+$E$7))</f>
        <v>called</v>
      </c>
      <c r="P28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8" s="21" t="str">
        <f>IF(Table4[[#This Row],[D captured of remain]]="called","called",Table4[[#This Row],[D captured of remain]]+Table4[[#This Row],[D pct]])</f>
        <v>called</v>
      </c>
      <c r="R288" s="22" t="str">
        <f>IF(Table4[[#This Row],[Expected D]]=1,"D",IF(Table4[[#This Row],[Expected R]]=1,"R",IF(Table4[[#This Row],[D total]]&gt;=0.5,"D","R")))</f>
        <v>R</v>
      </c>
      <c r="S288" s="22"/>
    </row>
    <row r="289" spans="2:22" x14ac:dyDescent="0.35">
      <c r="B289" s="27">
        <v>280</v>
      </c>
      <c r="C289" s="2" t="s">
        <v>346</v>
      </c>
      <c r="D289" s="2" t="s">
        <v>284</v>
      </c>
      <c r="E289" s="2" t="s">
        <v>28</v>
      </c>
      <c r="F289" s="2" t="s">
        <v>591</v>
      </c>
      <c r="G289" s="4" t="s">
        <v>502</v>
      </c>
      <c r="H28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89" s="2" t="str">
        <f>IF(OR(LEFT(Table4[[#This Row],[win_prob]],1)="D",LEFT(Table4[[#This Row],[win_prob]],1)="R"),LEFT(Table4[[#This Row],[win_prob]],1),LEFT(Table4[[#This Row],[Category]],1))</f>
        <v>R</v>
      </c>
      <c r="J28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8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89" s="16" t="str">
        <f>RIGHT(Table4[[#This Row],[Margin]],LEN(Table4[[#This Row],[Margin]])-FIND("+",Table4[[#This Row],[Margin]]))</f>
        <v>28</v>
      </c>
      <c r="M289" s="20" t="str">
        <f>IF(Table4[[#This Row],[listedprob]]=1,"called",IF(LEFT(Table4[[#This Row],[Margin]],1)="D",(Table4[[#This Row],[Numeric Margin]]/2+50)/100,(-Table4[[#This Row],[Numeric Margin]]/2+50)/100))</f>
        <v>called</v>
      </c>
      <c r="N289" s="20" t="str">
        <f>IFERROR(IF(Table4[[#This Row],[D 2pv]]="called","called",Table4[[#This Row],[D 2pv]]*Table4[[#This Row],[Percent of votes in% In]]),Table4[[#This Row],[D 2pv]]*0.95)</f>
        <v>called</v>
      </c>
      <c r="O289" s="20" t="str">
        <f>IF(Table4[[#This Row],[D pct]]="called","called",(Table4[[#This Row],[D 2pv]]+$E$7))</f>
        <v>called</v>
      </c>
      <c r="P28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89" s="21" t="str">
        <f>IF(Table4[[#This Row],[D captured of remain]]="called","called",Table4[[#This Row],[D captured of remain]]+Table4[[#This Row],[D pct]])</f>
        <v>called</v>
      </c>
      <c r="R289" s="22" t="str">
        <f>IF(Table4[[#This Row],[Expected D]]=1,"D",IF(Table4[[#This Row],[Expected R]]=1,"R",IF(Table4[[#This Row],[D total]]&gt;=0.5,"D","R")))</f>
        <v>R</v>
      </c>
      <c r="S289" s="22"/>
    </row>
    <row r="290" spans="2:22" x14ac:dyDescent="0.35">
      <c r="B290" s="27">
        <v>281</v>
      </c>
      <c r="C290" s="2" t="s">
        <v>347</v>
      </c>
      <c r="D290" s="2" t="s">
        <v>284</v>
      </c>
      <c r="E290" s="2" t="s">
        <v>28</v>
      </c>
      <c r="F290" s="2" t="s">
        <v>578</v>
      </c>
      <c r="G290" s="4" t="s">
        <v>502</v>
      </c>
      <c r="H29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0" s="2" t="str">
        <f>IF(OR(LEFT(Table4[[#This Row],[win_prob]],1)="D",LEFT(Table4[[#This Row],[win_prob]],1)="R"),LEFT(Table4[[#This Row],[win_prob]],1),LEFT(Table4[[#This Row],[Category]],1))</f>
        <v>R</v>
      </c>
      <c r="J29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0" s="16" t="str">
        <f>RIGHT(Table4[[#This Row],[Margin]],LEN(Table4[[#This Row],[Margin]])-FIND("+",Table4[[#This Row],[Margin]]))</f>
        <v>49</v>
      </c>
      <c r="M290" s="20" t="str">
        <f>IF(Table4[[#This Row],[listedprob]]=1,"called",IF(LEFT(Table4[[#This Row],[Margin]],1)="D",(Table4[[#This Row],[Numeric Margin]]/2+50)/100,(-Table4[[#This Row],[Numeric Margin]]/2+50)/100))</f>
        <v>called</v>
      </c>
      <c r="N290" s="20" t="str">
        <f>IFERROR(IF(Table4[[#This Row],[D 2pv]]="called","called",Table4[[#This Row],[D 2pv]]*Table4[[#This Row],[Percent of votes in% In]]),Table4[[#This Row],[D 2pv]]*0.95)</f>
        <v>called</v>
      </c>
      <c r="O290" s="20" t="str">
        <f>IF(Table4[[#This Row],[D pct]]="called","called",(Table4[[#This Row],[D 2pv]]+$E$7))</f>
        <v>called</v>
      </c>
      <c r="P29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0" s="21" t="str">
        <f>IF(Table4[[#This Row],[D captured of remain]]="called","called",Table4[[#This Row],[D captured of remain]]+Table4[[#This Row],[D pct]])</f>
        <v>called</v>
      </c>
      <c r="R290" s="22" t="str">
        <f>IF(Table4[[#This Row],[Expected D]]=1,"D",IF(Table4[[#This Row],[Expected R]]=1,"R",IF(Table4[[#This Row],[D total]]&gt;=0.5,"D","R")))</f>
        <v>R</v>
      </c>
      <c r="S290" s="22"/>
    </row>
    <row r="291" spans="2:22" x14ac:dyDescent="0.35">
      <c r="B291" s="27">
        <v>282</v>
      </c>
      <c r="C291" s="2" t="s">
        <v>348</v>
      </c>
      <c r="D291" s="2" t="s">
        <v>284</v>
      </c>
      <c r="E291" s="2" t="s">
        <v>28</v>
      </c>
      <c r="F291" s="2" t="s">
        <v>586</v>
      </c>
      <c r="G291" s="4" t="s">
        <v>502</v>
      </c>
      <c r="H29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1" s="2" t="str">
        <f>IF(OR(LEFT(Table4[[#This Row],[win_prob]],1)="D",LEFT(Table4[[#This Row],[win_prob]],1)="R"),LEFT(Table4[[#This Row],[win_prob]],1),LEFT(Table4[[#This Row],[Category]],1))</f>
        <v>R</v>
      </c>
      <c r="J29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1" s="16" t="str">
        <f>RIGHT(Table4[[#This Row],[Margin]],LEN(Table4[[#This Row],[Margin]])-FIND("+",Table4[[#This Row],[Margin]]))</f>
        <v>36</v>
      </c>
      <c r="M291" s="20" t="str">
        <f>IF(Table4[[#This Row],[listedprob]]=1,"called",IF(LEFT(Table4[[#This Row],[Margin]],1)="D",(Table4[[#This Row],[Numeric Margin]]/2+50)/100,(-Table4[[#This Row],[Numeric Margin]]/2+50)/100))</f>
        <v>called</v>
      </c>
      <c r="N291" s="20" t="str">
        <f>IFERROR(IF(Table4[[#This Row],[D 2pv]]="called","called",Table4[[#This Row],[D 2pv]]*Table4[[#This Row],[Percent of votes in% In]]),Table4[[#This Row],[D 2pv]]*0.95)</f>
        <v>called</v>
      </c>
      <c r="O291" s="20" t="str">
        <f>IF(Table4[[#This Row],[D pct]]="called","called",(Table4[[#This Row],[D 2pv]]+$E$7))</f>
        <v>called</v>
      </c>
      <c r="P29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1" s="21" t="str">
        <f>IF(Table4[[#This Row],[D captured of remain]]="called","called",Table4[[#This Row],[D captured of remain]]+Table4[[#This Row],[D pct]])</f>
        <v>called</v>
      </c>
      <c r="R291" s="22" t="str">
        <f>IF(Table4[[#This Row],[Expected D]]=1,"D",IF(Table4[[#This Row],[Expected R]]=1,"R",IF(Table4[[#This Row],[D total]]&gt;=0.5,"D","R")))</f>
        <v>R</v>
      </c>
      <c r="S291" s="22"/>
    </row>
    <row r="292" spans="2:22" x14ac:dyDescent="0.35">
      <c r="B292" s="27">
        <v>283</v>
      </c>
      <c r="C292" s="2" t="s">
        <v>349</v>
      </c>
      <c r="D292" s="2" t="s">
        <v>284</v>
      </c>
      <c r="E292" s="2" t="s">
        <v>28</v>
      </c>
      <c r="F292" s="2" t="s">
        <v>593</v>
      </c>
      <c r="G292" s="4" t="s">
        <v>502</v>
      </c>
      <c r="H29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2" s="2" t="str">
        <f>IF(OR(LEFT(Table4[[#This Row],[win_prob]],1)="D",LEFT(Table4[[#This Row],[win_prob]],1)="R"),LEFT(Table4[[#This Row],[win_prob]],1),LEFT(Table4[[#This Row],[Category]],1))</f>
        <v>R</v>
      </c>
      <c r="J29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2" s="16" t="str">
        <f>RIGHT(Table4[[#This Row],[Margin]],LEN(Table4[[#This Row],[Margin]])-FIND("+",Table4[[#This Row],[Margin]]))</f>
        <v>27</v>
      </c>
      <c r="M292" s="20" t="str">
        <f>IF(Table4[[#This Row],[listedprob]]=1,"called",IF(LEFT(Table4[[#This Row],[Margin]],1)="D",(Table4[[#This Row],[Numeric Margin]]/2+50)/100,(-Table4[[#This Row],[Numeric Margin]]/2+50)/100))</f>
        <v>called</v>
      </c>
      <c r="N292" s="20" t="str">
        <f>IFERROR(IF(Table4[[#This Row],[D 2pv]]="called","called",Table4[[#This Row],[D 2pv]]*Table4[[#This Row],[Percent of votes in% In]]),Table4[[#This Row],[D 2pv]]*0.95)</f>
        <v>called</v>
      </c>
      <c r="O292" s="20" t="str">
        <f>IF(Table4[[#This Row],[D pct]]="called","called",(Table4[[#This Row],[D 2pv]]+$E$7))</f>
        <v>called</v>
      </c>
      <c r="P29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2" s="21" t="str">
        <f>IF(Table4[[#This Row],[D captured of remain]]="called","called",Table4[[#This Row],[D captured of remain]]+Table4[[#This Row],[D pct]])</f>
        <v>called</v>
      </c>
      <c r="R292" s="22" t="str">
        <f>IF(Table4[[#This Row],[Expected D]]=1,"D",IF(Table4[[#This Row],[Expected R]]=1,"R",IF(Table4[[#This Row],[D total]]&gt;=0.5,"D","R")))</f>
        <v>R</v>
      </c>
      <c r="S292" s="22"/>
    </row>
    <row r="293" spans="2:22" x14ac:dyDescent="0.35">
      <c r="B293" s="27">
        <v>284</v>
      </c>
      <c r="C293" s="2" t="s">
        <v>350</v>
      </c>
      <c r="D293" s="2" t="s">
        <v>284</v>
      </c>
      <c r="E293" s="2" t="s">
        <v>28</v>
      </c>
      <c r="F293" s="2" t="s">
        <v>594</v>
      </c>
      <c r="G293" s="4" t="s">
        <v>502</v>
      </c>
      <c r="H29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3" s="2" t="str">
        <f>IF(OR(LEFT(Table4[[#This Row],[win_prob]],1)="D",LEFT(Table4[[#This Row],[win_prob]],1)="R"),LEFT(Table4[[#This Row],[win_prob]],1),LEFT(Table4[[#This Row],[Category]],1))</f>
        <v>R</v>
      </c>
      <c r="J29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3" s="16" t="str">
        <f>RIGHT(Table4[[#This Row],[Margin]],LEN(Table4[[#This Row],[Margin]])-FIND("+",Table4[[#This Row],[Margin]]))</f>
        <v>42</v>
      </c>
      <c r="M293" s="20" t="str">
        <f>IF(Table4[[#This Row],[listedprob]]=1,"called",IF(LEFT(Table4[[#This Row],[Margin]],1)="D",(Table4[[#This Row],[Numeric Margin]]/2+50)/100,(-Table4[[#This Row],[Numeric Margin]]/2+50)/100))</f>
        <v>called</v>
      </c>
      <c r="N293" s="20" t="str">
        <f>IFERROR(IF(Table4[[#This Row],[D 2pv]]="called","called",Table4[[#This Row],[D 2pv]]*Table4[[#This Row],[Percent of votes in% In]]),Table4[[#This Row],[D 2pv]]*0.95)</f>
        <v>called</v>
      </c>
      <c r="O293" s="20" t="str">
        <f>IF(Table4[[#This Row],[D pct]]="called","called",(Table4[[#This Row],[D 2pv]]+$E$7))</f>
        <v>called</v>
      </c>
      <c r="P29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3" s="21" t="str">
        <f>IF(Table4[[#This Row],[D captured of remain]]="called","called",Table4[[#This Row],[D captured of remain]]+Table4[[#This Row],[D pct]])</f>
        <v>called</v>
      </c>
      <c r="R293" s="22" t="str">
        <f>IF(Table4[[#This Row],[Expected D]]=1,"D",IF(Table4[[#This Row],[Expected R]]=1,"R",IF(Table4[[#This Row],[D total]]&gt;=0.5,"D","R")))</f>
        <v>R</v>
      </c>
      <c r="S293" s="22"/>
      <c r="V293" s="4"/>
    </row>
    <row r="294" spans="2:22" x14ac:dyDescent="0.35">
      <c r="B294" s="27">
        <v>285</v>
      </c>
      <c r="C294" s="2" t="s">
        <v>351</v>
      </c>
      <c r="D294" s="2" t="s">
        <v>284</v>
      </c>
      <c r="E294" s="4" t="s">
        <v>28</v>
      </c>
      <c r="F294" s="2" t="s">
        <v>593</v>
      </c>
      <c r="G294" s="4" t="s">
        <v>502</v>
      </c>
      <c r="H29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4" s="2" t="str">
        <f>IF(OR(LEFT(Table4[[#This Row],[win_prob]],1)="D",LEFT(Table4[[#This Row],[win_prob]],1)="R"),LEFT(Table4[[#This Row],[win_prob]],1),LEFT(Table4[[#This Row],[Category]],1))</f>
        <v>R</v>
      </c>
      <c r="J29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4" s="16" t="str">
        <f>RIGHT(Table4[[#This Row],[Margin]],LEN(Table4[[#This Row],[Margin]])-FIND("+",Table4[[#This Row],[Margin]]))</f>
        <v>27</v>
      </c>
      <c r="M294" s="20" t="str">
        <f>IF(Table4[[#This Row],[listedprob]]=1,"called",IF(LEFT(Table4[[#This Row],[Margin]],1)="D",(Table4[[#This Row],[Numeric Margin]]/2+50)/100,(-Table4[[#This Row],[Numeric Margin]]/2+50)/100))</f>
        <v>called</v>
      </c>
      <c r="N294" s="20" t="str">
        <f>IFERROR(IF(Table4[[#This Row],[D 2pv]]="called","called",Table4[[#This Row],[D 2pv]]*Table4[[#This Row],[Percent of votes in% In]]),Table4[[#This Row],[D 2pv]]*0.95)</f>
        <v>called</v>
      </c>
      <c r="O294" s="20" t="str">
        <f>IF(Table4[[#This Row],[D pct]]="called","called",(Table4[[#This Row],[D 2pv]]+$E$7))</f>
        <v>called</v>
      </c>
      <c r="P29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4" s="21" t="str">
        <f>IF(Table4[[#This Row],[D captured of remain]]="called","called",Table4[[#This Row],[D captured of remain]]+Table4[[#This Row],[D pct]])</f>
        <v>called</v>
      </c>
      <c r="R294" s="22" t="str">
        <f>IF(Table4[[#This Row],[Expected D]]=1,"D",IF(Table4[[#This Row],[Expected R]]=1,"R",IF(Table4[[#This Row],[D total]]&gt;=0.5,"D","R")))</f>
        <v>R</v>
      </c>
      <c r="S294" s="22"/>
    </row>
    <row r="295" spans="2:22" x14ac:dyDescent="0.35">
      <c r="B295" s="27">
        <v>286</v>
      </c>
      <c r="C295" s="2" t="s">
        <v>352</v>
      </c>
      <c r="D295" s="2" t="s">
        <v>284</v>
      </c>
      <c r="E295" s="2" t="s">
        <v>28</v>
      </c>
      <c r="F295" s="2" t="s">
        <v>560</v>
      </c>
      <c r="G295" s="4" t="s">
        <v>502</v>
      </c>
      <c r="H29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5" s="2" t="str">
        <f>IF(OR(LEFT(Table4[[#This Row],[win_prob]],1)="D",LEFT(Table4[[#This Row],[win_prob]],1)="R"),LEFT(Table4[[#This Row],[win_prob]],1),LEFT(Table4[[#This Row],[Category]],1))</f>
        <v>R</v>
      </c>
      <c r="J29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5" s="16" t="str">
        <f>RIGHT(Table4[[#This Row],[Margin]],LEN(Table4[[#This Row],[Margin]])-FIND("+",Table4[[#This Row],[Margin]]))</f>
        <v>18</v>
      </c>
      <c r="M295" s="20" t="str">
        <f>IF(Table4[[#This Row],[listedprob]]=1,"called",IF(LEFT(Table4[[#This Row],[Margin]],1)="D",(Table4[[#This Row],[Numeric Margin]]/2+50)/100,(-Table4[[#This Row],[Numeric Margin]]/2+50)/100))</f>
        <v>called</v>
      </c>
      <c r="N295" s="20" t="str">
        <f>IFERROR(IF(Table4[[#This Row],[D 2pv]]="called","called",Table4[[#This Row],[D 2pv]]*Table4[[#This Row],[Percent of votes in% In]]),Table4[[#This Row],[D 2pv]]*0.95)</f>
        <v>called</v>
      </c>
      <c r="O295" s="20" t="str">
        <f>IF(Table4[[#This Row],[D pct]]="called","called",(Table4[[#This Row],[D 2pv]]+$E$7))</f>
        <v>called</v>
      </c>
      <c r="P29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5" s="21" t="str">
        <f>IF(Table4[[#This Row],[D captured of remain]]="called","called",Table4[[#This Row],[D captured of remain]]+Table4[[#This Row],[D pct]])</f>
        <v>called</v>
      </c>
      <c r="R295" s="22" t="str">
        <f>IF(Table4[[#This Row],[Expected D]]=1,"D",IF(Table4[[#This Row],[Expected R]]=1,"R",IF(Table4[[#This Row],[D total]]&gt;=0.5,"D","R")))</f>
        <v>R</v>
      </c>
      <c r="S295" s="22"/>
      <c r="V295" s="4"/>
    </row>
    <row r="296" spans="2:22" x14ac:dyDescent="0.35">
      <c r="B296" s="27">
        <v>287</v>
      </c>
      <c r="C296" s="2" t="s">
        <v>353</v>
      </c>
      <c r="D296" s="2" t="s">
        <v>284</v>
      </c>
      <c r="E296" s="4" t="s">
        <v>28</v>
      </c>
      <c r="F296" s="2" t="s">
        <v>575</v>
      </c>
      <c r="G296" s="4" t="s">
        <v>502</v>
      </c>
      <c r="H29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6" s="2" t="str">
        <f>IF(OR(LEFT(Table4[[#This Row],[win_prob]],1)="D",LEFT(Table4[[#This Row],[win_prob]],1)="R"),LEFT(Table4[[#This Row],[win_prob]],1),LEFT(Table4[[#This Row],[Category]],1))</f>
        <v>R</v>
      </c>
      <c r="J29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6" s="16" t="str">
        <f>RIGHT(Table4[[#This Row],[Margin]],LEN(Table4[[#This Row],[Margin]])-FIND("+",Table4[[#This Row],[Margin]]))</f>
        <v>38</v>
      </c>
      <c r="M296" s="20" t="str">
        <f>IF(Table4[[#This Row],[listedprob]]=1,"called",IF(LEFT(Table4[[#This Row],[Margin]],1)="D",(Table4[[#This Row],[Numeric Margin]]/2+50)/100,(-Table4[[#This Row],[Numeric Margin]]/2+50)/100))</f>
        <v>called</v>
      </c>
      <c r="N296" s="20" t="str">
        <f>IFERROR(IF(Table4[[#This Row],[D 2pv]]="called","called",Table4[[#This Row],[D 2pv]]*Table4[[#This Row],[Percent of votes in% In]]),Table4[[#This Row],[D 2pv]]*0.95)</f>
        <v>called</v>
      </c>
      <c r="O296" s="20" t="str">
        <f>IF(Table4[[#This Row],[D pct]]="called","called",(Table4[[#This Row],[D 2pv]]+$E$7))</f>
        <v>called</v>
      </c>
      <c r="P29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6" s="21" t="str">
        <f>IF(Table4[[#This Row],[D captured of remain]]="called","called",Table4[[#This Row],[D captured of remain]]+Table4[[#This Row],[D pct]])</f>
        <v>called</v>
      </c>
      <c r="R296" s="22" t="str">
        <f>IF(Table4[[#This Row],[Expected D]]=1,"D",IF(Table4[[#This Row],[Expected R]]=1,"R",IF(Table4[[#This Row],[D total]]&gt;=0.5,"D","R")))</f>
        <v>R</v>
      </c>
      <c r="S296" s="22"/>
      <c r="V296" s="4"/>
    </row>
    <row r="297" spans="2:22" x14ac:dyDescent="0.35">
      <c r="B297" s="27">
        <v>288</v>
      </c>
      <c r="C297" s="2" t="s">
        <v>354</v>
      </c>
      <c r="D297" s="2" t="s">
        <v>284</v>
      </c>
      <c r="E297" s="4" t="s">
        <v>28</v>
      </c>
      <c r="F297" s="2" t="s">
        <v>567</v>
      </c>
      <c r="G297" s="4" t="s">
        <v>502</v>
      </c>
      <c r="H29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7" s="2" t="str">
        <f>IF(OR(LEFT(Table4[[#This Row],[win_prob]],1)="D",LEFT(Table4[[#This Row],[win_prob]],1)="R"),LEFT(Table4[[#This Row],[win_prob]],1),LEFT(Table4[[#This Row],[Category]],1))</f>
        <v>R</v>
      </c>
      <c r="J29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7" s="16" t="str">
        <f>RIGHT(Table4[[#This Row],[Margin]],LEN(Table4[[#This Row],[Margin]])-FIND("+",Table4[[#This Row],[Margin]]))</f>
        <v>24</v>
      </c>
      <c r="M297" s="20" t="str">
        <f>IF(Table4[[#This Row],[listedprob]]=1,"called",IF(LEFT(Table4[[#This Row],[Margin]],1)="D",(Table4[[#This Row],[Numeric Margin]]/2+50)/100,(-Table4[[#This Row],[Numeric Margin]]/2+50)/100))</f>
        <v>called</v>
      </c>
      <c r="N297" s="20" t="str">
        <f>IFERROR(IF(Table4[[#This Row],[D 2pv]]="called","called",Table4[[#This Row],[D 2pv]]*Table4[[#This Row],[Percent of votes in% In]]),Table4[[#This Row],[D 2pv]]*0.95)</f>
        <v>called</v>
      </c>
      <c r="O297" s="20" t="str">
        <f>IF(Table4[[#This Row],[D pct]]="called","called",(Table4[[#This Row],[D 2pv]]+$E$7))</f>
        <v>called</v>
      </c>
      <c r="P29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7" s="21" t="str">
        <f>IF(Table4[[#This Row],[D captured of remain]]="called","called",Table4[[#This Row],[D captured of remain]]+Table4[[#This Row],[D pct]])</f>
        <v>called</v>
      </c>
      <c r="R297" s="22" t="str">
        <f>IF(Table4[[#This Row],[Expected D]]=1,"D",IF(Table4[[#This Row],[Expected R]]=1,"R",IF(Table4[[#This Row],[D total]]&gt;=0.5,"D","R")))</f>
        <v>R</v>
      </c>
      <c r="S297" s="22"/>
      <c r="V297" s="4"/>
    </row>
    <row r="298" spans="2:22" x14ac:dyDescent="0.35">
      <c r="B298" s="27">
        <v>289</v>
      </c>
      <c r="C298" s="2" t="s">
        <v>355</v>
      </c>
      <c r="D298" s="2" t="s">
        <v>284</v>
      </c>
      <c r="E298" s="4" t="s">
        <v>28</v>
      </c>
      <c r="F298" s="2" t="s">
        <v>595</v>
      </c>
      <c r="G298" s="4" t="s">
        <v>502</v>
      </c>
      <c r="H29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8" s="2" t="str">
        <f>IF(OR(LEFT(Table4[[#This Row],[win_prob]],1)="D",LEFT(Table4[[#This Row],[win_prob]],1)="R"),LEFT(Table4[[#This Row],[win_prob]],1),LEFT(Table4[[#This Row],[Category]],1))</f>
        <v>R</v>
      </c>
      <c r="J29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8" s="16" t="str">
        <f>RIGHT(Table4[[#This Row],[Margin]],LEN(Table4[[#This Row],[Margin]])-FIND("+",Table4[[#This Row],[Margin]]))</f>
        <v>37</v>
      </c>
      <c r="M298" s="20" t="str">
        <f>IF(Table4[[#This Row],[listedprob]]=1,"called",IF(LEFT(Table4[[#This Row],[Margin]],1)="D",(Table4[[#This Row],[Numeric Margin]]/2+50)/100,(-Table4[[#This Row],[Numeric Margin]]/2+50)/100))</f>
        <v>called</v>
      </c>
      <c r="N298" s="20" t="str">
        <f>IFERROR(IF(Table4[[#This Row],[D 2pv]]="called","called",Table4[[#This Row],[D 2pv]]*Table4[[#This Row],[Percent of votes in% In]]),Table4[[#This Row],[D 2pv]]*0.95)</f>
        <v>called</v>
      </c>
      <c r="O298" s="20" t="str">
        <f>IF(Table4[[#This Row],[D pct]]="called","called",(Table4[[#This Row],[D 2pv]]+$E$7))</f>
        <v>called</v>
      </c>
      <c r="P29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8" s="21" t="str">
        <f>IF(Table4[[#This Row],[D captured of remain]]="called","called",Table4[[#This Row],[D captured of remain]]+Table4[[#This Row],[D pct]])</f>
        <v>called</v>
      </c>
      <c r="R298" s="22" t="str">
        <f>IF(Table4[[#This Row],[Expected D]]=1,"D",IF(Table4[[#This Row],[Expected R]]=1,"R",IF(Table4[[#This Row],[D total]]&gt;=0.5,"D","R")))</f>
        <v>R</v>
      </c>
      <c r="S298" s="22"/>
    </row>
    <row r="299" spans="2:22" x14ac:dyDescent="0.35">
      <c r="B299" s="27">
        <v>290</v>
      </c>
      <c r="C299" s="2" t="s">
        <v>356</v>
      </c>
      <c r="D299" s="2" t="s">
        <v>284</v>
      </c>
      <c r="E299" s="2" t="s">
        <v>28</v>
      </c>
      <c r="F299" s="2" t="s">
        <v>581</v>
      </c>
      <c r="G299" s="4" t="s">
        <v>502</v>
      </c>
      <c r="H29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299" s="2" t="str">
        <f>IF(OR(LEFT(Table4[[#This Row],[win_prob]],1)="D",LEFT(Table4[[#This Row],[win_prob]],1)="R"),LEFT(Table4[[#This Row],[win_prob]],1),LEFT(Table4[[#This Row],[Category]],1))</f>
        <v>R</v>
      </c>
      <c r="J29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29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299" s="16" t="str">
        <f>RIGHT(Table4[[#This Row],[Margin]],LEN(Table4[[#This Row],[Margin]])-FIND("+",Table4[[#This Row],[Margin]]))</f>
        <v>45</v>
      </c>
      <c r="M299" s="20" t="str">
        <f>IF(Table4[[#This Row],[listedprob]]=1,"called",IF(LEFT(Table4[[#This Row],[Margin]],1)="D",(Table4[[#This Row],[Numeric Margin]]/2+50)/100,(-Table4[[#This Row],[Numeric Margin]]/2+50)/100))</f>
        <v>called</v>
      </c>
      <c r="N299" s="20" t="str">
        <f>IFERROR(IF(Table4[[#This Row],[D 2pv]]="called","called",Table4[[#This Row],[D 2pv]]*Table4[[#This Row],[Percent of votes in% In]]),Table4[[#This Row],[D 2pv]]*0.95)</f>
        <v>called</v>
      </c>
      <c r="O299" s="20" t="str">
        <f>IF(Table4[[#This Row],[D pct]]="called","called",(Table4[[#This Row],[D 2pv]]+$E$7))</f>
        <v>called</v>
      </c>
      <c r="P29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299" s="21" t="str">
        <f>IF(Table4[[#This Row],[D captured of remain]]="called","called",Table4[[#This Row],[D captured of remain]]+Table4[[#This Row],[D pct]])</f>
        <v>called</v>
      </c>
      <c r="R299" s="22" t="str">
        <f>IF(Table4[[#This Row],[Expected D]]=1,"D",IF(Table4[[#This Row],[Expected R]]=1,"R",IF(Table4[[#This Row],[D total]]&gt;=0.5,"D","R")))</f>
        <v>R</v>
      </c>
      <c r="S299" s="22"/>
    </row>
    <row r="300" spans="2:22" x14ac:dyDescent="0.35">
      <c r="B300" s="27">
        <v>291</v>
      </c>
      <c r="C300" s="2" t="s">
        <v>357</v>
      </c>
      <c r="D300" s="2" t="s">
        <v>284</v>
      </c>
      <c r="E300" s="2" t="s">
        <v>28</v>
      </c>
      <c r="F300" s="2" t="s">
        <v>596</v>
      </c>
      <c r="G300" s="4" t="s">
        <v>502</v>
      </c>
      <c r="H30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0" s="2" t="str">
        <f>IF(OR(LEFT(Table4[[#This Row],[win_prob]],1)="D",LEFT(Table4[[#This Row],[win_prob]],1)="R"),LEFT(Table4[[#This Row],[win_prob]],1),LEFT(Table4[[#This Row],[Category]],1))</f>
        <v>R</v>
      </c>
      <c r="J30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0" s="16" t="str">
        <f>RIGHT(Table4[[#This Row],[Margin]],LEN(Table4[[#This Row],[Margin]])-FIND("+",Table4[[#This Row],[Margin]]))</f>
        <v>29</v>
      </c>
      <c r="M300" s="20" t="str">
        <f>IF(Table4[[#This Row],[listedprob]]=1,"called",IF(LEFT(Table4[[#This Row],[Margin]],1)="D",(Table4[[#This Row],[Numeric Margin]]/2+50)/100,(-Table4[[#This Row],[Numeric Margin]]/2+50)/100))</f>
        <v>called</v>
      </c>
      <c r="N300" s="20" t="str">
        <f>IFERROR(IF(Table4[[#This Row],[D 2pv]]="called","called",Table4[[#This Row],[D 2pv]]*Table4[[#This Row],[Percent of votes in% In]]),Table4[[#This Row],[D 2pv]]*0.95)</f>
        <v>called</v>
      </c>
      <c r="O300" s="20" t="str">
        <f>IF(Table4[[#This Row],[D pct]]="called","called",(Table4[[#This Row],[D 2pv]]+$E$7))</f>
        <v>called</v>
      </c>
      <c r="P30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0" s="21" t="str">
        <f>IF(Table4[[#This Row],[D captured of remain]]="called","called",Table4[[#This Row],[D captured of remain]]+Table4[[#This Row],[D pct]])</f>
        <v>called</v>
      </c>
      <c r="R300" s="22" t="str">
        <f>IF(Table4[[#This Row],[Expected D]]=1,"D",IF(Table4[[#This Row],[Expected R]]=1,"R",IF(Table4[[#This Row],[D total]]&gt;=0.5,"D","R")))</f>
        <v>R</v>
      </c>
      <c r="S300" s="22"/>
    </row>
    <row r="301" spans="2:22" x14ac:dyDescent="0.35">
      <c r="B301" s="27">
        <v>292</v>
      </c>
      <c r="C301" s="2" t="s">
        <v>358</v>
      </c>
      <c r="D301" s="2" t="s">
        <v>284</v>
      </c>
      <c r="E301" s="2" t="s">
        <v>28</v>
      </c>
      <c r="F301" s="2" t="s">
        <v>579</v>
      </c>
      <c r="G301" s="4" t="s">
        <v>502</v>
      </c>
      <c r="H30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1" s="2" t="str">
        <f>IF(OR(LEFT(Table4[[#This Row],[win_prob]],1)="D",LEFT(Table4[[#This Row],[win_prob]],1)="R"),LEFT(Table4[[#This Row],[win_prob]],1),LEFT(Table4[[#This Row],[Category]],1))</f>
        <v>R</v>
      </c>
      <c r="J30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1" s="16" t="str">
        <f>RIGHT(Table4[[#This Row],[Margin]],LEN(Table4[[#This Row],[Margin]])-FIND("+",Table4[[#This Row],[Margin]]))</f>
        <v>25</v>
      </c>
      <c r="M301" s="20" t="str">
        <f>IF(Table4[[#This Row],[listedprob]]=1,"called",IF(LEFT(Table4[[#This Row],[Margin]],1)="D",(Table4[[#This Row],[Numeric Margin]]/2+50)/100,(-Table4[[#This Row],[Numeric Margin]]/2+50)/100))</f>
        <v>called</v>
      </c>
      <c r="N301" s="20" t="str">
        <f>IFERROR(IF(Table4[[#This Row],[D 2pv]]="called","called",Table4[[#This Row],[D 2pv]]*Table4[[#This Row],[Percent of votes in% In]]),Table4[[#This Row],[D 2pv]]*0.95)</f>
        <v>called</v>
      </c>
      <c r="O301" s="20" t="str">
        <f>IF(Table4[[#This Row],[D pct]]="called","called",(Table4[[#This Row],[D 2pv]]+$E$7))</f>
        <v>called</v>
      </c>
      <c r="P30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1" s="21" t="str">
        <f>IF(Table4[[#This Row],[D captured of remain]]="called","called",Table4[[#This Row],[D captured of remain]]+Table4[[#This Row],[D pct]])</f>
        <v>called</v>
      </c>
      <c r="R301" s="22" t="str">
        <f>IF(Table4[[#This Row],[Expected D]]=1,"D",IF(Table4[[#This Row],[Expected R]]=1,"R",IF(Table4[[#This Row],[D total]]&gt;=0.5,"D","R")))</f>
        <v>R</v>
      </c>
      <c r="S301" s="22"/>
      <c r="V301" s="4"/>
    </row>
    <row r="302" spans="2:22" x14ac:dyDescent="0.35">
      <c r="B302" s="27">
        <v>293</v>
      </c>
      <c r="C302" s="2" t="s">
        <v>359</v>
      </c>
      <c r="D302" s="2" t="s">
        <v>284</v>
      </c>
      <c r="E302" s="4" t="s">
        <v>28</v>
      </c>
      <c r="F302" s="2" t="s">
        <v>582</v>
      </c>
      <c r="G302" s="4" t="s">
        <v>502</v>
      </c>
      <c r="H30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2" s="2" t="str">
        <f>IF(OR(LEFT(Table4[[#This Row],[win_prob]],1)="D",LEFT(Table4[[#This Row],[win_prob]],1)="R"),LEFT(Table4[[#This Row],[win_prob]],1),LEFT(Table4[[#This Row],[Category]],1))</f>
        <v>R</v>
      </c>
      <c r="J30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2" s="16" t="str">
        <f>RIGHT(Table4[[#This Row],[Margin]],LEN(Table4[[#This Row],[Margin]])-FIND("+",Table4[[#This Row],[Margin]]))</f>
        <v>19</v>
      </c>
      <c r="M302" s="20" t="str">
        <f>IF(Table4[[#This Row],[listedprob]]=1,"called",IF(LEFT(Table4[[#This Row],[Margin]],1)="D",(Table4[[#This Row],[Numeric Margin]]/2+50)/100,(-Table4[[#This Row],[Numeric Margin]]/2+50)/100))</f>
        <v>called</v>
      </c>
      <c r="N302" s="20" t="str">
        <f>IFERROR(IF(Table4[[#This Row],[D 2pv]]="called","called",Table4[[#This Row],[D 2pv]]*Table4[[#This Row],[Percent of votes in% In]]),Table4[[#This Row],[D 2pv]]*0.95)</f>
        <v>called</v>
      </c>
      <c r="O302" s="20" t="str">
        <f>IF(Table4[[#This Row],[D pct]]="called","called",(Table4[[#This Row],[D 2pv]]+$E$7))</f>
        <v>called</v>
      </c>
      <c r="P30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2" s="21" t="str">
        <f>IF(Table4[[#This Row],[D captured of remain]]="called","called",Table4[[#This Row],[D captured of remain]]+Table4[[#This Row],[D pct]])</f>
        <v>called</v>
      </c>
      <c r="R302" s="22" t="str">
        <f>IF(Table4[[#This Row],[Expected D]]=1,"D",IF(Table4[[#This Row],[Expected R]]=1,"R",IF(Table4[[#This Row],[D total]]&gt;=0.5,"D","R")))</f>
        <v>R</v>
      </c>
      <c r="S302" s="22"/>
      <c r="V302" s="4"/>
    </row>
    <row r="303" spans="2:22" x14ac:dyDescent="0.35">
      <c r="B303" s="27">
        <v>294</v>
      </c>
      <c r="C303" s="2" t="s">
        <v>360</v>
      </c>
      <c r="D303" s="2" t="s">
        <v>284</v>
      </c>
      <c r="E303" s="4" t="s">
        <v>28</v>
      </c>
      <c r="F303" s="2" t="s">
        <v>597</v>
      </c>
      <c r="G303" s="4" t="s">
        <v>502</v>
      </c>
      <c r="H30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3" s="2" t="str">
        <f>IF(OR(LEFT(Table4[[#This Row],[win_prob]],1)="D",LEFT(Table4[[#This Row],[win_prob]],1)="R"),LEFT(Table4[[#This Row],[win_prob]],1),LEFT(Table4[[#This Row],[Category]],1))</f>
        <v>R</v>
      </c>
      <c r="J30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3" s="16" t="str">
        <f>RIGHT(Table4[[#This Row],[Margin]],LEN(Table4[[#This Row],[Margin]])-FIND("+",Table4[[#This Row],[Margin]]))</f>
        <v>32</v>
      </c>
      <c r="M303" s="20" t="str">
        <f>IF(Table4[[#This Row],[listedprob]]=1,"called",IF(LEFT(Table4[[#This Row],[Margin]],1)="D",(Table4[[#This Row],[Numeric Margin]]/2+50)/100,(-Table4[[#This Row],[Numeric Margin]]/2+50)/100))</f>
        <v>called</v>
      </c>
      <c r="N303" s="20" t="str">
        <f>IFERROR(IF(Table4[[#This Row],[D 2pv]]="called","called",Table4[[#This Row],[D 2pv]]*Table4[[#This Row],[Percent of votes in% In]]),Table4[[#This Row],[D 2pv]]*0.95)</f>
        <v>called</v>
      </c>
      <c r="O303" s="20" t="str">
        <f>IF(Table4[[#This Row],[D pct]]="called","called",(Table4[[#This Row],[D 2pv]]+$E$7))</f>
        <v>called</v>
      </c>
      <c r="P30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3" s="21" t="str">
        <f>IF(Table4[[#This Row],[D captured of remain]]="called","called",Table4[[#This Row],[D captured of remain]]+Table4[[#This Row],[D pct]])</f>
        <v>called</v>
      </c>
      <c r="R303" s="22" t="str">
        <f>IF(Table4[[#This Row],[Expected D]]=1,"D",IF(Table4[[#This Row],[Expected R]]=1,"R",IF(Table4[[#This Row],[D total]]&gt;=0.5,"D","R")))</f>
        <v>R</v>
      </c>
      <c r="S303" s="22"/>
    </row>
    <row r="304" spans="2:22" x14ac:dyDescent="0.35">
      <c r="B304" s="27">
        <v>295</v>
      </c>
      <c r="C304" s="2" t="s">
        <v>361</v>
      </c>
      <c r="D304" s="2" t="s">
        <v>284</v>
      </c>
      <c r="E304" s="2" t="s">
        <v>28</v>
      </c>
      <c r="F304" s="2" t="s">
        <v>581</v>
      </c>
      <c r="G304" s="4" t="s">
        <v>502</v>
      </c>
      <c r="H30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4" s="2" t="str">
        <f>IF(OR(LEFT(Table4[[#This Row],[win_prob]],1)="D",LEFT(Table4[[#This Row],[win_prob]],1)="R"),LEFT(Table4[[#This Row],[win_prob]],1),LEFT(Table4[[#This Row],[Category]],1))</f>
        <v>R</v>
      </c>
      <c r="J30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4" s="16" t="str">
        <f>RIGHT(Table4[[#This Row],[Margin]],LEN(Table4[[#This Row],[Margin]])-FIND("+",Table4[[#This Row],[Margin]]))</f>
        <v>45</v>
      </c>
      <c r="M304" s="20" t="str">
        <f>IF(Table4[[#This Row],[listedprob]]=1,"called",IF(LEFT(Table4[[#This Row],[Margin]],1)="D",(Table4[[#This Row],[Numeric Margin]]/2+50)/100,(-Table4[[#This Row],[Numeric Margin]]/2+50)/100))</f>
        <v>called</v>
      </c>
      <c r="N304" s="20" t="str">
        <f>IFERROR(IF(Table4[[#This Row],[D 2pv]]="called","called",Table4[[#This Row],[D 2pv]]*Table4[[#This Row],[Percent of votes in% In]]),Table4[[#This Row],[D 2pv]]*0.95)</f>
        <v>called</v>
      </c>
      <c r="O304" s="20" t="str">
        <f>IF(Table4[[#This Row],[D pct]]="called","called",(Table4[[#This Row],[D 2pv]]+$E$7))</f>
        <v>called</v>
      </c>
      <c r="P30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4" s="21" t="str">
        <f>IF(Table4[[#This Row],[D captured of remain]]="called","called",Table4[[#This Row],[D captured of remain]]+Table4[[#This Row],[D pct]])</f>
        <v>called</v>
      </c>
      <c r="R304" s="22" t="str">
        <f>IF(Table4[[#This Row],[Expected D]]=1,"D",IF(Table4[[#This Row],[Expected R]]=1,"R",IF(Table4[[#This Row],[D total]]&gt;=0.5,"D","R")))</f>
        <v>R</v>
      </c>
      <c r="S304" s="22"/>
    </row>
    <row r="305" spans="2:23" x14ac:dyDescent="0.35">
      <c r="B305" s="27">
        <v>296</v>
      </c>
      <c r="C305" s="2" t="s">
        <v>362</v>
      </c>
      <c r="D305" s="2" t="s">
        <v>284</v>
      </c>
      <c r="E305" s="2" t="s">
        <v>28</v>
      </c>
      <c r="F305" s="2" t="s">
        <v>593</v>
      </c>
      <c r="G305" s="4" t="s">
        <v>502</v>
      </c>
      <c r="H30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5" s="2" t="str">
        <f>IF(OR(LEFT(Table4[[#This Row],[win_prob]],1)="D",LEFT(Table4[[#This Row],[win_prob]],1)="R"),LEFT(Table4[[#This Row],[win_prob]],1),LEFT(Table4[[#This Row],[Category]],1))</f>
        <v>R</v>
      </c>
      <c r="J30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5" s="16" t="str">
        <f>RIGHT(Table4[[#This Row],[Margin]],LEN(Table4[[#This Row],[Margin]])-FIND("+",Table4[[#This Row],[Margin]]))</f>
        <v>27</v>
      </c>
      <c r="M305" s="20" t="str">
        <f>IF(Table4[[#This Row],[listedprob]]=1,"called",IF(LEFT(Table4[[#This Row],[Margin]],1)="D",(Table4[[#This Row],[Numeric Margin]]/2+50)/100,(-Table4[[#This Row],[Numeric Margin]]/2+50)/100))</f>
        <v>called</v>
      </c>
      <c r="N305" s="20" t="str">
        <f>IFERROR(IF(Table4[[#This Row],[D 2pv]]="called","called",Table4[[#This Row],[D 2pv]]*Table4[[#This Row],[Percent of votes in% In]]),Table4[[#This Row],[D 2pv]]*0.95)</f>
        <v>called</v>
      </c>
      <c r="O305" s="20" t="str">
        <f>IF(Table4[[#This Row],[D pct]]="called","called",(Table4[[#This Row],[D 2pv]]+$E$7))</f>
        <v>called</v>
      </c>
      <c r="P30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5" s="21" t="str">
        <f>IF(Table4[[#This Row],[D captured of remain]]="called","called",Table4[[#This Row],[D captured of remain]]+Table4[[#This Row],[D pct]])</f>
        <v>called</v>
      </c>
      <c r="R305" s="22" t="str">
        <f>IF(Table4[[#This Row],[Expected D]]=1,"D",IF(Table4[[#This Row],[Expected R]]=1,"R",IF(Table4[[#This Row],[D total]]&gt;=0.5,"D","R")))</f>
        <v>R</v>
      </c>
      <c r="S305" s="22"/>
    </row>
    <row r="306" spans="2:23" x14ac:dyDescent="0.35">
      <c r="B306" s="27">
        <v>297</v>
      </c>
      <c r="C306" s="2" t="s">
        <v>363</v>
      </c>
      <c r="D306" s="2" t="s">
        <v>284</v>
      </c>
      <c r="E306" s="2" t="s">
        <v>28</v>
      </c>
      <c r="F306" s="2" t="s">
        <v>589</v>
      </c>
      <c r="G306" s="4" t="s">
        <v>502</v>
      </c>
      <c r="H30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6" s="2" t="str">
        <f>IF(OR(LEFT(Table4[[#This Row],[win_prob]],1)="D",LEFT(Table4[[#This Row],[win_prob]],1)="R"),LEFT(Table4[[#This Row],[win_prob]],1),LEFT(Table4[[#This Row],[Category]],1))</f>
        <v>R</v>
      </c>
      <c r="J30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6" s="16" t="str">
        <f>RIGHT(Table4[[#This Row],[Margin]],LEN(Table4[[#This Row],[Margin]])-FIND("+",Table4[[#This Row],[Margin]]))</f>
        <v>51</v>
      </c>
      <c r="M306" s="20" t="str">
        <f>IF(Table4[[#This Row],[listedprob]]=1,"called",IF(LEFT(Table4[[#This Row],[Margin]],1)="D",(Table4[[#This Row],[Numeric Margin]]/2+50)/100,(-Table4[[#This Row],[Numeric Margin]]/2+50)/100))</f>
        <v>called</v>
      </c>
      <c r="N306" s="20" t="str">
        <f>IFERROR(IF(Table4[[#This Row],[D 2pv]]="called","called",Table4[[#This Row],[D 2pv]]*Table4[[#This Row],[Percent of votes in% In]]),Table4[[#This Row],[D 2pv]]*0.95)</f>
        <v>called</v>
      </c>
      <c r="O306" s="20" t="str">
        <f>IF(Table4[[#This Row],[D pct]]="called","called",(Table4[[#This Row],[D 2pv]]+$E$7))</f>
        <v>called</v>
      </c>
      <c r="P30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6" s="21" t="str">
        <f>IF(Table4[[#This Row],[D captured of remain]]="called","called",Table4[[#This Row],[D captured of remain]]+Table4[[#This Row],[D pct]])</f>
        <v>called</v>
      </c>
      <c r="R306" s="22" t="str">
        <f>IF(Table4[[#This Row],[Expected D]]=1,"D",IF(Table4[[#This Row],[Expected R]]=1,"R",IF(Table4[[#This Row],[D total]]&gt;=0.5,"D","R")))</f>
        <v>R</v>
      </c>
      <c r="S306" s="22"/>
    </row>
    <row r="307" spans="2:23" x14ac:dyDescent="0.35">
      <c r="B307" s="27">
        <v>298</v>
      </c>
      <c r="C307" s="2" t="s">
        <v>364</v>
      </c>
      <c r="D307" s="2" t="s">
        <v>284</v>
      </c>
      <c r="E307" s="2" t="s">
        <v>28</v>
      </c>
      <c r="F307" s="2" t="s">
        <v>598</v>
      </c>
      <c r="G307" s="4" t="s">
        <v>502</v>
      </c>
      <c r="H30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7" s="2" t="str">
        <f>IF(OR(LEFT(Table4[[#This Row],[win_prob]],1)="D",LEFT(Table4[[#This Row],[win_prob]],1)="R"),LEFT(Table4[[#This Row],[win_prob]],1),LEFT(Table4[[#This Row],[Category]],1))</f>
        <v>R</v>
      </c>
      <c r="J30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7" s="16" t="str">
        <f>RIGHT(Table4[[#This Row],[Margin]],LEN(Table4[[#This Row],[Margin]])-FIND("+",Table4[[#This Row],[Margin]]))</f>
        <v>43</v>
      </c>
      <c r="M307" s="20" t="str">
        <f>IF(Table4[[#This Row],[listedprob]]=1,"called",IF(LEFT(Table4[[#This Row],[Margin]],1)="D",(Table4[[#This Row],[Numeric Margin]]/2+50)/100,(-Table4[[#This Row],[Numeric Margin]]/2+50)/100))</f>
        <v>called</v>
      </c>
      <c r="N307" s="20" t="str">
        <f>IFERROR(IF(Table4[[#This Row],[D 2pv]]="called","called",Table4[[#This Row],[D 2pv]]*Table4[[#This Row],[Percent of votes in% In]]),Table4[[#This Row],[D 2pv]]*0.95)</f>
        <v>called</v>
      </c>
      <c r="O307" s="20" t="str">
        <f>IF(Table4[[#This Row],[D pct]]="called","called",(Table4[[#This Row],[D 2pv]]+$E$7))</f>
        <v>called</v>
      </c>
      <c r="P30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7" s="21" t="str">
        <f>IF(Table4[[#This Row],[D captured of remain]]="called","called",Table4[[#This Row],[D captured of remain]]+Table4[[#This Row],[D pct]])</f>
        <v>called</v>
      </c>
      <c r="R307" s="22" t="str">
        <f>IF(Table4[[#This Row],[Expected D]]=1,"D",IF(Table4[[#This Row],[Expected R]]=1,"R",IF(Table4[[#This Row],[D total]]&gt;=0.5,"D","R")))</f>
        <v>R</v>
      </c>
      <c r="S307" s="22"/>
      <c r="W307" s="4"/>
    </row>
    <row r="308" spans="2:23" x14ac:dyDescent="0.35">
      <c r="B308" s="27">
        <v>299</v>
      </c>
      <c r="C308" s="2" t="s">
        <v>365</v>
      </c>
      <c r="D308" s="2" t="s">
        <v>284</v>
      </c>
      <c r="E308" s="2" t="s">
        <v>28</v>
      </c>
      <c r="F308" s="2" t="s">
        <v>599</v>
      </c>
      <c r="G308" s="4" t="s">
        <v>502</v>
      </c>
      <c r="H30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8" s="2" t="str">
        <f>IF(OR(LEFT(Table4[[#This Row],[win_prob]],1)="D",LEFT(Table4[[#This Row],[win_prob]],1)="R"),LEFT(Table4[[#This Row],[win_prob]],1),LEFT(Table4[[#This Row],[Category]],1))</f>
        <v>R</v>
      </c>
      <c r="J30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8" s="16" t="str">
        <f>RIGHT(Table4[[#This Row],[Margin]],LEN(Table4[[#This Row],[Margin]])-FIND("+",Table4[[#This Row],[Margin]]))</f>
        <v>33</v>
      </c>
      <c r="M308" s="20" t="str">
        <f>IF(Table4[[#This Row],[listedprob]]=1,"called",IF(LEFT(Table4[[#This Row],[Margin]],1)="D",(Table4[[#This Row],[Numeric Margin]]/2+50)/100,(-Table4[[#This Row],[Numeric Margin]]/2+50)/100))</f>
        <v>called</v>
      </c>
      <c r="N308" s="20" t="str">
        <f>IFERROR(IF(Table4[[#This Row],[D 2pv]]="called","called",Table4[[#This Row],[D 2pv]]*Table4[[#This Row],[Percent of votes in% In]]),Table4[[#This Row],[D 2pv]]*0.95)</f>
        <v>called</v>
      </c>
      <c r="O308" s="20" t="str">
        <f>IF(Table4[[#This Row],[D pct]]="called","called",(Table4[[#This Row],[D 2pv]]+$E$7))</f>
        <v>called</v>
      </c>
      <c r="P30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8" s="21" t="str">
        <f>IF(Table4[[#This Row],[D captured of remain]]="called","called",Table4[[#This Row],[D captured of remain]]+Table4[[#This Row],[D pct]])</f>
        <v>called</v>
      </c>
      <c r="R308" s="22" t="str">
        <f>IF(Table4[[#This Row],[Expected D]]=1,"D",IF(Table4[[#This Row],[Expected R]]=1,"R",IF(Table4[[#This Row],[D total]]&gt;=0.5,"D","R")))</f>
        <v>R</v>
      </c>
      <c r="S308" s="22"/>
      <c r="W308" s="4"/>
    </row>
    <row r="309" spans="2:23" x14ac:dyDescent="0.35">
      <c r="B309" s="27">
        <v>300</v>
      </c>
      <c r="C309" s="2" t="s">
        <v>366</v>
      </c>
      <c r="D309" s="2" t="s">
        <v>284</v>
      </c>
      <c r="E309" s="2" t="s">
        <v>28</v>
      </c>
      <c r="F309" s="2" t="s">
        <v>597</v>
      </c>
      <c r="G309" s="4" t="s">
        <v>502</v>
      </c>
      <c r="H30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09" s="2" t="str">
        <f>IF(OR(LEFT(Table4[[#This Row],[win_prob]],1)="D",LEFT(Table4[[#This Row],[win_prob]],1)="R"),LEFT(Table4[[#This Row],[win_prob]],1),LEFT(Table4[[#This Row],[Category]],1))</f>
        <v>R</v>
      </c>
      <c r="J30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0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09" s="16" t="str">
        <f>RIGHT(Table4[[#This Row],[Margin]],LEN(Table4[[#This Row],[Margin]])-FIND("+",Table4[[#This Row],[Margin]]))</f>
        <v>32</v>
      </c>
      <c r="M309" s="20" t="str">
        <f>IF(Table4[[#This Row],[listedprob]]=1,"called",IF(LEFT(Table4[[#This Row],[Margin]],1)="D",(Table4[[#This Row],[Numeric Margin]]/2+50)/100,(-Table4[[#This Row],[Numeric Margin]]/2+50)/100))</f>
        <v>called</v>
      </c>
      <c r="N309" s="20" t="str">
        <f>IFERROR(IF(Table4[[#This Row],[D 2pv]]="called","called",Table4[[#This Row],[D 2pv]]*Table4[[#This Row],[Percent of votes in% In]]),Table4[[#This Row],[D 2pv]]*0.95)</f>
        <v>called</v>
      </c>
      <c r="O309" s="20" t="str">
        <f>IF(Table4[[#This Row],[D pct]]="called","called",(Table4[[#This Row],[D 2pv]]+$E$7))</f>
        <v>called</v>
      </c>
      <c r="P30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09" s="21" t="str">
        <f>IF(Table4[[#This Row],[D captured of remain]]="called","called",Table4[[#This Row],[D captured of remain]]+Table4[[#This Row],[D pct]])</f>
        <v>called</v>
      </c>
      <c r="R309" s="22" t="str">
        <f>IF(Table4[[#This Row],[Expected D]]=1,"D",IF(Table4[[#This Row],[Expected R]]=1,"R",IF(Table4[[#This Row],[D total]]&gt;=0.5,"D","R")))</f>
        <v>R</v>
      </c>
      <c r="S309" s="22"/>
      <c r="W309" s="4"/>
    </row>
    <row r="310" spans="2:23" x14ac:dyDescent="0.35">
      <c r="B310" s="27">
        <v>301</v>
      </c>
      <c r="C310" s="2" t="s">
        <v>367</v>
      </c>
      <c r="D310" s="2" t="s">
        <v>284</v>
      </c>
      <c r="E310" s="2" t="s">
        <v>28</v>
      </c>
      <c r="F310" s="2" t="s">
        <v>584</v>
      </c>
      <c r="G310" s="4" t="s">
        <v>502</v>
      </c>
      <c r="H31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0" s="2" t="str">
        <f>IF(OR(LEFT(Table4[[#This Row],[win_prob]],1)="D",LEFT(Table4[[#This Row],[win_prob]],1)="R"),LEFT(Table4[[#This Row],[win_prob]],1),LEFT(Table4[[#This Row],[Category]],1))</f>
        <v>R</v>
      </c>
      <c r="J31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0" s="16" t="str">
        <f>RIGHT(Table4[[#This Row],[Margin]],LEN(Table4[[#This Row],[Margin]])-FIND("+",Table4[[#This Row],[Margin]]))</f>
        <v>35</v>
      </c>
      <c r="M310" s="20" t="str">
        <f>IF(Table4[[#This Row],[listedprob]]=1,"called",IF(LEFT(Table4[[#This Row],[Margin]],1)="D",(Table4[[#This Row],[Numeric Margin]]/2+50)/100,(-Table4[[#This Row],[Numeric Margin]]/2+50)/100))</f>
        <v>called</v>
      </c>
      <c r="N310" s="20" t="str">
        <f>IFERROR(IF(Table4[[#This Row],[D 2pv]]="called","called",Table4[[#This Row],[D 2pv]]*Table4[[#This Row],[Percent of votes in% In]]),Table4[[#This Row],[D 2pv]]*0.95)</f>
        <v>called</v>
      </c>
      <c r="O310" s="20" t="str">
        <f>IF(Table4[[#This Row],[D pct]]="called","called",(Table4[[#This Row],[D 2pv]]+$E$7))</f>
        <v>called</v>
      </c>
      <c r="P31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0" s="21" t="str">
        <f>IF(Table4[[#This Row],[D captured of remain]]="called","called",Table4[[#This Row],[D captured of remain]]+Table4[[#This Row],[D pct]])</f>
        <v>called</v>
      </c>
      <c r="R310" s="22" t="str">
        <f>IF(Table4[[#This Row],[Expected D]]=1,"D",IF(Table4[[#This Row],[Expected R]]=1,"R",IF(Table4[[#This Row],[D total]]&gt;=0.5,"D","R")))</f>
        <v>R</v>
      </c>
      <c r="S310" s="22"/>
      <c r="W310" s="4"/>
    </row>
    <row r="311" spans="2:23" x14ac:dyDescent="0.35">
      <c r="B311" s="27">
        <v>302</v>
      </c>
      <c r="C311" s="2" t="s">
        <v>368</v>
      </c>
      <c r="D311" s="2" t="s">
        <v>284</v>
      </c>
      <c r="E311" s="2" t="s">
        <v>28</v>
      </c>
      <c r="F311" s="2" t="s">
        <v>586</v>
      </c>
      <c r="G311" s="4" t="s">
        <v>502</v>
      </c>
      <c r="H31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1" s="2" t="str">
        <f>IF(OR(LEFT(Table4[[#This Row],[win_prob]],1)="D",LEFT(Table4[[#This Row],[win_prob]],1)="R"),LEFT(Table4[[#This Row],[win_prob]],1),LEFT(Table4[[#This Row],[Category]],1))</f>
        <v>R</v>
      </c>
      <c r="J31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1" s="16" t="str">
        <f>RIGHT(Table4[[#This Row],[Margin]],LEN(Table4[[#This Row],[Margin]])-FIND("+",Table4[[#This Row],[Margin]]))</f>
        <v>36</v>
      </c>
      <c r="M311" s="20" t="str">
        <f>IF(Table4[[#This Row],[listedprob]]=1,"called",IF(LEFT(Table4[[#This Row],[Margin]],1)="D",(Table4[[#This Row],[Numeric Margin]]/2+50)/100,(-Table4[[#This Row],[Numeric Margin]]/2+50)/100))</f>
        <v>called</v>
      </c>
      <c r="N311" s="20" t="str">
        <f>IFERROR(IF(Table4[[#This Row],[D 2pv]]="called","called",Table4[[#This Row],[D 2pv]]*Table4[[#This Row],[Percent of votes in% In]]),Table4[[#This Row],[D 2pv]]*0.95)</f>
        <v>called</v>
      </c>
      <c r="O311" s="20" t="str">
        <f>IF(Table4[[#This Row],[D pct]]="called","called",(Table4[[#This Row],[D 2pv]]+$E$7))</f>
        <v>called</v>
      </c>
      <c r="P31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1" s="21" t="str">
        <f>IF(Table4[[#This Row],[D captured of remain]]="called","called",Table4[[#This Row],[D captured of remain]]+Table4[[#This Row],[D pct]])</f>
        <v>called</v>
      </c>
      <c r="R311" s="22" t="str">
        <f>IF(Table4[[#This Row],[Expected D]]=1,"D",IF(Table4[[#This Row],[Expected R]]=1,"R",IF(Table4[[#This Row],[D total]]&gt;=0.5,"D","R")))</f>
        <v>R</v>
      </c>
      <c r="S311" s="22"/>
    </row>
    <row r="312" spans="2:23" x14ac:dyDescent="0.35">
      <c r="B312" s="27">
        <v>303</v>
      </c>
      <c r="C312" s="2" t="s">
        <v>369</v>
      </c>
      <c r="D312" s="2" t="s">
        <v>284</v>
      </c>
      <c r="E312" s="2" t="s">
        <v>28</v>
      </c>
      <c r="F312" s="2" t="s">
        <v>566</v>
      </c>
      <c r="G312" s="4" t="s">
        <v>502</v>
      </c>
      <c r="H31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2" s="2" t="str">
        <f>IF(OR(LEFT(Table4[[#This Row],[win_prob]],1)="D",LEFT(Table4[[#This Row],[win_prob]],1)="R"),LEFT(Table4[[#This Row],[win_prob]],1),LEFT(Table4[[#This Row],[Category]],1))</f>
        <v>R</v>
      </c>
      <c r="J31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2" s="16" t="str">
        <f>RIGHT(Table4[[#This Row],[Margin]],LEN(Table4[[#This Row],[Margin]])-FIND("+",Table4[[#This Row],[Margin]]))</f>
        <v>22</v>
      </c>
      <c r="M312" s="20" t="str">
        <f>IF(Table4[[#This Row],[listedprob]]=1,"called",IF(LEFT(Table4[[#This Row],[Margin]],1)="D",(Table4[[#This Row],[Numeric Margin]]/2+50)/100,(-Table4[[#This Row],[Numeric Margin]]/2+50)/100))</f>
        <v>called</v>
      </c>
      <c r="N312" s="20" t="str">
        <f>IFERROR(IF(Table4[[#This Row],[D 2pv]]="called","called",Table4[[#This Row],[D 2pv]]*Table4[[#This Row],[Percent of votes in% In]]),Table4[[#This Row],[D 2pv]]*0.95)</f>
        <v>called</v>
      </c>
      <c r="O312" s="20" t="str">
        <f>IF(Table4[[#This Row],[D pct]]="called","called",(Table4[[#This Row],[D 2pv]]+$E$7))</f>
        <v>called</v>
      </c>
      <c r="P31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2" s="21" t="str">
        <f>IF(Table4[[#This Row],[D captured of remain]]="called","called",Table4[[#This Row],[D captured of remain]]+Table4[[#This Row],[D pct]])</f>
        <v>called</v>
      </c>
      <c r="R312" s="22" t="str">
        <f>IF(Table4[[#This Row],[Expected D]]=1,"D",IF(Table4[[#This Row],[Expected R]]=1,"R",IF(Table4[[#This Row],[D total]]&gt;=0.5,"D","R")))</f>
        <v>R</v>
      </c>
      <c r="S312" s="22"/>
      <c r="W312" s="4"/>
    </row>
    <row r="313" spans="2:23" x14ac:dyDescent="0.35">
      <c r="B313" s="27">
        <v>304</v>
      </c>
      <c r="C313" s="2" t="s">
        <v>370</v>
      </c>
      <c r="D313" s="2" t="s">
        <v>284</v>
      </c>
      <c r="E313" s="2" t="s">
        <v>28</v>
      </c>
      <c r="F313" s="2" t="s">
        <v>584</v>
      </c>
      <c r="G313" s="4" t="s">
        <v>502</v>
      </c>
      <c r="H31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3" s="2" t="str">
        <f>IF(OR(LEFT(Table4[[#This Row],[win_prob]],1)="D",LEFT(Table4[[#This Row],[win_prob]],1)="R"),LEFT(Table4[[#This Row],[win_prob]],1),LEFT(Table4[[#This Row],[Category]],1))</f>
        <v>R</v>
      </c>
      <c r="J31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3" s="16" t="str">
        <f>RIGHT(Table4[[#This Row],[Margin]],LEN(Table4[[#This Row],[Margin]])-FIND("+",Table4[[#This Row],[Margin]]))</f>
        <v>35</v>
      </c>
      <c r="M313" s="20" t="str">
        <f>IF(Table4[[#This Row],[listedprob]]=1,"called",IF(LEFT(Table4[[#This Row],[Margin]],1)="D",(Table4[[#This Row],[Numeric Margin]]/2+50)/100,(-Table4[[#This Row],[Numeric Margin]]/2+50)/100))</f>
        <v>called</v>
      </c>
      <c r="N313" s="20" t="str">
        <f>IFERROR(IF(Table4[[#This Row],[D 2pv]]="called","called",Table4[[#This Row],[D 2pv]]*Table4[[#This Row],[Percent of votes in% In]]),Table4[[#This Row],[D 2pv]]*0.95)</f>
        <v>called</v>
      </c>
      <c r="O313" s="20" t="str">
        <f>IF(Table4[[#This Row],[D pct]]="called","called",(Table4[[#This Row],[D 2pv]]+$E$7))</f>
        <v>called</v>
      </c>
      <c r="P31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3" s="21" t="str">
        <f>IF(Table4[[#This Row],[D captured of remain]]="called","called",Table4[[#This Row],[D captured of remain]]+Table4[[#This Row],[D pct]])</f>
        <v>called</v>
      </c>
      <c r="R313" s="22" t="str">
        <f>IF(Table4[[#This Row],[Expected D]]=1,"D",IF(Table4[[#This Row],[Expected R]]=1,"R",IF(Table4[[#This Row],[D total]]&gt;=0.5,"D","R")))</f>
        <v>R</v>
      </c>
      <c r="S313" s="22"/>
      <c r="W313" s="4"/>
    </row>
    <row r="314" spans="2:23" x14ac:dyDescent="0.35">
      <c r="B314" s="27">
        <v>305</v>
      </c>
      <c r="C314" s="2" t="s">
        <v>371</v>
      </c>
      <c r="D314" s="2" t="s">
        <v>284</v>
      </c>
      <c r="E314" s="2" t="s">
        <v>28</v>
      </c>
      <c r="F314" s="2" t="s">
        <v>600</v>
      </c>
      <c r="G314" s="4" t="s">
        <v>502</v>
      </c>
      <c r="H31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4" s="2" t="str">
        <f>IF(OR(LEFT(Table4[[#This Row],[win_prob]],1)="D",LEFT(Table4[[#This Row],[win_prob]],1)="R"),LEFT(Table4[[#This Row],[win_prob]],1),LEFT(Table4[[#This Row],[Category]],1))</f>
        <v>R</v>
      </c>
      <c r="J31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4" s="16" t="str">
        <f>RIGHT(Table4[[#This Row],[Margin]],LEN(Table4[[#This Row],[Margin]])-FIND("+",Table4[[#This Row],[Margin]]))</f>
        <v>34</v>
      </c>
      <c r="M314" s="20" t="str">
        <f>IF(Table4[[#This Row],[listedprob]]=1,"called",IF(LEFT(Table4[[#This Row],[Margin]],1)="D",(Table4[[#This Row],[Numeric Margin]]/2+50)/100,(-Table4[[#This Row],[Numeric Margin]]/2+50)/100))</f>
        <v>called</v>
      </c>
      <c r="N314" s="20" t="str">
        <f>IFERROR(IF(Table4[[#This Row],[D 2pv]]="called","called",Table4[[#This Row],[D 2pv]]*Table4[[#This Row],[Percent of votes in% In]]),Table4[[#This Row],[D 2pv]]*0.95)</f>
        <v>called</v>
      </c>
      <c r="O314" s="20" t="str">
        <f>IF(Table4[[#This Row],[D pct]]="called","called",(Table4[[#This Row],[D 2pv]]+$E$7))</f>
        <v>called</v>
      </c>
      <c r="P31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4" s="21" t="str">
        <f>IF(Table4[[#This Row],[D captured of remain]]="called","called",Table4[[#This Row],[D captured of remain]]+Table4[[#This Row],[D pct]])</f>
        <v>called</v>
      </c>
      <c r="R314" s="22" t="str">
        <f>IF(Table4[[#This Row],[Expected D]]=1,"D",IF(Table4[[#This Row],[Expected R]]=1,"R",IF(Table4[[#This Row],[D total]]&gt;=0.5,"D","R")))</f>
        <v>R</v>
      </c>
      <c r="S314" s="22"/>
      <c r="W314" s="4"/>
    </row>
    <row r="315" spans="2:23" x14ac:dyDescent="0.35">
      <c r="B315" s="27">
        <v>306</v>
      </c>
      <c r="C315" s="2" t="s">
        <v>372</v>
      </c>
      <c r="D315" s="2" t="s">
        <v>284</v>
      </c>
      <c r="E315" s="2" t="s">
        <v>28</v>
      </c>
      <c r="F315" s="2" t="s">
        <v>596</v>
      </c>
      <c r="G315" s="4" t="s">
        <v>502</v>
      </c>
      <c r="H31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5" s="2" t="str">
        <f>IF(OR(LEFT(Table4[[#This Row],[win_prob]],1)="D",LEFT(Table4[[#This Row],[win_prob]],1)="R"),LEFT(Table4[[#This Row],[win_prob]],1),LEFT(Table4[[#This Row],[Category]],1))</f>
        <v>R</v>
      </c>
      <c r="J31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5" s="16" t="str">
        <f>RIGHT(Table4[[#This Row],[Margin]],LEN(Table4[[#This Row],[Margin]])-FIND("+",Table4[[#This Row],[Margin]]))</f>
        <v>29</v>
      </c>
      <c r="M315" s="20" t="str">
        <f>IF(Table4[[#This Row],[listedprob]]=1,"called",IF(LEFT(Table4[[#This Row],[Margin]],1)="D",(Table4[[#This Row],[Numeric Margin]]/2+50)/100,(-Table4[[#This Row],[Numeric Margin]]/2+50)/100))</f>
        <v>called</v>
      </c>
      <c r="N315" s="20" t="str">
        <f>IFERROR(IF(Table4[[#This Row],[D 2pv]]="called","called",Table4[[#This Row],[D 2pv]]*Table4[[#This Row],[Percent of votes in% In]]),Table4[[#This Row],[D 2pv]]*0.95)</f>
        <v>called</v>
      </c>
      <c r="O315" s="20" t="str">
        <f>IF(Table4[[#This Row],[D pct]]="called","called",(Table4[[#This Row],[D 2pv]]+$E$7))</f>
        <v>called</v>
      </c>
      <c r="P31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5" s="21" t="str">
        <f>IF(Table4[[#This Row],[D captured of remain]]="called","called",Table4[[#This Row],[D captured of remain]]+Table4[[#This Row],[D pct]])</f>
        <v>called</v>
      </c>
      <c r="R315" s="22" t="str">
        <f>IF(Table4[[#This Row],[Expected D]]=1,"D",IF(Table4[[#This Row],[Expected R]]=1,"R",IF(Table4[[#This Row],[D total]]&gt;=0.5,"D","R")))</f>
        <v>R</v>
      </c>
      <c r="S315" s="22"/>
    </row>
    <row r="316" spans="2:23" x14ac:dyDescent="0.35">
      <c r="B316" s="27">
        <v>307</v>
      </c>
      <c r="C316" s="2" t="s">
        <v>373</v>
      </c>
      <c r="D316" s="2" t="s">
        <v>284</v>
      </c>
      <c r="E316" s="2" t="s">
        <v>28</v>
      </c>
      <c r="F316" s="2" t="s">
        <v>595</v>
      </c>
      <c r="G316" s="4" t="s">
        <v>502</v>
      </c>
      <c r="H31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6" s="2" t="str">
        <f>IF(OR(LEFT(Table4[[#This Row],[win_prob]],1)="D",LEFT(Table4[[#This Row],[win_prob]],1)="R"),LEFT(Table4[[#This Row],[win_prob]],1),LEFT(Table4[[#This Row],[Category]],1))</f>
        <v>R</v>
      </c>
      <c r="J31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6" s="16" t="str">
        <f>RIGHT(Table4[[#This Row],[Margin]],LEN(Table4[[#This Row],[Margin]])-FIND("+",Table4[[#This Row],[Margin]]))</f>
        <v>37</v>
      </c>
      <c r="M316" s="20" t="str">
        <f>IF(Table4[[#This Row],[listedprob]]=1,"called",IF(LEFT(Table4[[#This Row],[Margin]],1)="D",(Table4[[#This Row],[Numeric Margin]]/2+50)/100,(-Table4[[#This Row],[Numeric Margin]]/2+50)/100))</f>
        <v>called</v>
      </c>
      <c r="N316" s="20" t="str">
        <f>IFERROR(IF(Table4[[#This Row],[D 2pv]]="called","called",Table4[[#This Row],[D 2pv]]*Table4[[#This Row],[Percent of votes in% In]]),Table4[[#This Row],[D 2pv]]*0.95)</f>
        <v>called</v>
      </c>
      <c r="O316" s="20" t="str">
        <f>IF(Table4[[#This Row],[D pct]]="called","called",(Table4[[#This Row],[D 2pv]]+$E$7))</f>
        <v>called</v>
      </c>
      <c r="P31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6" s="21" t="str">
        <f>IF(Table4[[#This Row],[D captured of remain]]="called","called",Table4[[#This Row],[D captured of remain]]+Table4[[#This Row],[D pct]])</f>
        <v>called</v>
      </c>
      <c r="R316" s="22" t="str">
        <f>IF(Table4[[#This Row],[Expected D]]=1,"D",IF(Table4[[#This Row],[Expected R]]=1,"R",IF(Table4[[#This Row],[D total]]&gt;=0.5,"D","R")))</f>
        <v>R</v>
      </c>
      <c r="S316" s="22"/>
    </row>
    <row r="317" spans="2:23" x14ac:dyDescent="0.35">
      <c r="B317" s="27">
        <v>308</v>
      </c>
      <c r="C317" s="2" t="s">
        <v>374</v>
      </c>
      <c r="D317" s="2" t="s">
        <v>284</v>
      </c>
      <c r="E317" s="2" t="s">
        <v>28</v>
      </c>
      <c r="F317" s="2" t="s">
        <v>586</v>
      </c>
      <c r="G317" s="4" t="s">
        <v>502</v>
      </c>
      <c r="H31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7" s="2" t="str">
        <f>IF(OR(LEFT(Table4[[#This Row],[win_prob]],1)="D",LEFT(Table4[[#This Row],[win_prob]],1)="R"),LEFT(Table4[[#This Row],[win_prob]],1),LEFT(Table4[[#This Row],[Category]],1))</f>
        <v>R</v>
      </c>
      <c r="J31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7" s="16" t="str">
        <f>RIGHT(Table4[[#This Row],[Margin]],LEN(Table4[[#This Row],[Margin]])-FIND("+",Table4[[#This Row],[Margin]]))</f>
        <v>36</v>
      </c>
      <c r="M317" s="20" t="str">
        <f>IF(Table4[[#This Row],[listedprob]]=1,"called",IF(LEFT(Table4[[#This Row],[Margin]],1)="D",(Table4[[#This Row],[Numeric Margin]]/2+50)/100,(-Table4[[#This Row],[Numeric Margin]]/2+50)/100))</f>
        <v>called</v>
      </c>
      <c r="N317" s="20" t="str">
        <f>IFERROR(IF(Table4[[#This Row],[D 2pv]]="called","called",Table4[[#This Row],[D 2pv]]*Table4[[#This Row],[Percent of votes in% In]]),Table4[[#This Row],[D 2pv]]*0.95)</f>
        <v>called</v>
      </c>
      <c r="O317" s="20" t="str">
        <f>IF(Table4[[#This Row],[D pct]]="called","called",(Table4[[#This Row],[D 2pv]]+$E$7))</f>
        <v>called</v>
      </c>
      <c r="P31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7" s="21" t="str">
        <f>IF(Table4[[#This Row],[D captured of remain]]="called","called",Table4[[#This Row],[D captured of remain]]+Table4[[#This Row],[D pct]])</f>
        <v>called</v>
      </c>
      <c r="R317" s="22" t="str">
        <f>IF(Table4[[#This Row],[Expected D]]=1,"D",IF(Table4[[#This Row],[Expected R]]=1,"R",IF(Table4[[#This Row],[D total]]&gt;=0.5,"D","R")))</f>
        <v>R</v>
      </c>
      <c r="S317" s="22"/>
      <c r="V317" s="4"/>
    </row>
    <row r="318" spans="2:23" x14ac:dyDescent="0.35">
      <c r="B318" s="27">
        <v>309</v>
      </c>
      <c r="C318" s="2" t="s">
        <v>375</v>
      </c>
      <c r="D318" s="2" t="s">
        <v>284</v>
      </c>
      <c r="E318" s="4" t="s">
        <v>28</v>
      </c>
      <c r="F318" s="2" t="s">
        <v>234</v>
      </c>
      <c r="G318" s="4" t="s">
        <v>502</v>
      </c>
      <c r="H31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8" s="2" t="str">
        <f>IF(OR(LEFT(Table4[[#This Row],[win_prob]],1)="D",LEFT(Table4[[#This Row],[win_prob]],1)="R"),LEFT(Table4[[#This Row],[win_prob]],1),LEFT(Table4[[#This Row],[Category]],1))</f>
        <v>R</v>
      </c>
      <c r="J31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8" s="16" t="str">
        <f>RIGHT(Table4[[#This Row],[Margin]],LEN(Table4[[#This Row],[Margin]])-FIND("+",Table4[[#This Row],[Margin]]))</f>
        <v>15</v>
      </c>
      <c r="M318" s="20" t="str">
        <f>IF(Table4[[#This Row],[listedprob]]=1,"called",IF(LEFT(Table4[[#This Row],[Margin]],1)="D",(Table4[[#This Row],[Numeric Margin]]/2+50)/100,(-Table4[[#This Row],[Numeric Margin]]/2+50)/100))</f>
        <v>called</v>
      </c>
      <c r="N318" s="20" t="str">
        <f>IFERROR(IF(Table4[[#This Row],[D 2pv]]="called","called",Table4[[#This Row],[D 2pv]]*Table4[[#This Row],[Percent of votes in% In]]),Table4[[#This Row],[D 2pv]]*0.95)</f>
        <v>called</v>
      </c>
      <c r="O318" s="20" t="str">
        <f>IF(Table4[[#This Row],[D pct]]="called","called",(Table4[[#This Row],[D 2pv]]+$E$7))</f>
        <v>called</v>
      </c>
      <c r="P31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8" s="21" t="str">
        <f>IF(Table4[[#This Row],[D captured of remain]]="called","called",Table4[[#This Row],[D captured of remain]]+Table4[[#This Row],[D pct]])</f>
        <v>called</v>
      </c>
      <c r="R318" s="22" t="str">
        <f>IF(Table4[[#This Row],[Expected D]]=1,"D",IF(Table4[[#This Row],[Expected R]]=1,"R",IF(Table4[[#This Row],[D total]]&gt;=0.5,"D","R")))</f>
        <v>R</v>
      </c>
      <c r="S318" s="22"/>
    </row>
    <row r="319" spans="2:23" x14ac:dyDescent="0.35">
      <c r="B319" s="27">
        <v>310</v>
      </c>
      <c r="C319" s="2" t="s">
        <v>376</v>
      </c>
      <c r="D319" s="2" t="s">
        <v>284</v>
      </c>
      <c r="E319" s="2" t="s">
        <v>28</v>
      </c>
      <c r="F319" s="2" t="s">
        <v>593</v>
      </c>
      <c r="G319" s="4" t="s">
        <v>502</v>
      </c>
      <c r="H31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19" s="2" t="str">
        <f>IF(OR(LEFT(Table4[[#This Row],[win_prob]],1)="D",LEFT(Table4[[#This Row],[win_prob]],1)="R"),LEFT(Table4[[#This Row],[win_prob]],1),LEFT(Table4[[#This Row],[Category]],1))</f>
        <v>R</v>
      </c>
      <c r="J31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1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19" s="16" t="str">
        <f>RIGHT(Table4[[#This Row],[Margin]],LEN(Table4[[#This Row],[Margin]])-FIND("+",Table4[[#This Row],[Margin]]))</f>
        <v>27</v>
      </c>
      <c r="M319" s="20" t="str">
        <f>IF(Table4[[#This Row],[listedprob]]=1,"called",IF(LEFT(Table4[[#This Row],[Margin]],1)="D",(Table4[[#This Row],[Numeric Margin]]/2+50)/100,(-Table4[[#This Row],[Numeric Margin]]/2+50)/100))</f>
        <v>called</v>
      </c>
      <c r="N319" s="20" t="str">
        <f>IFERROR(IF(Table4[[#This Row],[D 2pv]]="called","called",Table4[[#This Row],[D 2pv]]*Table4[[#This Row],[Percent of votes in% In]]),Table4[[#This Row],[D 2pv]]*0.95)</f>
        <v>called</v>
      </c>
      <c r="O319" s="20" t="str">
        <f>IF(Table4[[#This Row],[D pct]]="called","called",(Table4[[#This Row],[D 2pv]]+$E$7))</f>
        <v>called</v>
      </c>
      <c r="P31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19" s="21" t="str">
        <f>IF(Table4[[#This Row],[D captured of remain]]="called","called",Table4[[#This Row],[D captured of remain]]+Table4[[#This Row],[D pct]])</f>
        <v>called</v>
      </c>
      <c r="R319" s="22" t="str">
        <f>IF(Table4[[#This Row],[Expected D]]=1,"D",IF(Table4[[#This Row],[Expected R]]=1,"R",IF(Table4[[#This Row],[D total]]&gt;=0.5,"D","R")))</f>
        <v>R</v>
      </c>
      <c r="S319" s="22"/>
      <c r="V319" s="4"/>
    </row>
    <row r="320" spans="2:23" x14ac:dyDescent="0.35">
      <c r="B320" s="27">
        <v>311</v>
      </c>
      <c r="C320" s="2" t="s">
        <v>377</v>
      </c>
      <c r="D320" s="2" t="s">
        <v>284</v>
      </c>
      <c r="E320" s="4" t="s">
        <v>28</v>
      </c>
      <c r="F320" s="2" t="s">
        <v>602</v>
      </c>
      <c r="G320" s="4" t="s">
        <v>502</v>
      </c>
      <c r="H32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0" s="2" t="str">
        <f>IF(OR(LEFT(Table4[[#This Row],[win_prob]],1)="D",LEFT(Table4[[#This Row],[win_prob]],1)="R"),LEFT(Table4[[#This Row],[win_prob]],1),LEFT(Table4[[#This Row],[Category]],1))</f>
        <v>R</v>
      </c>
      <c r="J32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0" s="16" t="str">
        <f>RIGHT(Table4[[#This Row],[Margin]],LEN(Table4[[#This Row],[Margin]])-FIND("+",Table4[[#This Row],[Margin]]))</f>
        <v>50</v>
      </c>
      <c r="M320" s="20" t="str">
        <f>IF(Table4[[#This Row],[listedprob]]=1,"called",IF(LEFT(Table4[[#This Row],[Margin]],1)="D",(Table4[[#This Row],[Numeric Margin]]/2+50)/100,(-Table4[[#This Row],[Numeric Margin]]/2+50)/100))</f>
        <v>called</v>
      </c>
      <c r="N320" s="20" t="str">
        <f>IFERROR(IF(Table4[[#This Row],[D 2pv]]="called","called",Table4[[#This Row],[D 2pv]]*Table4[[#This Row],[Percent of votes in% In]]),Table4[[#This Row],[D 2pv]]*0.95)</f>
        <v>called</v>
      </c>
      <c r="O320" s="20" t="str">
        <f>IF(Table4[[#This Row],[D pct]]="called","called",(Table4[[#This Row],[D 2pv]]+$E$7))</f>
        <v>called</v>
      </c>
      <c r="P32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0" s="21" t="str">
        <f>IF(Table4[[#This Row],[D captured of remain]]="called","called",Table4[[#This Row],[D captured of remain]]+Table4[[#This Row],[D pct]])</f>
        <v>called</v>
      </c>
      <c r="R320" s="22" t="str">
        <f>IF(Table4[[#This Row],[Expected D]]=1,"D",IF(Table4[[#This Row],[Expected R]]=1,"R",IF(Table4[[#This Row],[D total]]&gt;=0.5,"D","R")))</f>
        <v>R</v>
      </c>
      <c r="S320" s="22"/>
      <c r="V320" s="4"/>
    </row>
    <row r="321" spans="2:23" x14ac:dyDescent="0.35">
      <c r="B321" s="27">
        <v>312</v>
      </c>
      <c r="C321" s="2" t="s">
        <v>378</v>
      </c>
      <c r="D321" s="2" t="s">
        <v>284</v>
      </c>
      <c r="E321" s="4" t="s">
        <v>28</v>
      </c>
      <c r="F321" s="2" t="s">
        <v>603</v>
      </c>
      <c r="G321" s="4" t="s">
        <v>502</v>
      </c>
      <c r="H32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1" s="2" t="str">
        <f>IF(OR(LEFT(Table4[[#This Row],[win_prob]],1)="D",LEFT(Table4[[#This Row],[win_prob]],1)="R"),LEFT(Table4[[#This Row],[win_prob]],1),LEFT(Table4[[#This Row],[Category]],1))</f>
        <v>R</v>
      </c>
      <c r="J32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1" s="16" t="str">
        <f>RIGHT(Table4[[#This Row],[Margin]],LEN(Table4[[#This Row],[Margin]])-FIND("+",Table4[[#This Row],[Margin]]))</f>
        <v>44</v>
      </c>
      <c r="M321" s="20" t="str">
        <f>IF(Table4[[#This Row],[listedprob]]=1,"called",IF(LEFT(Table4[[#This Row],[Margin]],1)="D",(Table4[[#This Row],[Numeric Margin]]/2+50)/100,(-Table4[[#This Row],[Numeric Margin]]/2+50)/100))</f>
        <v>called</v>
      </c>
      <c r="N321" s="20" t="str">
        <f>IFERROR(IF(Table4[[#This Row],[D 2pv]]="called","called",Table4[[#This Row],[D 2pv]]*Table4[[#This Row],[Percent of votes in% In]]),Table4[[#This Row],[D 2pv]]*0.95)</f>
        <v>called</v>
      </c>
      <c r="O321" s="20" t="str">
        <f>IF(Table4[[#This Row],[D pct]]="called","called",(Table4[[#This Row],[D 2pv]]+$E$7))</f>
        <v>called</v>
      </c>
      <c r="P32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1" s="21" t="str">
        <f>IF(Table4[[#This Row],[D captured of remain]]="called","called",Table4[[#This Row],[D captured of remain]]+Table4[[#This Row],[D pct]])</f>
        <v>called</v>
      </c>
      <c r="R321" s="22" t="str">
        <f>IF(Table4[[#This Row],[Expected D]]=1,"D",IF(Table4[[#This Row],[Expected R]]=1,"R",IF(Table4[[#This Row],[D total]]&gt;=0.5,"D","R")))</f>
        <v>R</v>
      </c>
      <c r="S321" s="22"/>
      <c r="V321" s="4"/>
    </row>
    <row r="322" spans="2:23" x14ac:dyDescent="0.35">
      <c r="B322" s="27">
        <v>313</v>
      </c>
      <c r="C322" s="2" t="s">
        <v>379</v>
      </c>
      <c r="D322" s="2" t="s">
        <v>284</v>
      </c>
      <c r="E322" s="4" t="s">
        <v>28</v>
      </c>
      <c r="F322" s="2" t="s">
        <v>600</v>
      </c>
      <c r="G322" s="4" t="s">
        <v>502</v>
      </c>
      <c r="H32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2" s="2" t="str">
        <f>IF(OR(LEFT(Table4[[#This Row],[win_prob]],1)="D",LEFT(Table4[[#This Row],[win_prob]],1)="R"),LEFT(Table4[[#This Row],[win_prob]],1),LEFT(Table4[[#This Row],[Category]],1))</f>
        <v>R</v>
      </c>
      <c r="J32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2" s="16" t="str">
        <f>RIGHT(Table4[[#This Row],[Margin]],LEN(Table4[[#This Row],[Margin]])-FIND("+",Table4[[#This Row],[Margin]]))</f>
        <v>34</v>
      </c>
      <c r="M322" s="20" t="str">
        <f>IF(Table4[[#This Row],[listedprob]]=1,"called",IF(LEFT(Table4[[#This Row],[Margin]],1)="D",(Table4[[#This Row],[Numeric Margin]]/2+50)/100,(-Table4[[#This Row],[Numeric Margin]]/2+50)/100))</f>
        <v>called</v>
      </c>
      <c r="N322" s="20" t="str">
        <f>IFERROR(IF(Table4[[#This Row],[D 2pv]]="called","called",Table4[[#This Row],[D 2pv]]*Table4[[#This Row],[Percent of votes in% In]]),Table4[[#This Row],[D 2pv]]*0.95)</f>
        <v>called</v>
      </c>
      <c r="O322" s="20" t="str">
        <f>IF(Table4[[#This Row],[D pct]]="called","called",(Table4[[#This Row],[D 2pv]]+$E$7))</f>
        <v>called</v>
      </c>
      <c r="P32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2" s="21" t="str">
        <f>IF(Table4[[#This Row],[D captured of remain]]="called","called",Table4[[#This Row],[D captured of remain]]+Table4[[#This Row],[D pct]])</f>
        <v>called</v>
      </c>
      <c r="R322" s="22" t="str">
        <f>IF(Table4[[#This Row],[Expected D]]=1,"D",IF(Table4[[#This Row],[Expected R]]=1,"R",IF(Table4[[#This Row],[D total]]&gt;=0.5,"D","R")))</f>
        <v>R</v>
      </c>
      <c r="S322" s="22"/>
      <c r="V322" s="4"/>
    </row>
    <row r="323" spans="2:23" x14ac:dyDescent="0.35">
      <c r="B323" s="27">
        <v>314</v>
      </c>
      <c r="C323" s="2" t="s">
        <v>380</v>
      </c>
      <c r="D323" s="2" t="s">
        <v>284</v>
      </c>
      <c r="E323" s="4" t="s">
        <v>28</v>
      </c>
      <c r="F323" s="2" t="s">
        <v>644</v>
      </c>
      <c r="G323" s="4" t="s">
        <v>502</v>
      </c>
      <c r="H32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3" s="2" t="str">
        <f>IF(OR(LEFT(Table4[[#This Row],[win_prob]],1)="D",LEFT(Table4[[#This Row],[win_prob]],1)="R"),LEFT(Table4[[#This Row],[win_prob]],1),LEFT(Table4[[#This Row],[Category]],1))</f>
        <v>R</v>
      </c>
      <c r="J32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3" s="16" t="str">
        <f>RIGHT(Table4[[#This Row],[Margin]],LEN(Table4[[#This Row],[Margin]])-FIND("+",Table4[[#This Row],[Margin]]))</f>
        <v>64</v>
      </c>
      <c r="M323" s="20" t="str">
        <f>IF(Table4[[#This Row],[listedprob]]=1,"called",IF(LEFT(Table4[[#This Row],[Margin]],1)="D",(Table4[[#This Row],[Numeric Margin]]/2+50)/100,(-Table4[[#This Row],[Numeric Margin]]/2+50)/100))</f>
        <v>called</v>
      </c>
      <c r="N323" s="20" t="str">
        <f>IFERROR(IF(Table4[[#This Row],[D 2pv]]="called","called",Table4[[#This Row],[D 2pv]]*Table4[[#This Row],[Percent of votes in% In]]),Table4[[#This Row],[D 2pv]]*0.95)</f>
        <v>called</v>
      </c>
      <c r="O323" s="20" t="str">
        <f>IF(Table4[[#This Row],[D pct]]="called","called",(Table4[[#This Row],[D 2pv]]+$E$7))</f>
        <v>called</v>
      </c>
      <c r="P32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3" s="21" t="str">
        <f>IF(Table4[[#This Row],[D captured of remain]]="called","called",Table4[[#This Row],[D captured of remain]]+Table4[[#This Row],[D pct]])</f>
        <v>called</v>
      </c>
      <c r="R323" s="22" t="str">
        <f>IF(Table4[[#This Row],[Expected D]]=1,"D",IF(Table4[[#This Row],[Expected R]]=1,"R",IF(Table4[[#This Row],[D total]]&gt;=0.5,"D","R")))</f>
        <v>R</v>
      </c>
      <c r="S323" s="22"/>
      <c r="V323" s="4"/>
    </row>
    <row r="324" spans="2:23" x14ac:dyDescent="0.35">
      <c r="B324" s="27">
        <v>315</v>
      </c>
      <c r="C324" s="2" t="s">
        <v>381</v>
      </c>
      <c r="D324" s="2" t="s">
        <v>284</v>
      </c>
      <c r="E324" s="4" t="s">
        <v>28</v>
      </c>
      <c r="F324" s="2" t="s">
        <v>590</v>
      </c>
      <c r="G324" s="4" t="s">
        <v>502</v>
      </c>
      <c r="H32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4" s="2" t="str">
        <f>IF(OR(LEFT(Table4[[#This Row],[win_prob]],1)="D",LEFT(Table4[[#This Row],[win_prob]],1)="R"),LEFT(Table4[[#This Row],[win_prob]],1),LEFT(Table4[[#This Row],[Category]],1))</f>
        <v>R</v>
      </c>
      <c r="J32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4" s="16" t="str">
        <f>RIGHT(Table4[[#This Row],[Margin]],LEN(Table4[[#This Row],[Margin]])-FIND("+",Table4[[#This Row],[Margin]]))</f>
        <v>30</v>
      </c>
      <c r="M324" s="20" t="str">
        <f>IF(Table4[[#This Row],[listedprob]]=1,"called",IF(LEFT(Table4[[#This Row],[Margin]],1)="D",(Table4[[#This Row],[Numeric Margin]]/2+50)/100,(-Table4[[#This Row],[Numeric Margin]]/2+50)/100))</f>
        <v>called</v>
      </c>
      <c r="N324" s="20" t="str">
        <f>IFERROR(IF(Table4[[#This Row],[D 2pv]]="called","called",Table4[[#This Row],[D 2pv]]*Table4[[#This Row],[Percent of votes in% In]]),Table4[[#This Row],[D 2pv]]*0.95)</f>
        <v>called</v>
      </c>
      <c r="O324" s="20" t="str">
        <f>IF(Table4[[#This Row],[D pct]]="called","called",(Table4[[#This Row],[D 2pv]]+$E$7))</f>
        <v>called</v>
      </c>
      <c r="P32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4" s="21" t="str">
        <f>IF(Table4[[#This Row],[D captured of remain]]="called","called",Table4[[#This Row],[D captured of remain]]+Table4[[#This Row],[D pct]])</f>
        <v>called</v>
      </c>
      <c r="R324" s="22" t="str">
        <f>IF(Table4[[#This Row],[Expected D]]=1,"D",IF(Table4[[#This Row],[Expected R]]=1,"R",IF(Table4[[#This Row],[D total]]&gt;=0.5,"D","R")))</f>
        <v>R</v>
      </c>
      <c r="S324" s="22"/>
    </row>
    <row r="325" spans="2:23" x14ac:dyDescent="0.35">
      <c r="B325" s="27">
        <v>316</v>
      </c>
      <c r="C325" s="2" t="s">
        <v>382</v>
      </c>
      <c r="D325" s="2" t="s">
        <v>284</v>
      </c>
      <c r="E325" s="2" t="s">
        <v>28</v>
      </c>
      <c r="F325" s="2" t="s">
        <v>604</v>
      </c>
      <c r="G325" s="4" t="s">
        <v>502</v>
      </c>
      <c r="H32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5" s="2" t="str">
        <f>IF(OR(LEFT(Table4[[#This Row],[win_prob]],1)="D",LEFT(Table4[[#This Row],[win_prob]],1)="R"),LEFT(Table4[[#This Row],[win_prob]],1),LEFT(Table4[[#This Row],[Category]],1))</f>
        <v>R</v>
      </c>
      <c r="J32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5" s="16" t="str">
        <f>RIGHT(Table4[[#This Row],[Margin]],LEN(Table4[[#This Row],[Margin]])-FIND("+",Table4[[#This Row],[Margin]]))</f>
        <v>48</v>
      </c>
      <c r="M325" s="20" t="str">
        <f>IF(Table4[[#This Row],[listedprob]]=1,"called",IF(LEFT(Table4[[#This Row],[Margin]],1)="D",(Table4[[#This Row],[Numeric Margin]]/2+50)/100,(-Table4[[#This Row],[Numeric Margin]]/2+50)/100))</f>
        <v>called</v>
      </c>
      <c r="N325" s="20" t="str">
        <f>IFERROR(IF(Table4[[#This Row],[D 2pv]]="called","called",Table4[[#This Row],[D 2pv]]*Table4[[#This Row],[Percent of votes in% In]]),Table4[[#This Row],[D 2pv]]*0.95)</f>
        <v>called</v>
      </c>
      <c r="O325" s="20" t="str">
        <f>IF(Table4[[#This Row],[D pct]]="called","called",(Table4[[#This Row],[D 2pv]]+$E$7))</f>
        <v>called</v>
      </c>
      <c r="P32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5" s="21" t="str">
        <f>IF(Table4[[#This Row],[D captured of remain]]="called","called",Table4[[#This Row],[D captured of remain]]+Table4[[#This Row],[D pct]])</f>
        <v>called</v>
      </c>
      <c r="R325" s="22" t="str">
        <f>IF(Table4[[#This Row],[Expected D]]=1,"D",IF(Table4[[#This Row],[Expected R]]=1,"R",IF(Table4[[#This Row],[D total]]&gt;=0.5,"D","R")))</f>
        <v>R</v>
      </c>
      <c r="S325" s="22"/>
      <c r="V325" s="4"/>
    </row>
    <row r="326" spans="2:23" x14ac:dyDescent="0.35">
      <c r="B326" s="27">
        <v>317</v>
      </c>
      <c r="C326" s="2" t="s">
        <v>383</v>
      </c>
      <c r="D326" s="2" t="s">
        <v>284</v>
      </c>
      <c r="E326" s="4" t="s">
        <v>28</v>
      </c>
      <c r="F326" s="2" t="s">
        <v>605</v>
      </c>
      <c r="G326" s="4" t="s">
        <v>502</v>
      </c>
      <c r="H32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6" s="2" t="str">
        <f>IF(OR(LEFT(Table4[[#This Row],[win_prob]],1)="D",LEFT(Table4[[#This Row],[win_prob]],1)="R"),LEFT(Table4[[#This Row],[win_prob]],1),LEFT(Table4[[#This Row],[Category]],1))</f>
        <v>R</v>
      </c>
      <c r="J32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6" s="16" t="str">
        <f>RIGHT(Table4[[#This Row],[Margin]],LEN(Table4[[#This Row],[Margin]])-FIND("+",Table4[[#This Row],[Margin]]))</f>
        <v>53</v>
      </c>
      <c r="M326" s="20" t="str">
        <f>IF(Table4[[#This Row],[listedprob]]=1,"called",IF(LEFT(Table4[[#This Row],[Margin]],1)="D",(Table4[[#This Row],[Numeric Margin]]/2+50)/100,(-Table4[[#This Row],[Numeric Margin]]/2+50)/100))</f>
        <v>called</v>
      </c>
      <c r="N326" s="20" t="str">
        <f>IFERROR(IF(Table4[[#This Row],[D 2pv]]="called","called",Table4[[#This Row],[D 2pv]]*Table4[[#This Row],[Percent of votes in% In]]),Table4[[#This Row],[D 2pv]]*0.95)</f>
        <v>called</v>
      </c>
      <c r="O326" s="20" t="str">
        <f>IF(Table4[[#This Row],[D pct]]="called","called",(Table4[[#This Row],[D 2pv]]+$E$7))</f>
        <v>called</v>
      </c>
      <c r="P32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6" s="21" t="str">
        <f>IF(Table4[[#This Row],[D captured of remain]]="called","called",Table4[[#This Row],[D captured of remain]]+Table4[[#This Row],[D pct]])</f>
        <v>called</v>
      </c>
      <c r="R326" s="22" t="str">
        <f>IF(Table4[[#This Row],[Expected D]]=1,"D",IF(Table4[[#This Row],[Expected R]]=1,"R",IF(Table4[[#This Row],[D total]]&gt;=0.5,"D","R")))</f>
        <v>R</v>
      </c>
      <c r="S326" s="22"/>
      <c r="V326" s="4"/>
    </row>
    <row r="327" spans="2:23" x14ac:dyDescent="0.35">
      <c r="B327" s="27">
        <v>318</v>
      </c>
      <c r="C327" s="2" t="s">
        <v>384</v>
      </c>
      <c r="D327" s="2" t="s">
        <v>320</v>
      </c>
      <c r="E327" s="4"/>
      <c r="F327" s="2" t="s">
        <v>577</v>
      </c>
      <c r="G327" s="4" t="s">
        <v>502</v>
      </c>
      <c r="H32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7" s="2" t="str">
        <f>IF(OR(LEFT(Table4[[#This Row],[win_prob]],1)="D",LEFT(Table4[[#This Row],[win_prob]],1)="R"),LEFT(Table4[[#This Row],[win_prob]],1),LEFT(Table4[[#This Row],[Category]],1))</f>
        <v>R</v>
      </c>
      <c r="J32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7" s="16" t="e">
        <f>RIGHT(Table4[[#This Row],[Margin]],LEN(Table4[[#This Row],[Margin]])-FIND("+",Table4[[#This Row],[Margin]]))</f>
        <v>#VALUE!</v>
      </c>
      <c r="M327" s="20" t="str">
        <f>IF(Table4[[#This Row],[listedprob]]=1,"called",IF(LEFT(Table4[[#This Row],[Margin]],1)="D",(Table4[[#This Row],[Numeric Margin]]/2+50)/100,(-Table4[[#This Row],[Numeric Margin]]/2+50)/100))</f>
        <v>called</v>
      </c>
      <c r="N327" s="20" t="str">
        <f>IFERROR(IF(Table4[[#This Row],[D 2pv]]="called","called",Table4[[#This Row],[D 2pv]]*Table4[[#This Row],[Percent of votes in% In]]),Table4[[#This Row],[D 2pv]]*0.95)</f>
        <v>called</v>
      </c>
      <c r="O327" s="20" t="str">
        <f>IF(Table4[[#This Row],[D pct]]="called","called",(Table4[[#This Row],[D 2pv]]+$E$7))</f>
        <v>called</v>
      </c>
      <c r="P32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7" s="21" t="str">
        <f>IF(Table4[[#This Row],[D captured of remain]]="called","called",Table4[[#This Row],[D captured of remain]]+Table4[[#This Row],[D pct]])</f>
        <v>called</v>
      </c>
      <c r="R327" s="22" t="str">
        <f>IF(Table4[[#This Row],[Expected D]]=1,"D",IF(Table4[[#This Row],[Expected R]]=1,"R",IF(Table4[[#This Row],[D total]]&gt;=0.5,"D","R")))</f>
        <v>R</v>
      </c>
      <c r="S327" s="22"/>
    </row>
    <row r="328" spans="2:23" x14ac:dyDescent="0.35">
      <c r="B328" s="27">
        <v>319</v>
      </c>
      <c r="C328" s="2" t="s">
        <v>385</v>
      </c>
      <c r="D328" s="2" t="s">
        <v>284</v>
      </c>
      <c r="E328" s="2" t="s">
        <v>28</v>
      </c>
      <c r="F328" s="2" t="s">
        <v>606</v>
      </c>
      <c r="G328" s="4" t="s">
        <v>502</v>
      </c>
      <c r="H32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8" s="2" t="str">
        <f>IF(OR(LEFT(Table4[[#This Row],[win_prob]],1)="D",LEFT(Table4[[#This Row],[win_prob]],1)="R"),LEFT(Table4[[#This Row],[win_prob]],1),LEFT(Table4[[#This Row],[Category]],1))</f>
        <v>R</v>
      </c>
      <c r="J32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8" s="16" t="str">
        <f>RIGHT(Table4[[#This Row],[Margin]],LEN(Table4[[#This Row],[Margin]])-FIND("+",Table4[[#This Row],[Margin]]))</f>
        <v>52</v>
      </c>
      <c r="M328" s="20" t="str">
        <f>IF(Table4[[#This Row],[listedprob]]=1,"called",IF(LEFT(Table4[[#This Row],[Margin]],1)="D",(Table4[[#This Row],[Numeric Margin]]/2+50)/100,(-Table4[[#This Row],[Numeric Margin]]/2+50)/100))</f>
        <v>called</v>
      </c>
      <c r="N328" s="20" t="str">
        <f>IFERROR(IF(Table4[[#This Row],[D 2pv]]="called","called",Table4[[#This Row],[D 2pv]]*Table4[[#This Row],[Percent of votes in% In]]),Table4[[#This Row],[D 2pv]]*0.95)</f>
        <v>called</v>
      </c>
      <c r="O328" s="20" t="str">
        <f>IF(Table4[[#This Row],[D pct]]="called","called",(Table4[[#This Row],[D 2pv]]+$E$7))</f>
        <v>called</v>
      </c>
      <c r="P32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8" s="21" t="str">
        <f>IF(Table4[[#This Row],[D captured of remain]]="called","called",Table4[[#This Row],[D captured of remain]]+Table4[[#This Row],[D pct]])</f>
        <v>called</v>
      </c>
      <c r="R328" s="22" t="str">
        <f>IF(Table4[[#This Row],[Expected D]]=1,"D",IF(Table4[[#This Row],[Expected R]]=1,"R",IF(Table4[[#This Row],[D total]]&gt;=0.5,"D","R")))</f>
        <v>R</v>
      </c>
      <c r="S328" s="22"/>
    </row>
    <row r="329" spans="2:23" x14ac:dyDescent="0.35">
      <c r="B329" s="27">
        <v>320</v>
      </c>
      <c r="C329" s="2" t="s">
        <v>386</v>
      </c>
      <c r="D329" s="2" t="s">
        <v>284</v>
      </c>
      <c r="E329" s="2" t="s">
        <v>28</v>
      </c>
      <c r="F329" s="2" t="s">
        <v>607</v>
      </c>
      <c r="G329" s="4" t="s">
        <v>502</v>
      </c>
      <c r="H32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29" s="2" t="str">
        <f>IF(OR(LEFT(Table4[[#This Row],[win_prob]],1)="D",LEFT(Table4[[#This Row],[win_prob]],1)="R"),LEFT(Table4[[#This Row],[win_prob]],1),LEFT(Table4[[#This Row],[Category]],1))</f>
        <v>R</v>
      </c>
      <c r="J32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2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29" s="16" t="str">
        <f>RIGHT(Table4[[#This Row],[Margin]],LEN(Table4[[#This Row],[Margin]])-FIND("+",Table4[[#This Row],[Margin]]))</f>
        <v>67</v>
      </c>
      <c r="M329" s="20" t="str">
        <f>IF(Table4[[#This Row],[listedprob]]=1,"called",IF(LEFT(Table4[[#This Row],[Margin]],1)="D",(Table4[[#This Row],[Numeric Margin]]/2+50)/100,(-Table4[[#This Row],[Numeric Margin]]/2+50)/100))</f>
        <v>called</v>
      </c>
      <c r="N329" s="20" t="str">
        <f>IFERROR(IF(Table4[[#This Row],[D 2pv]]="called","called",Table4[[#This Row],[D 2pv]]*Table4[[#This Row],[Percent of votes in% In]]),Table4[[#This Row],[D 2pv]]*0.95)</f>
        <v>called</v>
      </c>
      <c r="O329" s="20" t="str">
        <f>IF(Table4[[#This Row],[D pct]]="called","called",(Table4[[#This Row],[D 2pv]]+$E$7))</f>
        <v>called</v>
      </c>
      <c r="P32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29" s="21" t="str">
        <f>IF(Table4[[#This Row],[D captured of remain]]="called","called",Table4[[#This Row],[D captured of remain]]+Table4[[#This Row],[D pct]])</f>
        <v>called</v>
      </c>
      <c r="R329" s="22" t="str">
        <f>IF(Table4[[#This Row],[Expected D]]=1,"D",IF(Table4[[#This Row],[Expected R]]=1,"R",IF(Table4[[#This Row],[D total]]&gt;=0.5,"D","R")))</f>
        <v>R</v>
      </c>
      <c r="S329" s="22"/>
    </row>
    <row r="330" spans="2:23" x14ac:dyDescent="0.35">
      <c r="B330" s="27">
        <v>321</v>
      </c>
      <c r="C330" s="2" t="s">
        <v>387</v>
      </c>
      <c r="D330" s="2" t="s">
        <v>284</v>
      </c>
      <c r="E330" s="2" t="s">
        <v>28</v>
      </c>
      <c r="F330" s="2" t="s">
        <v>569</v>
      </c>
      <c r="G330" s="4" t="s">
        <v>502</v>
      </c>
      <c r="H33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0" s="2" t="str">
        <f>IF(OR(LEFT(Table4[[#This Row],[win_prob]],1)="D",LEFT(Table4[[#This Row],[win_prob]],1)="R"),LEFT(Table4[[#This Row],[win_prob]],1),LEFT(Table4[[#This Row],[Category]],1))</f>
        <v>R</v>
      </c>
      <c r="J33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0" s="16" t="str">
        <f>RIGHT(Table4[[#This Row],[Margin]],LEN(Table4[[#This Row],[Margin]])-FIND("+",Table4[[#This Row],[Margin]]))</f>
        <v>14</v>
      </c>
      <c r="M330" s="20" t="str">
        <f>IF(Table4[[#This Row],[listedprob]]=1,"called",IF(LEFT(Table4[[#This Row],[Margin]],1)="D",(Table4[[#This Row],[Numeric Margin]]/2+50)/100,(-Table4[[#This Row],[Numeric Margin]]/2+50)/100))</f>
        <v>called</v>
      </c>
      <c r="N330" s="20" t="str">
        <f>IFERROR(IF(Table4[[#This Row],[D 2pv]]="called","called",Table4[[#This Row],[D 2pv]]*Table4[[#This Row],[Percent of votes in% In]]),Table4[[#This Row],[D 2pv]]*0.95)</f>
        <v>called</v>
      </c>
      <c r="O330" s="20" t="str">
        <f>IF(Table4[[#This Row],[D pct]]="called","called",(Table4[[#This Row],[D 2pv]]+$E$7))</f>
        <v>called</v>
      </c>
      <c r="P33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0" s="21" t="str">
        <f>IF(Table4[[#This Row],[D captured of remain]]="called","called",Table4[[#This Row],[D captured of remain]]+Table4[[#This Row],[D pct]])</f>
        <v>called</v>
      </c>
      <c r="R330" s="22" t="str">
        <f>IF(Table4[[#This Row],[Expected D]]=1,"D",IF(Table4[[#This Row],[Expected R]]=1,"R",IF(Table4[[#This Row],[D total]]&gt;=0.5,"D","R")))</f>
        <v>R</v>
      </c>
      <c r="S330" s="22"/>
    </row>
    <row r="331" spans="2:23" x14ac:dyDescent="0.35">
      <c r="B331" s="27">
        <v>322</v>
      </c>
      <c r="C331" s="2" t="s">
        <v>388</v>
      </c>
      <c r="D331" s="2" t="s">
        <v>284</v>
      </c>
      <c r="E331" s="2" t="s">
        <v>28</v>
      </c>
      <c r="F331" s="2" t="s">
        <v>566</v>
      </c>
      <c r="G331" s="4" t="s">
        <v>502</v>
      </c>
      <c r="H33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1" s="2" t="str">
        <f>IF(OR(LEFT(Table4[[#This Row],[win_prob]],1)="D",LEFT(Table4[[#This Row],[win_prob]],1)="R"),LEFT(Table4[[#This Row],[win_prob]],1),LEFT(Table4[[#This Row],[Category]],1))</f>
        <v>R</v>
      </c>
      <c r="J33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1" s="16" t="str">
        <f>RIGHT(Table4[[#This Row],[Margin]],LEN(Table4[[#This Row],[Margin]])-FIND("+",Table4[[#This Row],[Margin]]))</f>
        <v>22</v>
      </c>
      <c r="M331" s="20" t="str">
        <f>IF(Table4[[#This Row],[listedprob]]=1,"called",IF(LEFT(Table4[[#This Row],[Margin]],1)="D",(Table4[[#This Row],[Numeric Margin]]/2+50)/100,(-Table4[[#This Row],[Numeric Margin]]/2+50)/100))</f>
        <v>called</v>
      </c>
      <c r="N331" s="20" t="str">
        <f>IFERROR(IF(Table4[[#This Row],[D 2pv]]="called","called",Table4[[#This Row],[D 2pv]]*Table4[[#This Row],[Percent of votes in% In]]),Table4[[#This Row],[D 2pv]]*0.95)</f>
        <v>called</v>
      </c>
      <c r="O331" s="20" t="str">
        <f>IF(Table4[[#This Row],[D pct]]="called","called",(Table4[[#This Row],[D 2pv]]+$E$7))</f>
        <v>called</v>
      </c>
      <c r="P33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1" s="21" t="str">
        <f>IF(Table4[[#This Row],[D captured of remain]]="called","called",Table4[[#This Row],[D captured of remain]]+Table4[[#This Row],[D pct]])</f>
        <v>called</v>
      </c>
      <c r="R331" s="22" t="str">
        <f>IF(Table4[[#This Row],[Expected D]]=1,"D",IF(Table4[[#This Row],[Expected R]]=1,"R",IF(Table4[[#This Row],[D total]]&gt;=0.5,"D","R")))</f>
        <v>R</v>
      </c>
      <c r="S331" s="22"/>
      <c r="W331" s="4"/>
    </row>
    <row r="332" spans="2:23" x14ac:dyDescent="0.35">
      <c r="B332" s="27">
        <v>323</v>
      </c>
      <c r="C332" s="2" t="s">
        <v>389</v>
      </c>
      <c r="D332" s="2" t="s">
        <v>284</v>
      </c>
      <c r="E332" s="2" t="s">
        <v>28</v>
      </c>
      <c r="F332" s="2" t="s">
        <v>596</v>
      </c>
      <c r="G332" s="4" t="s">
        <v>502</v>
      </c>
      <c r="H33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2" s="2" t="str">
        <f>IF(OR(LEFT(Table4[[#This Row],[win_prob]],1)="D",LEFT(Table4[[#This Row],[win_prob]],1)="R"),LEFT(Table4[[#This Row],[win_prob]],1),LEFT(Table4[[#This Row],[Category]],1))</f>
        <v>R</v>
      </c>
      <c r="J33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2" s="16" t="str">
        <f>RIGHT(Table4[[#This Row],[Margin]],LEN(Table4[[#This Row],[Margin]])-FIND("+",Table4[[#This Row],[Margin]]))</f>
        <v>29</v>
      </c>
      <c r="M332" s="20" t="str">
        <f>IF(Table4[[#This Row],[listedprob]]=1,"called",IF(LEFT(Table4[[#This Row],[Margin]],1)="D",(Table4[[#This Row],[Numeric Margin]]/2+50)/100,(-Table4[[#This Row],[Numeric Margin]]/2+50)/100))</f>
        <v>called</v>
      </c>
      <c r="N332" s="20" t="str">
        <f>IFERROR(IF(Table4[[#This Row],[D 2pv]]="called","called",Table4[[#This Row],[D 2pv]]*Table4[[#This Row],[Percent of votes in% In]]),Table4[[#This Row],[D 2pv]]*0.95)</f>
        <v>called</v>
      </c>
      <c r="O332" s="20" t="str">
        <f>IF(Table4[[#This Row],[D pct]]="called","called",(Table4[[#This Row],[D 2pv]]+$E$7))</f>
        <v>called</v>
      </c>
      <c r="P33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2" s="21" t="str">
        <f>IF(Table4[[#This Row],[D captured of remain]]="called","called",Table4[[#This Row],[D captured of remain]]+Table4[[#This Row],[D pct]])</f>
        <v>called</v>
      </c>
      <c r="R332" s="22" t="str">
        <f>IF(Table4[[#This Row],[Expected D]]=1,"D",IF(Table4[[#This Row],[Expected R]]=1,"R",IF(Table4[[#This Row],[D total]]&gt;=0.5,"D","R")))</f>
        <v>R</v>
      </c>
      <c r="S332" s="22"/>
      <c r="W332" s="4"/>
    </row>
    <row r="333" spans="2:23" x14ac:dyDescent="0.35">
      <c r="B333" s="27">
        <v>324</v>
      </c>
      <c r="C333" s="2" t="s">
        <v>390</v>
      </c>
      <c r="D333" s="2" t="s">
        <v>284</v>
      </c>
      <c r="E333" s="2" t="s">
        <v>28</v>
      </c>
      <c r="F333" s="2" t="s">
        <v>564</v>
      </c>
      <c r="G333" s="4" t="s">
        <v>502</v>
      </c>
      <c r="H33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3" s="2" t="str">
        <f>IF(OR(LEFT(Table4[[#This Row],[win_prob]],1)="D",LEFT(Table4[[#This Row],[win_prob]],1)="R"),LEFT(Table4[[#This Row],[win_prob]],1),LEFT(Table4[[#This Row],[Category]],1))</f>
        <v>R</v>
      </c>
      <c r="J33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3" s="16" t="str">
        <f>RIGHT(Table4[[#This Row],[Margin]],LEN(Table4[[#This Row],[Margin]])-FIND("+",Table4[[#This Row],[Margin]]))</f>
        <v>12</v>
      </c>
      <c r="M333" s="20" t="str">
        <f>IF(Table4[[#This Row],[listedprob]]=1,"called",IF(LEFT(Table4[[#This Row],[Margin]],1)="D",(Table4[[#This Row],[Numeric Margin]]/2+50)/100,(-Table4[[#This Row],[Numeric Margin]]/2+50)/100))</f>
        <v>called</v>
      </c>
      <c r="N333" s="20" t="str">
        <f>IFERROR(IF(Table4[[#This Row],[D 2pv]]="called","called",Table4[[#This Row],[D 2pv]]*Table4[[#This Row],[Percent of votes in% In]]),Table4[[#This Row],[D 2pv]]*0.95)</f>
        <v>called</v>
      </c>
      <c r="O333" s="20" t="str">
        <f>IF(Table4[[#This Row],[D pct]]="called","called",(Table4[[#This Row],[D 2pv]]+$E$7))</f>
        <v>called</v>
      </c>
      <c r="P33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3" s="21" t="str">
        <f>IF(Table4[[#This Row],[D captured of remain]]="called","called",Table4[[#This Row],[D captured of remain]]+Table4[[#This Row],[D pct]])</f>
        <v>called</v>
      </c>
      <c r="R333" s="22" t="str">
        <f>IF(Table4[[#This Row],[Expected D]]=1,"D",IF(Table4[[#This Row],[Expected R]]=1,"R",IF(Table4[[#This Row],[D total]]&gt;=0.5,"D","R")))</f>
        <v>R</v>
      </c>
      <c r="S333" s="22"/>
    </row>
    <row r="334" spans="2:23" x14ac:dyDescent="0.35">
      <c r="B334" s="27">
        <v>325</v>
      </c>
      <c r="C334" s="2" t="s">
        <v>391</v>
      </c>
      <c r="D334" s="2" t="s">
        <v>284</v>
      </c>
      <c r="E334" s="2" t="s">
        <v>28</v>
      </c>
      <c r="F334" s="2" t="s">
        <v>591</v>
      </c>
      <c r="G334" s="4" t="s">
        <v>502</v>
      </c>
      <c r="H33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4" s="2" t="str">
        <f>IF(OR(LEFT(Table4[[#This Row],[win_prob]],1)="D",LEFT(Table4[[#This Row],[win_prob]],1)="R"),LEFT(Table4[[#This Row],[win_prob]],1),LEFT(Table4[[#This Row],[Category]],1))</f>
        <v>R</v>
      </c>
      <c r="J33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4" s="16" t="str">
        <f>RIGHT(Table4[[#This Row],[Margin]],LEN(Table4[[#This Row],[Margin]])-FIND("+",Table4[[#This Row],[Margin]]))</f>
        <v>28</v>
      </c>
      <c r="M334" s="20" t="str">
        <f>IF(Table4[[#This Row],[listedprob]]=1,"called",IF(LEFT(Table4[[#This Row],[Margin]],1)="D",(Table4[[#This Row],[Numeric Margin]]/2+50)/100,(-Table4[[#This Row],[Numeric Margin]]/2+50)/100))</f>
        <v>called</v>
      </c>
      <c r="N334" s="20" t="str">
        <f>IFERROR(IF(Table4[[#This Row],[D 2pv]]="called","called",Table4[[#This Row],[D 2pv]]*Table4[[#This Row],[Percent of votes in% In]]),Table4[[#This Row],[D 2pv]]*0.95)</f>
        <v>called</v>
      </c>
      <c r="O334" s="20" t="str">
        <f>IF(Table4[[#This Row],[D pct]]="called","called",(Table4[[#This Row],[D 2pv]]+$E$7))</f>
        <v>called</v>
      </c>
      <c r="P33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4" s="21" t="str">
        <f>IF(Table4[[#This Row],[D captured of remain]]="called","called",Table4[[#This Row],[D captured of remain]]+Table4[[#This Row],[D pct]])</f>
        <v>called</v>
      </c>
      <c r="R334" s="22" t="str">
        <f>IF(Table4[[#This Row],[Expected D]]=1,"D",IF(Table4[[#This Row],[Expected R]]=1,"R",IF(Table4[[#This Row],[D total]]&gt;=0.5,"D","R")))</f>
        <v>R</v>
      </c>
      <c r="S334" s="22"/>
    </row>
    <row r="335" spans="2:23" x14ac:dyDescent="0.35">
      <c r="B335" s="27">
        <v>326</v>
      </c>
      <c r="C335" s="2" t="s">
        <v>392</v>
      </c>
      <c r="D335" s="2" t="s">
        <v>284</v>
      </c>
      <c r="E335" s="2" t="s">
        <v>28</v>
      </c>
      <c r="F335" s="2" t="s">
        <v>580</v>
      </c>
      <c r="G335" s="4" t="s">
        <v>502</v>
      </c>
      <c r="H33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5" s="2" t="str">
        <f>IF(OR(LEFT(Table4[[#This Row],[win_prob]],1)="D",LEFT(Table4[[#This Row],[win_prob]],1)="R"),LEFT(Table4[[#This Row],[win_prob]],1),LEFT(Table4[[#This Row],[Category]],1))</f>
        <v>R</v>
      </c>
      <c r="J33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5" s="16" t="str">
        <f>RIGHT(Table4[[#This Row],[Margin]],LEN(Table4[[#This Row],[Margin]])-FIND("+",Table4[[#This Row],[Margin]]))</f>
        <v>31</v>
      </c>
      <c r="M335" s="20" t="str">
        <f>IF(Table4[[#This Row],[listedprob]]=1,"called",IF(LEFT(Table4[[#This Row],[Margin]],1)="D",(Table4[[#This Row],[Numeric Margin]]/2+50)/100,(-Table4[[#This Row],[Numeric Margin]]/2+50)/100))</f>
        <v>called</v>
      </c>
      <c r="N335" s="20" t="str">
        <f>IFERROR(IF(Table4[[#This Row],[D 2pv]]="called","called",Table4[[#This Row],[D 2pv]]*Table4[[#This Row],[Percent of votes in% In]]),Table4[[#This Row],[D 2pv]]*0.95)</f>
        <v>called</v>
      </c>
      <c r="O335" s="20" t="str">
        <f>IF(Table4[[#This Row],[D pct]]="called","called",(Table4[[#This Row],[D 2pv]]+$E$7))</f>
        <v>called</v>
      </c>
      <c r="P33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5" s="21" t="str">
        <f>IF(Table4[[#This Row],[D captured of remain]]="called","called",Table4[[#This Row],[D captured of remain]]+Table4[[#This Row],[D pct]])</f>
        <v>called</v>
      </c>
      <c r="R335" s="22" t="str">
        <f>IF(Table4[[#This Row],[Expected D]]=1,"D",IF(Table4[[#This Row],[Expected R]]=1,"R",IF(Table4[[#This Row],[D total]]&gt;=0.5,"D","R")))</f>
        <v>R</v>
      </c>
      <c r="S335" s="22"/>
      <c r="V335" s="4"/>
    </row>
    <row r="336" spans="2:23" x14ac:dyDescent="0.35">
      <c r="B336" s="27">
        <v>327</v>
      </c>
      <c r="C336" s="2" t="s">
        <v>393</v>
      </c>
      <c r="D336" s="2" t="s">
        <v>284</v>
      </c>
      <c r="E336" s="4" t="s">
        <v>28</v>
      </c>
      <c r="F336" s="2" t="s">
        <v>567</v>
      </c>
      <c r="G336" s="4" t="s">
        <v>502</v>
      </c>
      <c r="H33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6" s="2" t="str">
        <f>IF(OR(LEFT(Table4[[#This Row],[win_prob]],1)="D",LEFT(Table4[[#This Row],[win_prob]],1)="R"),LEFT(Table4[[#This Row],[win_prob]],1),LEFT(Table4[[#This Row],[Category]],1))</f>
        <v>R</v>
      </c>
      <c r="J33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6" s="16" t="str">
        <f>RIGHT(Table4[[#This Row],[Margin]],LEN(Table4[[#This Row],[Margin]])-FIND("+",Table4[[#This Row],[Margin]]))</f>
        <v>24</v>
      </c>
      <c r="M336" s="20" t="str">
        <f>IF(Table4[[#This Row],[listedprob]]=1,"called",IF(LEFT(Table4[[#This Row],[Margin]],1)="D",(Table4[[#This Row],[Numeric Margin]]/2+50)/100,(-Table4[[#This Row],[Numeric Margin]]/2+50)/100))</f>
        <v>called</v>
      </c>
      <c r="N336" s="20" t="str">
        <f>IFERROR(IF(Table4[[#This Row],[D 2pv]]="called","called",Table4[[#This Row],[D 2pv]]*Table4[[#This Row],[Percent of votes in% In]]),Table4[[#This Row],[D 2pv]]*0.95)</f>
        <v>called</v>
      </c>
      <c r="O336" s="20" t="str">
        <f>IF(Table4[[#This Row],[D pct]]="called","called",(Table4[[#This Row],[D 2pv]]+$E$7))</f>
        <v>called</v>
      </c>
      <c r="P33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6" s="21" t="str">
        <f>IF(Table4[[#This Row],[D captured of remain]]="called","called",Table4[[#This Row],[D captured of remain]]+Table4[[#This Row],[D pct]])</f>
        <v>called</v>
      </c>
      <c r="R336" s="22" t="str">
        <f>IF(Table4[[#This Row],[Expected D]]=1,"D",IF(Table4[[#This Row],[Expected R]]=1,"R",IF(Table4[[#This Row],[D total]]&gt;=0.5,"D","R")))</f>
        <v>R</v>
      </c>
      <c r="S336" s="22"/>
    </row>
    <row r="337" spans="2:23" x14ac:dyDescent="0.35">
      <c r="B337" s="27">
        <v>328</v>
      </c>
      <c r="C337" s="2" t="s">
        <v>394</v>
      </c>
      <c r="D337" s="2" t="s">
        <v>284</v>
      </c>
      <c r="E337" s="2" t="s">
        <v>28</v>
      </c>
      <c r="F337" s="2" t="s">
        <v>608</v>
      </c>
      <c r="G337" s="4" t="s">
        <v>502</v>
      </c>
      <c r="H33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7" s="2" t="str">
        <f>IF(OR(LEFT(Table4[[#This Row],[win_prob]],1)="D",LEFT(Table4[[#This Row],[win_prob]],1)="R"),LEFT(Table4[[#This Row],[win_prob]],1),LEFT(Table4[[#This Row],[Category]],1))</f>
        <v>R</v>
      </c>
      <c r="J33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7" s="16" t="str">
        <f>RIGHT(Table4[[#This Row],[Margin]],LEN(Table4[[#This Row],[Margin]])-FIND("+",Table4[[#This Row],[Margin]]))</f>
        <v>39</v>
      </c>
      <c r="M337" s="20" t="str">
        <f>IF(Table4[[#This Row],[listedprob]]=1,"called",IF(LEFT(Table4[[#This Row],[Margin]],1)="D",(Table4[[#This Row],[Numeric Margin]]/2+50)/100,(-Table4[[#This Row],[Numeric Margin]]/2+50)/100))</f>
        <v>called</v>
      </c>
      <c r="N337" s="20" t="str">
        <f>IFERROR(IF(Table4[[#This Row],[D 2pv]]="called","called",Table4[[#This Row],[D 2pv]]*Table4[[#This Row],[Percent of votes in% In]]),Table4[[#This Row],[D 2pv]]*0.95)</f>
        <v>called</v>
      </c>
      <c r="O337" s="20" t="str">
        <f>IF(Table4[[#This Row],[D pct]]="called","called",(Table4[[#This Row],[D 2pv]]+$E$7))</f>
        <v>called</v>
      </c>
      <c r="P33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7" s="21" t="str">
        <f>IF(Table4[[#This Row],[D captured of remain]]="called","called",Table4[[#This Row],[D captured of remain]]+Table4[[#This Row],[D pct]])</f>
        <v>called</v>
      </c>
      <c r="R337" s="22" t="str">
        <f>IF(Table4[[#This Row],[Expected D]]=1,"D",IF(Table4[[#This Row],[Expected R]]=1,"R",IF(Table4[[#This Row],[D total]]&gt;=0.5,"D","R")))</f>
        <v>R</v>
      </c>
      <c r="S337" s="22"/>
      <c r="V337" s="4"/>
    </row>
    <row r="338" spans="2:23" x14ac:dyDescent="0.35">
      <c r="B338" s="27">
        <v>329</v>
      </c>
      <c r="C338" s="2" t="s">
        <v>395</v>
      </c>
      <c r="D338" s="2" t="s">
        <v>284</v>
      </c>
      <c r="E338" s="4" t="s">
        <v>28</v>
      </c>
      <c r="F338" s="2" t="s">
        <v>569</v>
      </c>
      <c r="G338" s="4" t="s">
        <v>502</v>
      </c>
      <c r="H33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8" s="2" t="str">
        <f>IF(OR(LEFT(Table4[[#This Row],[win_prob]],1)="D",LEFT(Table4[[#This Row],[win_prob]],1)="R"),LEFT(Table4[[#This Row],[win_prob]],1),LEFT(Table4[[#This Row],[Category]],1))</f>
        <v>R</v>
      </c>
      <c r="J33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8" s="16" t="str">
        <f>RIGHT(Table4[[#This Row],[Margin]],LEN(Table4[[#This Row],[Margin]])-FIND("+",Table4[[#This Row],[Margin]]))</f>
        <v>14</v>
      </c>
      <c r="M338" s="20" t="str">
        <f>IF(Table4[[#This Row],[listedprob]]=1,"called",IF(LEFT(Table4[[#This Row],[Margin]],1)="D",(Table4[[#This Row],[Numeric Margin]]/2+50)/100,(-Table4[[#This Row],[Numeric Margin]]/2+50)/100))</f>
        <v>called</v>
      </c>
      <c r="N338" s="20" t="str">
        <f>IFERROR(IF(Table4[[#This Row],[D 2pv]]="called","called",Table4[[#This Row],[D 2pv]]*Table4[[#This Row],[Percent of votes in% In]]),Table4[[#This Row],[D 2pv]]*0.95)</f>
        <v>called</v>
      </c>
      <c r="O338" s="20" t="str">
        <f>IF(Table4[[#This Row],[D pct]]="called","called",(Table4[[#This Row],[D 2pv]]+$E$7))</f>
        <v>called</v>
      </c>
      <c r="P33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8" s="21" t="str">
        <f>IF(Table4[[#This Row],[D captured of remain]]="called","called",Table4[[#This Row],[D captured of remain]]+Table4[[#This Row],[D pct]])</f>
        <v>called</v>
      </c>
      <c r="R338" s="22" t="str">
        <f>IF(Table4[[#This Row],[Expected D]]=1,"D",IF(Table4[[#This Row],[Expected R]]=1,"R",IF(Table4[[#This Row],[D total]]&gt;=0.5,"D","R")))</f>
        <v>R</v>
      </c>
      <c r="S338" s="22"/>
      <c r="V338" s="4"/>
    </row>
    <row r="339" spans="2:23" x14ac:dyDescent="0.35">
      <c r="B339" s="27">
        <v>330</v>
      </c>
      <c r="C339" s="2" t="s">
        <v>396</v>
      </c>
      <c r="D339" s="2" t="s">
        <v>284</v>
      </c>
      <c r="E339" s="4" t="s">
        <v>28</v>
      </c>
      <c r="F339" s="2" t="s">
        <v>573</v>
      </c>
      <c r="G339" s="4" t="s">
        <v>502</v>
      </c>
      <c r="H33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39" s="2" t="str">
        <f>IF(OR(LEFT(Table4[[#This Row],[win_prob]],1)="D",LEFT(Table4[[#This Row],[win_prob]],1)="R"),LEFT(Table4[[#This Row],[win_prob]],1),LEFT(Table4[[#This Row],[Category]],1))</f>
        <v>R</v>
      </c>
      <c r="J33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3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39" s="16" t="str">
        <f>RIGHT(Table4[[#This Row],[Margin]],LEN(Table4[[#This Row],[Margin]])-FIND("+",Table4[[#This Row],[Margin]]))</f>
        <v>46</v>
      </c>
      <c r="M339" s="20" t="str">
        <f>IF(Table4[[#This Row],[listedprob]]=1,"called",IF(LEFT(Table4[[#This Row],[Margin]],1)="D",(Table4[[#This Row],[Numeric Margin]]/2+50)/100,(-Table4[[#This Row],[Numeric Margin]]/2+50)/100))</f>
        <v>called</v>
      </c>
      <c r="N339" s="20" t="str">
        <f>IFERROR(IF(Table4[[#This Row],[D 2pv]]="called","called",Table4[[#This Row],[D 2pv]]*Table4[[#This Row],[Percent of votes in% In]]),Table4[[#This Row],[D 2pv]]*0.95)</f>
        <v>called</v>
      </c>
      <c r="O339" s="20" t="str">
        <f>IF(Table4[[#This Row],[D pct]]="called","called",(Table4[[#This Row],[D 2pv]]+$E$7))</f>
        <v>called</v>
      </c>
      <c r="P33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39" s="21" t="str">
        <f>IF(Table4[[#This Row],[D captured of remain]]="called","called",Table4[[#This Row],[D captured of remain]]+Table4[[#This Row],[D pct]])</f>
        <v>called</v>
      </c>
      <c r="R339" s="22" t="str">
        <f>IF(Table4[[#This Row],[Expected D]]=1,"D",IF(Table4[[#This Row],[Expected R]]=1,"R",IF(Table4[[#This Row],[D total]]&gt;=0.5,"D","R")))</f>
        <v>R</v>
      </c>
      <c r="S339" s="22"/>
      <c r="V339" s="4"/>
    </row>
    <row r="340" spans="2:23" x14ac:dyDescent="0.35">
      <c r="B340" s="27">
        <v>331</v>
      </c>
      <c r="C340" s="2" t="s">
        <v>397</v>
      </c>
      <c r="D340" s="2" t="s">
        <v>284</v>
      </c>
      <c r="E340" s="4" t="s">
        <v>28</v>
      </c>
      <c r="F340" s="2" t="s">
        <v>594</v>
      </c>
      <c r="G340" s="4" t="s">
        <v>502</v>
      </c>
      <c r="H34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0" s="2" t="str">
        <f>IF(OR(LEFT(Table4[[#This Row],[win_prob]],1)="D",LEFT(Table4[[#This Row],[win_prob]],1)="R"),LEFT(Table4[[#This Row],[win_prob]],1),LEFT(Table4[[#This Row],[Category]],1))</f>
        <v>R</v>
      </c>
      <c r="J34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0" s="16" t="str">
        <f>RIGHT(Table4[[#This Row],[Margin]],LEN(Table4[[#This Row],[Margin]])-FIND("+",Table4[[#This Row],[Margin]]))</f>
        <v>42</v>
      </c>
      <c r="M340" s="20" t="str">
        <f>IF(Table4[[#This Row],[listedprob]]=1,"called",IF(LEFT(Table4[[#This Row],[Margin]],1)="D",(Table4[[#This Row],[Numeric Margin]]/2+50)/100,(-Table4[[#This Row],[Numeric Margin]]/2+50)/100))</f>
        <v>called</v>
      </c>
      <c r="N340" s="20" t="str">
        <f>IFERROR(IF(Table4[[#This Row],[D 2pv]]="called","called",Table4[[#This Row],[D 2pv]]*Table4[[#This Row],[Percent of votes in% In]]),Table4[[#This Row],[D 2pv]]*0.95)</f>
        <v>called</v>
      </c>
      <c r="O340" s="20" t="str">
        <f>IF(Table4[[#This Row],[D pct]]="called","called",(Table4[[#This Row],[D 2pv]]+$E$7))</f>
        <v>called</v>
      </c>
      <c r="P34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0" s="21" t="str">
        <f>IF(Table4[[#This Row],[D captured of remain]]="called","called",Table4[[#This Row],[D captured of remain]]+Table4[[#This Row],[D pct]])</f>
        <v>called</v>
      </c>
      <c r="R340" s="22" t="str">
        <f>IF(Table4[[#This Row],[Expected D]]=1,"D",IF(Table4[[#This Row],[Expected R]]=1,"R",IF(Table4[[#This Row],[D total]]&gt;=0.5,"D","R")))</f>
        <v>R</v>
      </c>
      <c r="S340" s="22"/>
      <c r="V340" s="4"/>
    </row>
    <row r="341" spans="2:23" x14ac:dyDescent="0.35">
      <c r="B341" s="27">
        <v>332</v>
      </c>
      <c r="C341" s="2" t="s">
        <v>398</v>
      </c>
      <c r="D341" s="2" t="s">
        <v>284</v>
      </c>
      <c r="E341" s="4" t="s">
        <v>28</v>
      </c>
      <c r="F341" s="2" t="s">
        <v>602</v>
      </c>
      <c r="G341" s="4" t="s">
        <v>502</v>
      </c>
      <c r="H34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1" s="2" t="str">
        <f>IF(OR(LEFT(Table4[[#This Row],[win_prob]],1)="D",LEFT(Table4[[#This Row],[win_prob]],1)="R"),LEFT(Table4[[#This Row],[win_prob]],1),LEFT(Table4[[#This Row],[Category]],1))</f>
        <v>R</v>
      </c>
      <c r="J34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1" s="16" t="str">
        <f>RIGHT(Table4[[#This Row],[Margin]],LEN(Table4[[#This Row],[Margin]])-FIND("+",Table4[[#This Row],[Margin]]))</f>
        <v>50</v>
      </c>
      <c r="M341" s="20" t="str">
        <f>IF(Table4[[#This Row],[listedprob]]=1,"called",IF(LEFT(Table4[[#This Row],[Margin]],1)="D",(Table4[[#This Row],[Numeric Margin]]/2+50)/100,(-Table4[[#This Row],[Numeric Margin]]/2+50)/100))</f>
        <v>called</v>
      </c>
      <c r="N341" s="20" t="str">
        <f>IFERROR(IF(Table4[[#This Row],[D 2pv]]="called","called",Table4[[#This Row],[D 2pv]]*Table4[[#This Row],[Percent of votes in% In]]),Table4[[#This Row],[D 2pv]]*0.95)</f>
        <v>called</v>
      </c>
      <c r="O341" s="20" t="str">
        <f>IF(Table4[[#This Row],[D pct]]="called","called",(Table4[[#This Row],[D 2pv]]+$E$7))</f>
        <v>called</v>
      </c>
      <c r="P34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1" s="21" t="str">
        <f>IF(Table4[[#This Row],[D captured of remain]]="called","called",Table4[[#This Row],[D captured of remain]]+Table4[[#This Row],[D pct]])</f>
        <v>called</v>
      </c>
      <c r="R341" s="22" t="str">
        <f>IF(Table4[[#This Row],[Expected D]]=1,"D",IF(Table4[[#This Row],[Expected R]]=1,"R",IF(Table4[[#This Row],[D total]]&gt;=0.5,"D","R")))</f>
        <v>R</v>
      </c>
      <c r="S341" s="22"/>
      <c r="V341" s="4"/>
    </row>
    <row r="342" spans="2:23" x14ac:dyDescent="0.35">
      <c r="B342" s="27">
        <v>333</v>
      </c>
      <c r="C342" s="2" t="s">
        <v>399</v>
      </c>
      <c r="D342" s="2" t="s">
        <v>284</v>
      </c>
      <c r="E342" s="4" t="s">
        <v>28</v>
      </c>
      <c r="F342" s="2" t="s">
        <v>564</v>
      </c>
      <c r="G342" s="4" t="s">
        <v>502</v>
      </c>
      <c r="H34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2" s="2" t="str">
        <f>IF(OR(LEFT(Table4[[#This Row],[win_prob]],1)="D",LEFT(Table4[[#This Row],[win_prob]],1)="R"),LEFT(Table4[[#This Row],[win_prob]],1),LEFT(Table4[[#This Row],[Category]],1))</f>
        <v>R</v>
      </c>
      <c r="J34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2" s="16" t="str">
        <f>RIGHT(Table4[[#This Row],[Margin]],LEN(Table4[[#This Row],[Margin]])-FIND("+",Table4[[#This Row],[Margin]]))</f>
        <v>12</v>
      </c>
      <c r="M342" s="20" t="str">
        <f>IF(Table4[[#This Row],[listedprob]]=1,"called",IF(LEFT(Table4[[#This Row],[Margin]],1)="D",(Table4[[#This Row],[Numeric Margin]]/2+50)/100,(-Table4[[#This Row],[Numeric Margin]]/2+50)/100))</f>
        <v>called</v>
      </c>
      <c r="N342" s="20" t="str">
        <f>IFERROR(IF(Table4[[#This Row],[D 2pv]]="called","called",Table4[[#This Row],[D 2pv]]*Table4[[#This Row],[Percent of votes in% In]]),Table4[[#This Row],[D 2pv]]*0.95)</f>
        <v>called</v>
      </c>
      <c r="O342" s="20" t="str">
        <f>IF(Table4[[#This Row],[D pct]]="called","called",(Table4[[#This Row],[D 2pv]]+$E$7))</f>
        <v>called</v>
      </c>
      <c r="P34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2" s="21" t="str">
        <f>IF(Table4[[#This Row],[D captured of remain]]="called","called",Table4[[#This Row],[D captured of remain]]+Table4[[#This Row],[D pct]])</f>
        <v>called</v>
      </c>
      <c r="R342" s="22" t="str">
        <f>IF(Table4[[#This Row],[Expected D]]=1,"D",IF(Table4[[#This Row],[Expected R]]=1,"R",IF(Table4[[#This Row],[D total]]&gt;=0.5,"D","R")))</f>
        <v>R</v>
      </c>
      <c r="S342" s="22"/>
      <c r="V342" s="4"/>
    </row>
    <row r="343" spans="2:23" x14ac:dyDescent="0.35">
      <c r="B343" s="27">
        <v>334</v>
      </c>
      <c r="C343" s="2" t="s">
        <v>400</v>
      </c>
      <c r="D343" s="2" t="s">
        <v>284</v>
      </c>
      <c r="E343" s="4" t="s">
        <v>28</v>
      </c>
      <c r="F343" s="2" t="s">
        <v>590</v>
      </c>
      <c r="G343" s="4" t="s">
        <v>502</v>
      </c>
      <c r="H34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3" s="2" t="str">
        <f>IF(OR(LEFT(Table4[[#This Row],[win_prob]],1)="D",LEFT(Table4[[#This Row],[win_prob]],1)="R"),LEFT(Table4[[#This Row],[win_prob]],1),LEFT(Table4[[#This Row],[Category]],1))</f>
        <v>R</v>
      </c>
      <c r="J34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3" s="16" t="str">
        <f>RIGHT(Table4[[#This Row],[Margin]],LEN(Table4[[#This Row],[Margin]])-FIND("+",Table4[[#This Row],[Margin]]))</f>
        <v>30</v>
      </c>
      <c r="M343" s="20" t="str">
        <f>IF(Table4[[#This Row],[listedprob]]=1,"called",IF(LEFT(Table4[[#This Row],[Margin]],1)="D",(Table4[[#This Row],[Numeric Margin]]/2+50)/100,(-Table4[[#This Row],[Numeric Margin]]/2+50)/100))</f>
        <v>called</v>
      </c>
      <c r="N343" s="20" t="str">
        <f>IFERROR(IF(Table4[[#This Row],[D 2pv]]="called","called",Table4[[#This Row],[D 2pv]]*Table4[[#This Row],[Percent of votes in% In]]),Table4[[#This Row],[D 2pv]]*0.95)</f>
        <v>called</v>
      </c>
      <c r="O343" s="20" t="str">
        <f>IF(Table4[[#This Row],[D pct]]="called","called",(Table4[[#This Row],[D 2pv]]+$E$7))</f>
        <v>called</v>
      </c>
      <c r="P34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3" s="21" t="str">
        <f>IF(Table4[[#This Row],[D captured of remain]]="called","called",Table4[[#This Row],[D captured of remain]]+Table4[[#This Row],[D pct]])</f>
        <v>called</v>
      </c>
      <c r="R343" s="22" t="str">
        <f>IF(Table4[[#This Row],[Expected D]]=1,"D",IF(Table4[[#This Row],[Expected R]]=1,"R",IF(Table4[[#This Row],[D total]]&gt;=0.5,"D","R")))</f>
        <v>R</v>
      </c>
      <c r="S343" s="22"/>
      <c r="V343" s="4"/>
    </row>
    <row r="344" spans="2:23" x14ac:dyDescent="0.35">
      <c r="B344" s="27">
        <v>335</v>
      </c>
      <c r="C344" s="2" t="s">
        <v>401</v>
      </c>
      <c r="D344" s="2" t="s">
        <v>284</v>
      </c>
      <c r="E344" s="4" t="s">
        <v>28</v>
      </c>
      <c r="F344" s="2" t="s">
        <v>581</v>
      </c>
      <c r="G344" s="4" t="s">
        <v>502</v>
      </c>
      <c r="H34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4" s="2" t="str">
        <f>IF(OR(LEFT(Table4[[#This Row],[win_prob]],1)="D",LEFT(Table4[[#This Row],[win_prob]],1)="R"),LEFT(Table4[[#This Row],[win_prob]],1),LEFT(Table4[[#This Row],[Category]],1))</f>
        <v>R</v>
      </c>
      <c r="J34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4" s="16" t="str">
        <f>RIGHT(Table4[[#This Row],[Margin]],LEN(Table4[[#This Row],[Margin]])-FIND("+",Table4[[#This Row],[Margin]]))</f>
        <v>45</v>
      </c>
      <c r="M344" s="20" t="str">
        <f>IF(Table4[[#This Row],[listedprob]]=1,"called",IF(LEFT(Table4[[#This Row],[Margin]],1)="D",(Table4[[#This Row],[Numeric Margin]]/2+50)/100,(-Table4[[#This Row],[Numeric Margin]]/2+50)/100))</f>
        <v>called</v>
      </c>
      <c r="N344" s="20" t="str">
        <f>IFERROR(IF(Table4[[#This Row],[D 2pv]]="called","called",Table4[[#This Row],[D 2pv]]*Table4[[#This Row],[Percent of votes in% In]]),Table4[[#This Row],[D 2pv]]*0.95)</f>
        <v>called</v>
      </c>
      <c r="O344" s="20" t="str">
        <f>IF(Table4[[#This Row],[D pct]]="called","called",(Table4[[#This Row],[D 2pv]]+$E$7))</f>
        <v>called</v>
      </c>
      <c r="P34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4" s="21" t="str">
        <f>IF(Table4[[#This Row],[D captured of remain]]="called","called",Table4[[#This Row],[D captured of remain]]+Table4[[#This Row],[D pct]])</f>
        <v>called</v>
      </c>
      <c r="R344" s="22" t="str">
        <f>IF(Table4[[#This Row],[Expected D]]=1,"D",IF(Table4[[#This Row],[Expected R]]=1,"R",IF(Table4[[#This Row],[D total]]&gt;=0.5,"D","R")))</f>
        <v>R</v>
      </c>
      <c r="S344" s="22"/>
      <c r="V344" s="4"/>
    </row>
    <row r="345" spans="2:23" x14ac:dyDescent="0.35">
      <c r="B345" s="27">
        <v>336</v>
      </c>
      <c r="C345" s="2" t="s">
        <v>402</v>
      </c>
      <c r="D345" s="2" t="s">
        <v>284</v>
      </c>
      <c r="E345" s="4" t="s">
        <v>28</v>
      </c>
      <c r="F345" s="2" t="s">
        <v>598</v>
      </c>
      <c r="G345" s="4" t="s">
        <v>502</v>
      </c>
      <c r="H34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5" s="2" t="str">
        <f>IF(OR(LEFT(Table4[[#This Row],[win_prob]],1)="D",LEFT(Table4[[#This Row],[win_prob]],1)="R"),LEFT(Table4[[#This Row],[win_prob]],1),LEFT(Table4[[#This Row],[Category]],1))</f>
        <v>R</v>
      </c>
      <c r="J34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5" s="16" t="str">
        <f>RIGHT(Table4[[#This Row],[Margin]],LEN(Table4[[#This Row],[Margin]])-FIND("+",Table4[[#This Row],[Margin]]))</f>
        <v>43</v>
      </c>
      <c r="M345" s="20" t="str">
        <f>IF(Table4[[#This Row],[listedprob]]=1,"called",IF(LEFT(Table4[[#This Row],[Margin]],1)="D",(Table4[[#This Row],[Numeric Margin]]/2+50)/100,(-Table4[[#This Row],[Numeric Margin]]/2+50)/100))</f>
        <v>called</v>
      </c>
      <c r="N345" s="20" t="str">
        <f>IFERROR(IF(Table4[[#This Row],[D 2pv]]="called","called",Table4[[#This Row],[D 2pv]]*Table4[[#This Row],[Percent of votes in% In]]),Table4[[#This Row],[D 2pv]]*0.95)</f>
        <v>called</v>
      </c>
      <c r="O345" s="20" t="str">
        <f>IF(Table4[[#This Row],[D pct]]="called","called",(Table4[[#This Row],[D 2pv]]+$E$7))</f>
        <v>called</v>
      </c>
      <c r="P34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5" s="21" t="str">
        <f>IF(Table4[[#This Row],[D captured of remain]]="called","called",Table4[[#This Row],[D captured of remain]]+Table4[[#This Row],[D pct]])</f>
        <v>called</v>
      </c>
      <c r="R345" s="22" t="str">
        <f>IF(Table4[[#This Row],[Expected D]]=1,"D",IF(Table4[[#This Row],[Expected R]]=1,"R",IF(Table4[[#This Row],[D total]]&gt;=0.5,"D","R")))</f>
        <v>R</v>
      </c>
      <c r="S345" s="22"/>
      <c r="V345" s="4"/>
    </row>
    <row r="346" spans="2:23" x14ac:dyDescent="0.35">
      <c r="B346" s="27">
        <v>337</v>
      </c>
      <c r="C346" s="2" t="s">
        <v>403</v>
      </c>
      <c r="D346" s="2" t="s">
        <v>284</v>
      </c>
      <c r="E346" s="4" t="s">
        <v>28</v>
      </c>
      <c r="F346" s="2" t="s">
        <v>603</v>
      </c>
      <c r="G346" s="4" t="s">
        <v>502</v>
      </c>
      <c r="H34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6" s="2" t="str">
        <f>IF(OR(LEFT(Table4[[#This Row],[win_prob]],1)="D",LEFT(Table4[[#This Row],[win_prob]],1)="R"),LEFT(Table4[[#This Row],[win_prob]],1),LEFT(Table4[[#This Row],[Category]],1))</f>
        <v>R</v>
      </c>
      <c r="J34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6" s="16" t="str">
        <f>RIGHT(Table4[[#This Row],[Margin]],LEN(Table4[[#This Row],[Margin]])-FIND("+",Table4[[#This Row],[Margin]]))</f>
        <v>44</v>
      </c>
      <c r="M346" s="20" t="str">
        <f>IF(Table4[[#This Row],[listedprob]]=1,"called",IF(LEFT(Table4[[#This Row],[Margin]],1)="D",(Table4[[#This Row],[Numeric Margin]]/2+50)/100,(-Table4[[#This Row],[Numeric Margin]]/2+50)/100))</f>
        <v>called</v>
      </c>
      <c r="N346" s="20" t="str">
        <f>IFERROR(IF(Table4[[#This Row],[D 2pv]]="called","called",Table4[[#This Row],[D 2pv]]*Table4[[#This Row],[Percent of votes in% In]]),Table4[[#This Row],[D 2pv]]*0.95)</f>
        <v>called</v>
      </c>
      <c r="O346" s="20" t="str">
        <f>IF(Table4[[#This Row],[D pct]]="called","called",(Table4[[#This Row],[D 2pv]]+$E$7))</f>
        <v>called</v>
      </c>
      <c r="P34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6" s="21" t="str">
        <f>IF(Table4[[#This Row],[D captured of remain]]="called","called",Table4[[#This Row],[D captured of remain]]+Table4[[#This Row],[D pct]])</f>
        <v>called</v>
      </c>
      <c r="R346" s="22" t="str">
        <f>IF(Table4[[#This Row],[Expected D]]=1,"D",IF(Table4[[#This Row],[Expected R]]=1,"R",IF(Table4[[#This Row],[D total]]&gt;=0.5,"D","R")))</f>
        <v>R</v>
      </c>
      <c r="S346" s="22"/>
      <c r="V346" s="4"/>
    </row>
    <row r="347" spans="2:23" x14ac:dyDescent="0.35">
      <c r="B347" s="27">
        <v>338</v>
      </c>
      <c r="C347" s="2" t="s">
        <v>404</v>
      </c>
      <c r="D347" s="2" t="s">
        <v>284</v>
      </c>
      <c r="E347" s="4" t="s">
        <v>28</v>
      </c>
      <c r="F347" s="2" t="s">
        <v>609</v>
      </c>
      <c r="G347" s="4" t="s">
        <v>502</v>
      </c>
      <c r="H34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7" s="2" t="str">
        <f>IF(OR(LEFT(Table4[[#This Row],[win_prob]],1)="D",LEFT(Table4[[#This Row],[win_prob]],1)="R"),LEFT(Table4[[#This Row],[win_prob]],1),LEFT(Table4[[#This Row],[Category]],1))</f>
        <v>R</v>
      </c>
      <c r="J34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7" s="16" t="str">
        <f>RIGHT(Table4[[#This Row],[Margin]],LEN(Table4[[#This Row],[Margin]])-FIND("+",Table4[[#This Row],[Margin]]))</f>
        <v>54</v>
      </c>
      <c r="M347" s="20" t="str">
        <f>IF(Table4[[#This Row],[listedprob]]=1,"called",IF(LEFT(Table4[[#This Row],[Margin]],1)="D",(Table4[[#This Row],[Numeric Margin]]/2+50)/100,(-Table4[[#This Row],[Numeric Margin]]/2+50)/100))</f>
        <v>called</v>
      </c>
      <c r="N347" s="20" t="str">
        <f>IFERROR(IF(Table4[[#This Row],[D 2pv]]="called","called",Table4[[#This Row],[D 2pv]]*Table4[[#This Row],[Percent of votes in% In]]),Table4[[#This Row],[D 2pv]]*0.95)</f>
        <v>called</v>
      </c>
      <c r="O347" s="20" t="str">
        <f>IF(Table4[[#This Row],[D pct]]="called","called",(Table4[[#This Row],[D 2pv]]+$E$7))</f>
        <v>called</v>
      </c>
      <c r="P34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7" s="21" t="str">
        <f>IF(Table4[[#This Row],[D captured of remain]]="called","called",Table4[[#This Row],[D captured of remain]]+Table4[[#This Row],[D pct]])</f>
        <v>called</v>
      </c>
      <c r="R347" s="22" t="str">
        <f>IF(Table4[[#This Row],[Expected D]]=1,"D",IF(Table4[[#This Row],[Expected R]]=1,"R",IF(Table4[[#This Row],[D total]]&gt;=0.5,"D","R")))</f>
        <v>R</v>
      </c>
      <c r="S347" s="22"/>
      <c r="V347" s="4"/>
    </row>
    <row r="348" spans="2:23" x14ac:dyDescent="0.35">
      <c r="B348" s="27">
        <v>339</v>
      </c>
      <c r="C348" s="2" t="s">
        <v>405</v>
      </c>
      <c r="D348" s="2" t="s">
        <v>284</v>
      </c>
      <c r="E348" s="4">
        <v>0.93</v>
      </c>
      <c r="F348" s="2" t="s">
        <v>584</v>
      </c>
      <c r="G348" s="4" t="s">
        <v>502</v>
      </c>
      <c r="H34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8" s="2" t="str">
        <f>IF(OR(LEFT(Table4[[#This Row],[win_prob]],1)="D",LEFT(Table4[[#This Row],[win_prob]],1)="R"),LEFT(Table4[[#This Row],[win_prob]],1),LEFT(Table4[[#This Row],[Category]],1))</f>
        <v>R</v>
      </c>
      <c r="J34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8" s="16" t="str">
        <f>RIGHT(Table4[[#This Row],[Margin]],LEN(Table4[[#This Row],[Margin]])-FIND("+",Table4[[#This Row],[Margin]]))</f>
        <v>35</v>
      </c>
      <c r="M348" s="20" t="str">
        <f>IF(Table4[[#This Row],[listedprob]]=1,"called",IF(LEFT(Table4[[#This Row],[Margin]],1)="D",(Table4[[#This Row],[Numeric Margin]]/2+50)/100,(-Table4[[#This Row],[Numeric Margin]]/2+50)/100))</f>
        <v>called</v>
      </c>
      <c r="N348" s="20" t="str">
        <f>IFERROR(IF(Table4[[#This Row],[D 2pv]]="called","called",Table4[[#This Row],[D 2pv]]*Table4[[#This Row],[Percent of votes in% In]]),Table4[[#This Row],[D 2pv]]*0.95)</f>
        <v>called</v>
      </c>
      <c r="O348" s="20" t="str">
        <f>IF(Table4[[#This Row],[D pct]]="called","called",(Table4[[#This Row],[D 2pv]]+$E$7))</f>
        <v>called</v>
      </c>
      <c r="P34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8" s="21" t="str">
        <f>IF(Table4[[#This Row],[D captured of remain]]="called","called",Table4[[#This Row],[D captured of remain]]+Table4[[#This Row],[D pct]])</f>
        <v>called</v>
      </c>
      <c r="R348" s="22" t="str">
        <f>IF(Table4[[#This Row],[Expected D]]=1,"D",IF(Table4[[#This Row],[Expected R]]=1,"R",IF(Table4[[#This Row],[D total]]&gt;=0.5,"D","R")))</f>
        <v>R</v>
      </c>
      <c r="S348" s="22"/>
    </row>
    <row r="349" spans="2:23" x14ac:dyDescent="0.35">
      <c r="B349" s="27">
        <v>340</v>
      </c>
      <c r="C349" s="2" t="s">
        <v>406</v>
      </c>
      <c r="D349" s="2" t="s">
        <v>284</v>
      </c>
      <c r="E349" s="2" t="s">
        <v>28</v>
      </c>
      <c r="F349" s="2" t="s">
        <v>601</v>
      </c>
      <c r="G349" s="4" t="s">
        <v>502</v>
      </c>
      <c r="H34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49" s="2" t="str">
        <f>IF(OR(LEFT(Table4[[#This Row],[win_prob]],1)="D",LEFT(Table4[[#This Row],[win_prob]],1)="R"),LEFT(Table4[[#This Row],[win_prob]],1),LEFT(Table4[[#This Row],[Category]],1))</f>
        <v>R</v>
      </c>
      <c r="J34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4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49" s="16" t="str">
        <f>RIGHT(Table4[[#This Row],[Margin]],LEN(Table4[[#This Row],[Margin]])-FIND("+",Table4[[#This Row],[Margin]]))</f>
        <v>16</v>
      </c>
      <c r="M349" s="20" t="str">
        <f>IF(Table4[[#This Row],[listedprob]]=1,"called",IF(LEFT(Table4[[#This Row],[Margin]],1)="D",(Table4[[#This Row],[Numeric Margin]]/2+50)/100,(-Table4[[#This Row],[Numeric Margin]]/2+50)/100))</f>
        <v>called</v>
      </c>
      <c r="N349" s="20" t="str">
        <f>IFERROR(IF(Table4[[#This Row],[D 2pv]]="called","called",Table4[[#This Row],[D 2pv]]*Table4[[#This Row],[Percent of votes in% In]]),Table4[[#This Row],[D 2pv]]*0.95)</f>
        <v>called</v>
      </c>
      <c r="O349" s="20" t="str">
        <f>IF(Table4[[#This Row],[D pct]]="called","called",(Table4[[#This Row],[D 2pv]]+$E$7))</f>
        <v>called</v>
      </c>
      <c r="P34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49" s="21" t="str">
        <f>IF(Table4[[#This Row],[D captured of remain]]="called","called",Table4[[#This Row],[D captured of remain]]+Table4[[#This Row],[D pct]])</f>
        <v>called</v>
      </c>
      <c r="R349" s="22" t="str">
        <f>IF(Table4[[#This Row],[Expected D]]=1,"D",IF(Table4[[#This Row],[Expected R]]=1,"R",IF(Table4[[#This Row],[D total]]&gt;=0.5,"D","R")))</f>
        <v>R</v>
      </c>
      <c r="S349" s="22"/>
      <c r="W349" s="4"/>
    </row>
    <row r="350" spans="2:23" x14ac:dyDescent="0.35">
      <c r="B350" s="27">
        <v>341</v>
      </c>
      <c r="C350" s="2" t="s">
        <v>407</v>
      </c>
      <c r="D350" s="2" t="s">
        <v>284</v>
      </c>
      <c r="E350" s="2" t="s">
        <v>28</v>
      </c>
      <c r="F350" s="2" t="s">
        <v>610</v>
      </c>
      <c r="G350" s="4" t="s">
        <v>502</v>
      </c>
      <c r="H35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0" s="2" t="str">
        <f>IF(OR(LEFT(Table4[[#This Row],[win_prob]],1)="D",LEFT(Table4[[#This Row],[win_prob]],1)="R"),LEFT(Table4[[#This Row],[win_prob]],1),LEFT(Table4[[#This Row],[Category]],1))</f>
        <v>R</v>
      </c>
      <c r="J35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0" s="16" t="str">
        <f>RIGHT(Table4[[#This Row],[Margin]],LEN(Table4[[#This Row],[Margin]])-FIND("+",Table4[[#This Row],[Margin]]))</f>
        <v>63</v>
      </c>
      <c r="M350" s="20" t="str">
        <f>IF(Table4[[#This Row],[listedprob]]=1,"called",IF(LEFT(Table4[[#This Row],[Margin]],1)="D",(Table4[[#This Row],[Numeric Margin]]/2+50)/100,(-Table4[[#This Row],[Numeric Margin]]/2+50)/100))</f>
        <v>called</v>
      </c>
      <c r="N350" s="20" t="str">
        <f>IFERROR(IF(Table4[[#This Row],[D 2pv]]="called","called",Table4[[#This Row],[D 2pv]]*Table4[[#This Row],[Percent of votes in% In]]),Table4[[#This Row],[D 2pv]]*0.95)</f>
        <v>called</v>
      </c>
      <c r="O350" s="20" t="str">
        <f>IF(Table4[[#This Row],[D pct]]="called","called",(Table4[[#This Row],[D 2pv]]+$E$7))</f>
        <v>called</v>
      </c>
      <c r="P35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0" s="21" t="str">
        <f>IF(Table4[[#This Row],[D captured of remain]]="called","called",Table4[[#This Row],[D captured of remain]]+Table4[[#This Row],[D pct]])</f>
        <v>called</v>
      </c>
      <c r="R350" s="22" t="str">
        <f>IF(Table4[[#This Row],[Expected D]]=1,"D",IF(Table4[[#This Row],[Expected R]]=1,"R",IF(Table4[[#This Row],[D total]]&gt;=0.5,"D","R")))</f>
        <v>R</v>
      </c>
      <c r="S350" s="22"/>
      <c r="W350" s="4"/>
    </row>
    <row r="351" spans="2:23" x14ac:dyDescent="0.35">
      <c r="B351" s="27">
        <v>342</v>
      </c>
      <c r="C351" s="2" t="s">
        <v>408</v>
      </c>
      <c r="D351" s="2" t="s">
        <v>284</v>
      </c>
      <c r="E351" s="2" t="s">
        <v>28</v>
      </c>
      <c r="F351" s="2" t="s">
        <v>566</v>
      </c>
      <c r="G351" s="4" t="s">
        <v>502</v>
      </c>
      <c r="H35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1" s="2" t="str">
        <f>IF(OR(LEFT(Table4[[#This Row],[win_prob]],1)="D",LEFT(Table4[[#This Row],[win_prob]],1)="R"),LEFT(Table4[[#This Row],[win_prob]],1),LEFT(Table4[[#This Row],[Category]],1))</f>
        <v>R</v>
      </c>
      <c r="J35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1" s="16" t="str">
        <f>RIGHT(Table4[[#This Row],[Margin]],LEN(Table4[[#This Row],[Margin]])-FIND("+",Table4[[#This Row],[Margin]]))</f>
        <v>22</v>
      </c>
      <c r="M351" s="20" t="str">
        <f>IF(Table4[[#This Row],[listedprob]]=1,"called",IF(LEFT(Table4[[#This Row],[Margin]],1)="D",(Table4[[#This Row],[Numeric Margin]]/2+50)/100,(-Table4[[#This Row],[Numeric Margin]]/2+50)/100))</f>
        <v>called</v>
      </c>
      <c r="N351" s="20" t="str">
        <f>IFERROR(IF(Table4[[#This Row],[D 2pv]]="called","called",Table4[[#This Row],[D 2pv]]*Table4[[#This Row],[Percent of votes in% In]]),Table4[[#This Row],[D 2pv]]*0.95)</f>
        <v>called</v>
      </c>
      <c r="O351" s="20" t="str">
        <f>IF(Table4[[#This Row],[D pct]]="called","called",(Table4[[#This Row],[D 2pv]]+$E$7))</f>
        <v>called</v>
      </c>
      <c r="P35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1" s="21" t="str">
        <f>IF(Table4[[#This Row],[D captured of remain]]="called","called",Table4[[#This Row],[D captured of remain]]+Table4[[#This Row],[D pct]])</f>
        <v>called</v>
      </c>
      <c r="R351" s="22" t="str">
        <f>IF(Table4[[#This Row],[Expected D]]=1,"D",IF(Table4[[#This Row],[Expected R]]=1,"R",IF(Table4[[#This Row],[D total]]&gt;=0.5,"D","R")))</f>
        <v>R</v>
      </c>
      <c r="S351" s="22"/>
      <c r="V351" s="4"/>
    </row>
    <row r="352" spans="2:23" x14ac:dyDescent="0.35">
      <c r="B352" s="27">
        <v>343</v>
      </c>
      <c r="C352" s="2" t="s">
        <v>409</v>
      </c>
      <c r="D352" s="2" t="s">
        <v>284</v>
      </c>
      <c r="E352" s="4" t="s">
        <v>28</v>
      </c>
      <c r="F352" s="2" t="s">
        <v>583</v>
      </c>
      <c r="G352" s="4" t="s">
        <v>502</v>
      </c>
      <c r="H35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2" s="2" t="str">
        <f>IF(OR(LEFT(Table4[[#This Row],[win_prob]],1)="D",LEFT(Table4[[#This Row],[win_prob]],1)="R"),LEFT(Table4[[#This Row],[win_prob]],1),LEFT(Table4[[#This Row],[Category]],1))</f>
        <v>R</v>
      </c>
      <c r="J35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2" s="16" t="str">
        <f>RIGHT(Table4[[#This Row],[Margin]],LEN(Table4[[#This Row],[Margin]])-FIND("+",Table4[[#This Row],[Margin]]))</f>
        <v>20</v>
      </c>
      <c r="M352" s="20" t="str">
        <f>IF(Table4[[#This Row],[listedprob]]=1,"called",IF(LEFT(Table4[[#This Row],[Margin]],1)="D",(Table4[[#This Row],[Numeric Margin]]/2+50)/100,(-Table4[[#This Row],[Numeric Margin]]/2+50)/100))</f>
        <v>called</v>
      </c>
      <c r="N352" s="20" t="str">
        <f>IFERROR(IF(Table4[[#This Row],[D 2pv]]="called","called",Table4[[#This Row],[D 2pv]]*Table4[[#This Row],[Percent of votes in% In]]),Table4[[#This Row],[D 2pv]]*0.95)</f>
        <v>called</v>
      </c>
      <c r="O352" s="20" t="str">
        <f>IF(Table4[[#This Row],[D pct]]="called","called",(Table4[[#This Row],[D 2pv]]+$E$7))</f>
        <v>called</v>
      </c>
      <c r="P35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2" s="21" t="str">
        <f>IF(Table4[[#This Row],[D captured of remain]]="called","called",Table4[[#This Row],[D captured of remain]]+Table4[[#This Row],[D pct]])</f>
        <v>called</v>
      </c>
      <c r="R352" s="22" t="str">
        <f>IF(Table4[[#This Row],[Expected D]]=1,"D",IF(Table4[[#This Row],[Expected R]]=1,"R",IF(Table4[[#This Row],[D total]]&gt;=0.5,"D","R")))</f>
        <v>R</v>
      </c>
      <c r="S352" s="22"/>
      <c r="V352" s="4"/>
      <c r="W352" s="4"/>
    </row>
    <row r="353" spans="2:23" x14ac:dyDescent="0.35">
      <c r="B353" s="27">
        <v>344</v>
      </c>
      <c r="C353" s="2" t="s">
        <v>410</v>
      </c>
      <c r="D353" s="2" t="s">
        <v>284</v>
      </c>
      <c r="E353" s="4" t="s">
        <v>28</v>
      </c>
      <c r="F353" s="2" t="s">
        <v>586</v>
      </c>
      <c r="G353" s="4" t="s">
        <v>502</v>
      </c>
      <c r="H35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3" s="2" t="str">
        <f>IF(OR(LEFT(Table4[[#This Row],[win_prob]],1)="D",LEFT(Table4[[#This Row],[win_prob]],1)="R"),LEFT(Table4[[#This Row],[win_prob]],1),LEFT(Table4[[#This Row],[Category]],1))</f>
        <v>R</v>
      </c>
      <c r="J35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3" s="16" t="str">
        <f>RIGHT(Table4[[#This Row],[Margin]],LEN(Table4[[#This Row],[Margin]])-FIND("+",Table4[[#This Row],[Margin]]))</f>
        <v>36</v>
      </c>
      <c r="M353" s="20" t="str">
        <f>IF(Table4[[#This Row],[listedprob]]=1,"called",IF(LEFT(Table4[[#This Row],[Margin]],1)="D",(Table4[[#This Row],[Numeric Margin]]/2+50)/100,(-Table4[[#This Row],[Numeric Margin]]/2+50)/100))</f>
        <v>called</v>
      </c>
      <c r="N353" s="20" t="str">
        <f>IFERROR(IF(Table4[[#This Row],[D 2pv]]="called","called",Table4[[#This Row],[D 2pv]]*Table4[[#This Row],[Percent of votes in% In]]),Table4[[#This Row],[D 2pv]]*0.95)</f>
        <v>called</v>
      </c>
      <c r="O353" s="20" t="str">
        <f>IF(Table4[[#This Row],[D pct]]="called","called",(Table4[[#This Row],[D 2pv]]+$E$7))</f>
        <v>called</v>
      </c>
      <c r="P35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3" s="21" t="str">
        <f>IF(Table4[[#This Row],[D captured of remain]]="called","called",Table4[[#This Row],[D captured of remain]]+Table4[[#This Row],[D pct]])</f>
        <v>called</v>
      </c>
      <c r="R353" s="22" t="str">
        <f>IF(Table4[[#This Row],[Expected D]]=1,"D",IF(Table4[[#This Row],[Expected R]]=1,"R",IF(Table4[[#This Row],[D total]]&gt;=0.5,"D","R")))</f>
        <v>R</v>
      </c>
      <c r="S353" s="22"/>
      <c r="W353" s="4"/>
    </row>
    <row r="354" spans="2:23" x14ac:dyDescent="0.35">
      <c r="B354" s="27">
        <v>345</v>
      </c>
      <c r="C354" s="2" t="s">
        <v>411</v>
      </c>
      <c r="D354" s="2" t="s">
        <v>284</v>
      </c>
      <c r="E354" s="2" t="s">
        <v>28</v>
      </c>
      <c r="F354" s="2" t="s">
        <v>582</v>
      </c>
      <c r="G354" s="4" t="s">
        <v>502</v>
      </c>
      <c r="H35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4" s="2" t="str">
        <f>IF(OR(LEFT(Table4[[#This Row],[win_prob]],1)="D",LEFT(Table4[[#This Row],[win_prob]],1)="R"),LEFT(Table4[[#This Row],[win_prob]],1),LEFT(Table4[[#This Row],[Category]],1))</f>
        <v>R</v>
      </c>
      <c r="J35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4" s="16" t="str">
        <f>RIGHT(Table4[[#This Row],[Margin]],LEN(Table4[[#This Row],[Margin]])-FIND("+",Table4[[#This Row],[Margin]]))</f>
        <v>19</v>
      </c>
      <c r="M354" s="20" t="str">
        <f>IF(Table4[[#This Row],[listedprob]]=1,"called",IF(LEFT(Table4[[#This Row],[Margin]],1)="D",(Table4[[#This Row],[Numeric Margin]]/2+50)/100,(-Table4[[#This Row],[Numeric Margin]]/2+50)/100))</f>
        <v>called</v>
      </c>
      <c r="N354" s="20" t="str">
        <f>IFERROR(IF(Table4[[#This Row],[D 2pv]]="called","called",Table4[[#This Row],[D 2pv]]*Table4[[#This Row],[Percent of votes in% In]]),Table4[[#This Row],[D 2pv]]*0.95)</f>
        <v>called</v>
      </c>
      <c r="O354" s="20" t="str">
        <f>IF(Table4[[#This Row],[D pct]]="called","called",(Table4[[#This Row],[D 2pv]]+$E$7))</f>
        <v>called</v>
      </c>
      <c r="P35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4" s="21" t="str">
        <f>IF(Table4[[#This Row],[D captured of remain]]="called","called",Table4[[#This Row],[D captured of remain]]+Table4[[#This Row],[D pct]])</f>
        <v>called</v>
      </c>
      <c r="R354" s="22" t="str">
        <f>IF(Table4[[#This Row],[Expected D]]=1,"D",IF(Table4[[#This Row],[Expected R]]=1,"R",IF(Table4[[#This Row],[D total]]&gt;=0.5,"D","R")))</f>
        <v>R</v>
      </c>
      <c r="S354" s="22"/>
    </row>
    <row r="355" spans="2:23" x14ac:dyDescent="0.35">
      <c r="B355" s="27">
        <v>346</v>
      </c>
      <c r="C355" s="2" t="s">
        <v>412</v>
      </c>
      <c r="D355" s="2" t="s">
        <v>284</v>
      </c>
      <c r="E355" s="2" t="s">
        <v>28</v>
      </c>
      <c r="F355" s="2" t="s">
        <v>590</v>
      </c>
      <c r="G355" s="4" t="s">
        <v>502</v>
      </c>
      <c r="H35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5" s="2" t="str">
        <f>IF(OR(LEFT(Table4[[#This Row],[win_prob]],1)="D",LEFT(Table4[[#This Row],[win_prob]],1)="R"),LEFT(Table4[[#This Row],[win_prob]],1),LEFT(Table4[[#This Row],[Category]],1))</f>
        <v>R</v>
      </c>
      <c r="J35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5" s="16" t="str">
        <f>RIGHT(Table4[[#This Row],[Margin]],LEN(Table4[[#This Row],[Margin]])-FIND("+",Table4[[#This Row],[Margin]]))</f>
        <v>30</v>
      </c>
      <c r="M355" s="20" t="str">
        <f>IF(Table4[[#This Row],[listedprob]]=1,"called",IF(LEFT(Table4[[#This Row],[Margin]],1)="D",(Table4[[#This Row],[Numeric Margin]]/2+50)/100,(-Table4[[#This Row],[Numeric Margin]]/2+50)/100))</f>
        <v>called</v>
      </c>
      <c r="N355" s="20" t="str">
        <f>IFERROR(IF(Table4[[#This Row],[D 2pv]]="called","called",Table4[[#This Row],[D 2pv]]*Table4[[#This Row],[Percent of votes in% In]]),Table4[[#This Row],[D 2pv]]*0.95)</f>
        <v>called</v>
      </c>
      <c r="O355" s="20" t="str">
        <f>IF(Table4[[#This Row],[D pct]]="called","called",(Table4[[#This Row],[D 2pv]]+$E$7))</f>
        <v>called</v>
      </c>
      <c r="P35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5" s="21" t="str">
        <f>IF(Table4[[#This Row],[D captured of remain]]="called","called",Table4[[#This Row],[D captured of remain]]+Table4[[#This Row],[D pct]])</f>
        <v>called</v>
      </c>
      <c r="R355" s="22" t="str">
        <f>IF(Table4[[#This Row],[Expected D]]=1,"D",IF(Table4[[#This Row],[Expected R]]=1,"R",IF(Table4[[#This Row],[D total]]&gt;=0.5,"D","R")))</f>
        <v>R</v>
      </c>
      <c r="S355" s="22"/>
      <c r="W355" s="4"/>
    </row>
    <row r="356" spans="2:23" x14ac:dyDescent="0.35">
      <c r="B356" s="27">
        <v>347</v>
      </c>
      <c r="C356" s="2" t="s">
        <v>413</v>
      </c>
      <c r="D356" s="2" t="s">
        <v>284</v>
      </c>
      <c r="E356" s="2" t="s">
        <v>28</v>
      </c>
      <c r="F356" s="2" t="s">
        <v>599</v>
      </c>
      <c r="G356" s="4" t="s">
        <v>502</v>
      </c>
      <c r="H35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6" s="2" t="str">
        <f>IF(OR(LEFT(Table4[[#This Row],[win_prob]],1)="D",LEFT(Table4[[#This Row],[win_prob]],1)="R"),LEFT(Table4[[#This Row],[win_prob]],1),LEFT(Table4[[#This Row],[Category]],1))</f>
        <v>R</v>
      </c>
      <c r="J35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6" s="16" t="str">
        <f>RIGHT(Table4[[#This Row],[Margin]],LEN(Table4[[#This Row],[Margin]])-FIND("+",Table4[[#This Row],[Margin]]))</f>
        <v>33</v>
      </c>
      <c r="M356" s="20" t="str">
        <f>IF(Table4[[#This Row],[listedprob]]=1,"called",IF(LEFT(Table4[[#This Row],[Margin]],1)="D",(Table4[[#This Row],[Numeric Margin]]/2+50)/100,(-Table4[[#This Row],[Numeric Margin]]/2+50)/100))</f>
        <v>called</v>
      </c>
      <c r="N356" s="20" t="str">
        <f>IFERROR(IF(Table4[[#This Row],[D 2pv]]="called","called",Table4[[#This Row],[D 2pv]]*Table4[[#This Row],[Percent of votes in% In]]),Table4[[#This Row],[D 2pv]]*0.95)</f>
        <v>called</v>
      </c>
      <c r="O356" s="20" t="str">
        <f>IF(Table4[[#This Row],[D pct]]="called","called",(Table4[[#This Row],[D 2pv]]+$E$7))</f>
        <v>called</v>
      </c>
      <c r="P35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6" s="21" t="str">
        <f>IF(Table4[[#This Row],[D captured of remain]]="called","called",Table4[[#This Row],[D captured of remain]]+Table4[[#This Row],[D pct]])</f>
        <v>called</v>
      </c>
      <c r="R356" s="22" t="str">
        <f>IF(Table4[[#This Row],[Expected D]]=1,"D",IF(Table4[[#This Row],[Expected R]]=1,"R",IF(Table4[[#This Row],[D total]]&gt;=0.5,"D","R")))</f>
        <v>R</v>
      </c>
      <c r="S356" s="22"/>
      <c r="W356" s="4"/>
    </row>
    <row r="357" spans="2:23" x14ac:dyDescent="0.35">
      <c r="B357" s="27">
        <v>348</v>
      </c>
      <c r="C357" s="2" t="s">
        <v>414</v>
      </c>
      <c r="D357" s="2" t="s">
        <v>284</v>
      </c>
      <c r="E357" s="2" t="s">
        <v>28</v>
      </c>
      <c r="F357" s="2" t="s">
        <v>600</v>
      </c>
      <c r="G357" s="4" t="s">
        <v>502</v>
      </c>
      <c r="H35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7" s="2" t="str">
        <f>IF(OR(LEFT(Table4[[#This Row],[win_prob]],1)="D",LEFT(Table4[[#This Row],[win_prob]],1)="R"),LEFT(Table4[[#This Row],[win_prob]],1),LEFT(Table4[[#This Row],[Category]],1))</f>
        <v>R</v>
      </c>
      <c r="J35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7" s="16" t="str">
        <f>RIGHT(Table4[[#This Row],[Margin]],LEN(Table4[[#This Row],[Margin]])-FIND("+",Table4[[#This Row],[Margin]]))</f>
        <v>34</v>
      </c>
      <c r="M357" s="20" t="str">
        <f>IF(Table4[[#This Row],[listedprob]]=1,"called",IF(LEFT(Table4[[#This Row],[Margin]],1)="D",(Table4[[#This Row],[Numeric Margin]]/2+50)/100,(-Table4[[#This Row],[Numeric Margin]]/2+50)/100))</f>
        <v>called</v>
      </c>
      <c r="N357" s="20" t="str">
        <f>IFERROR(IF(Table4[[#This Row],[D 2pv]]="called","called",Table4[[#This Row],[D 2pv]]*Table4[[#This Row],[Percent of votes in% In]]),Table4[[#This Row],[D 2pv]]*0.95)</f>
        <v>called</v>
      </c>
      <c r="O357" s="20" t="str">
        <f>IF(Table4[[#This Row],[D pct]]="called","called",(Table4[[#This Row],[D 2pv]]+$E$7))</f>
        <v>called</v>
      </c>
      <c r="P35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7" s="21" t="str">
        <f>IF(Table4[[#This Row],[D captured of remain]]="called","called",Table4[[#This Row],[D captured of remain]]+Table4[[#This Row],[D pct]])</f>
        <v>called</v>
      </c>
      <c r="R357" s="22" t="str">
        <f>IF(Table4[[#This Row],[Expected D]]=1,"D",IF(Table4[[#This Row],[Expected R]]=1,"R",IF(Table4[[#This Row],[D total]]&gt;=0.5,"D","R")))</f>
        <v>R</v>
      </c>
      <c r="S357" s="22"/>
      <c r="W357" s="4"/>
    </row>
    <row r="358" spans="2:23" x14ac:dyDescent="0.35">
      <c r="B358" s="27">
        <v>349</v>
      </c>
      <c r="C358" s="2" t="s">
        <v>415</v>
      </c>
      <c r="D358" s="2" t="s">
        <v>284</v>
      </c>
      <c r="E358" s="2" t="s">
        <v>28</v>
      </c>
      <c r="F358" s="2" t="s">
        <v>593</v>
      </c>
      <c r="G358" s="4" t="s">
        <v>502</v>
      </c>
      <c r="H35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8" s="2" t="str">
        <f>IF(OR(LEFT(Table4[[#This Row],[win_prob]],1)="D",LEFT(Table4[[#This Row],[win_prob]],1)="R"),LEFT(Table4[[#This Row],[win_prob]],1),LEFT(Table4[[#This Row],[Category]],1))</f>
        <v>R</v>
      </c>
      <c r="J35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8" s="16" t="str">
        <f>RIGHT(Table4[[#This Row],[Margin]],LEN(Table4[[#This Row],[Margin]])-FIND("+",Table4[[#This Row],[Margin]]))</f>
        <v>27</v>
      </c>
      <c r="M358" s="20" t="str">
        <f>IF(Table4[[#This Row],[listedprob]]=1,"called",IF(LEFT(Table4[[#This Row],[Margin]],1)="D",(Table4[[#This Row],[Numeric Margin]]/2+50)/100,(-Table4[[#This Row],[Numeric Margin]]/2+50)/100))</f>
        <v>called</v>
      </c>
      <c r="N358" s="20" t="str">
        <f>IFERROR(IF(Table4[[#This Row],[D 2pv]]="called","called",Table4[[#This Row],[D 2pv]]*Table4[[#This Row],[Percent of votes in% In]]),Table4[[#This Row],[D 2pv]]*0.95)</f>
        <v>called</v>
      </c>
      <c r="O358" s="20" t="str">
        <f>IF(Table4[[#This Row],[D pct]]="called","called",(Table4[[#This Row],[D 2pv]]+$E$7))</f>
        <v>called</v>
      </c>
      <c r="P35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8" s="21" t="str">
        <f>IF(Table4[[#This Row],[D captured of remain]]="called","called",Table4[[#This Row],[D captured of remain]]+Table4[[#This Row],[D pct]])</f>
        <v>called</v>
      </c>
      <c r="R358" s="22" t="str">
        <f>IF(Table4[[#This Row],[Expected D]]=1,"D",IF(Table4[[#This Row],[Expected R]]=1,"R",IF(Table4[[#This Row],[D total]]&gt;=0.5,"D","R")))</f>
        <v>R</v>
      </c>
      <c r="S358" s="22"/>
      <c r="W358" s="4"/>
    </row>
    <row r="359" spans="2:23" x14ac:dyDescent="0.35">
      <c r="B359" s="27">
        <v>350</v>
      </c>
      <c r="C359" s="2" t="s">
        <v>416</v>
      </c>
      <c r="D359" s="2" t="s">
        <v>284</v>
      </c>
      <c r="E359" s="2" t="s">
        <v>28</v>
      </c>
      <c r="F359" s="2" t="s">
        <v>601</v>
      </c>
      <c r="G359" s="4" t="s">
        <v>502</v>
      </c>
      <c r="H35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59" s="2" t="str">
        <f>IF(OR(LEFT(Table4[[#This Row],[win_prob]],1)="D",LEFT(Table4[[#This Row],[win_prob]],1)="R"),LEFT(Table4[[#This Row],[win_prob]],1),LEFT(Table4[[#This Row],[Category]],1))</f>
        <v>R</v>
      </c>
      <c r="J35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5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59" s="16" t="str">
        <f>RIGHT(Table4[[#This Row],[Margin]],LEN(Table4[[#This Row],[Margin]])-FIND("+",Table4[[#This Row],[Margin]]))</f>
        <v>16</v>
      </c>
      <c r="M359" s="20" t="str">
        <f>IF(Table4[[#This Row],[listedprob]]=1,"called",IF(LEFT(Table4[[#This Row],[Margin]],1)="D",(Table4[[#This Row],[Numeric Margin]]/2+50)/100,(-Table4[[#This Row],[Numeric Margin]]/2+50)/100))</f>
        <v>called</v>
      </c>
      <c r="N359" s="20" t="str">
        <f>IFERROR(IF(Table4[[#This Row],[D 2pv]]="called","called",Table4[[#This Row],[D 2pv]]*Table4[[#This Row],[Percent of votes in% In]]),Table4[[#This Row],[D 2pv]]*0.95)</f>
        <v>called</v>
      </c>
      <c r="O359" s="20" t="str">
        <f>IF(Table4[[#This Row],[D pct]]="called","called",(Table4[[#This Row],[D 2pv]]+$E$7))</f>
        <v>called</v>
      </c>
      <c r="P35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59" s="21" t="str">
        <f>IF(Table4[[#This Row],[D captured of remain]]="called","called",Table4[[#This Row],[D captured of remain]]+Table4[[#This Row],[D pct]])</f>
        <v>called</v>
      </c>
      <c r="R359" s="22" t="str">
        <f>IF(Table4[[#This Row],[Expected D]]=1,"D",IF(Table4[[#This Row],[Expected R]]=1,"R",IF(Table4[[#This Row],[D total]]&gt;=0.5,"D","R")))</f>
        <v>R</v>
      </c>
      <c r="S359" s="22"/>
    </row>
    <row r="360" spans="2:23" x14ac:dyDescent="0.35">
      <c r="B360" s="27">
        <v>351</v>
      </c>
      <c r="C360" s="2" t="s">
        <v>417</v>
      </c>
      <c r="D360" s="2" t="s">
        <v>284</v>
      </c>
      <c r="E360" s="2" t="s">
        <v>28</v>
      </c>
      <c r="F360" s="2" t="s">
        <v>572</v>
      </c>
      <c r="G360" s="4" t="s">
        <v>502</v>
      </c>
      <c r="H36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0" s="2" t="str">
        <f>IF(OR(LEFT(Table4[[#This Row],[win_prob]],1)="D",LEFT(Table4[[#This Row],[win_prob]],1)="R"),LEFT(Table4[[#This Row],[win_prob]],1),LEFT(Table4[[#This Row],[Category]],1))</f>
        <v>R</v>
      </c>
      <c r="J36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0" s="16" t="str">
        <f>RIGHT(Table4[[#This Row],[Margin]],LEN(Table4[[#This Row],[Margin]])-FIND("+",Table4[[#This Row],[Margin]]))</f>
        <v>40</v>
      </c>
      <c r="M360" s="20" t="str">
        <f>IF(Table4[[#This Row],[listedprob]]=1,"called",IF(LEFT(Table4[[#This Row],[Margin]],1)="D",(Table4[[#This Row],[Numeric Margin]]/2+50)/100,(-Table4[[#This Row],[Numeric Margin]]/2+50)/100))</f>
        <v>called</v>
      </c>
      <c r="N360" s="20" t="str">
        <f>IFERROR(IF(Table4[[#This Row],[D 2pv]]="called","called",Table4[[#This Row],[D 2pv]]*Table4[[#This Row],[Percent of votes in% In]]),Table4[[#This Row],[D 2pv]]*0.95)</f>
        <v>called</v>
      </c>
      <c r="O360" s="20" t="str">
        <f>IF(Table4[[#This Row],[D pct]]="called","called",(Table4[[#This Row],[D 2pv]]+$E$7))</f>
        <v>called</v>
      </c>
      <c r="P36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0" s="21" t="str">
        <f>IF(Table4[[#This Row],[D captured of remain]]="called","called",Table4[[#This Row],[D captured of remain]]+Table4[[#This Row],[D pct]])</f>
        <v>called</v>
      </c>
      <c r="R360" s="22" t="str">
        <f>IF(Table4[[#This Row],[Expected D]]=1,"D",IF(Table4[[#This Row],[Expected R]]=1,"R",IF(Table4[[#This Row],[D total]]&gt;=0.5,"D","R")))</f>
        <v>R</v>
      </c>
      <c r="S360" s="22"/>
    </row>
    <row r="361" spans="2:23" x14ac:dyDescent="0.35">
      <c r="B361" s="27">
        <v>352</v>
      </c>
      <c r="C361" s="2" t="s">
        <v>418</v>
      </c>
      <c r="D361" s="2" t="s">
        <v>284</v>
      </c>
      <c r="E361" s="2" t="s">
        <v>28</v>
      </c>
      <c r="F361" s="2" t="s">
        <v>611</v>
      </c>
      <c r="G361" s="4" t="s">
        <v>502</v>
      </c>
      <c r="H36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1" s="2" t="str">
        <f>IF(OR(LEFT(Table4[[#This Row],[win_prob]],1)="D",LEFT(Table4[[#This Row],[win_prob]],1)="R"),LEFT(Table4[[#This Row],[win_prob]],1),LEFT(Table4[[#This Row],[Category]],1))</f>
        <v>R</v>
      </c>
      <c r="J36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1" s="16" t="str">
        <f>RIGHT(Table4[[#This Row],[Margin]],LEN(Table4[[#This Row],[Margin]])-FIND("+",Table4[[#This Row],[Margin]]))</f>
        <v>13</v>
      </c>
      <c r="M361" s="20" t="str">
        <f>IF(Table4[[#This Row],[listedprob]]=1,"called",IF(LEFT(Table4[[#This Row],[Margin]],1)="D",(Table4[[#This Row],[Numeric Margin]]/2+50)/100,(-Table4[[#This Row],[Numeric Margin]]/2+50)/100))</f>
        <v>called</v>
      </c>
      <c r="N361" s="20" t="str">
        <f>IFERROR(IF(Table4[[#This Row],[D 2pv]]="called","called",Table4[[#This Row],[D 2pv]]*Table4[[#This Row],[Percent of votes in% In]]),Table4[[#This Row],[D 2pv]]*0.95)</f>
        <v>called</v>
      </c>
      <c r="O361" s="20" t="str">
        <f>IF(Table4[[#This Row],[D pct]]="called","called",(Table4[[#This Row],[D 2pv]]+$E$7))</f>
        <v>called</v>
      </c>
      <c r="P36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1" s="21" t="str">
        <f>IF(Table4[[#This Row],[D captured of remain]]="called","called",Table4[[#This Row],[D captured of remain]]+Table4[[#This Row],[D pct]])</f>
        <v>called</v>
      </c>
      <c r="R361" s="22" t="str">
        <f>IF(Table4[[#This Row],[Expected D]]=1,"D",IF(Table4[[#This Row],[Expected R]]=1,"R",IF(Table4[[#This Row],[D total]]&gt;=0.5,"D","R")))</f>
        <v>R</v>
      </c>
      <c r="S361" s="22"/>
    </row>
    <row r="362" spans="2:23" x14ac:dyDescent="0.35">
      <c r="B362" s="27">
        <v>353</v>
      </c>
      <c r="C362" s="2" t="s">
        <v>419</v>
      </c>
      <c r="D362" s="2" t="s">
        <v>284</v>
      </c>
      <c r="E362" s="2" t="s">
        <v>28</v>
      </c>
      <c r="F362" s="2" t="s">
        <v>573</v>
      </c>
      <c r="G362" s="4" t="s">
        <v>502</v>
      </c>
      <c r="H36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2" s="2" t="str">
        <f>IF(OR(LEFT(Table4[[#This Row],[win_prob]],1)="D",LEFT(Table4[[#This Row],[win_prob]],1)="R"),LEFT(Table4[[#This Row],[win_prob]],1),LEFT(Table4[[#This Row],[Category]],1))</f>
        <v>R</v>
      </c>
      <c r="J36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2" s="16" t="str">
        <f>RIGHT(Table4[[#This Row],[Margin]],LEN(Table4[[#This Row],[Margin]])-FIND("+",Table4[[#This Row],[Margin]]))</f>
        <v>46</v>
      </c>
      <c r="M362" s="20" t="str">
        <f>IF(Table4[[#This Row],[listedprob]]=1,"called",IF(LEFT(Table4[[#This Row],[Margin]],1)="D",(Table4[[#This Row],[Numeric Margin]]/2+50)/100,(-Table4[[#This Row],[Numeric Margin]]/2+50)/100))</f>
        <v>called</v>
      </c>
      <c r="N362" s="20" t="str">
        <f>IFERROR(IF(Table4[[#This Row],[D 2pv]]="called","called",Table4[[#This Row],[D 2pv]]*Table4[[#This Row],[Percent of votes in% In]]),Table4[[#This Row],[D 2pv]]*0.95)</f>
        <v>called</v>
      </c>
      <c r="O362" s="20" t="str">
        <f>IF(Table4[[#This Row],[D pct]]="called","called",(Table4[[#This Row],[D 2pv]]+$E$7))</f>
        <v>called</v>
      </c>
      <c r="P36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2" s="21" t="str">
        <f>IF(Table4[[#This Row],[D captured of remain]]="called","called",Table4[[#This Row],[D captured of remain]]+Table4[[#This Row],[D pct]])</f>
        <v>called</v>
      </c>
      <c r="R362" s="22" t="str">
        <f>IF(Table4[[#This Row],[Expected D]]=1,"D",IF(Table4[[#This Row],[Expected R]]=1,"R",IF(Table4[[#This Row],[D total]]&gt;=0.5,"D","R")))</f>
        <v>R</v>
      </c>
      <c r="S362" s="22"/>
      <c r="W362" s="4"/>
    </row>
    <row r="363" spans="2:23" x14ac:dyDescent="0.35">
      <c r="B363" s="27">
        <v>354</v>
      </c>
      <c r="C363" s="2" t="s">
        <v>420</v>
      </c>
      <c r="D363" s="2" t="s">
        <v>284</v>
      </c>
      <c r="E363" s="2" t="s">
        <v>28</v>
      </c>
      <c r="F363" s="2" t="s">
        <v>570</v>
      </c>
      <c r="G363" s="4" t="s">
        <v>502</v>
      </c>
      <c r="H36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3" s="2" t="str">
        <f>IF(OR(LEFT(Table4[[#This Row],[win_prob]],1)="D",LEFT(Table4[[#This Row],[win_prob]],1)="R"),LEFT(Table4[[#This Row],[win_prob]],1),LEFT(Table4[[#This Row],[Category]],1))</f>
        <v>R</v>
      </c>
      <c r="J36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3" s="16" t="str">
        <f>RIGHT(Table4[[#This Row],[Margin]],LEN(Table4[[#This Row],[Margin]])-FIND("+",Table4[[#This Row],[Margin]]))</f>
        <v>9</v>
      </c>
      <c r="M363" s="20" t="str">
        <f>IF(Table4[[#This Row],[listedprob]]=1,"called",IF(LEFT(Table4[[#This Row],[Margin]],1)="D",(Table4[[#This Row],[Numeric Margin]]/2+50)/100,(-Table4[[#This Row],[Numeric Margin]]/2+50)/100))</f>
        <v>called</v>
      </c>
      <c r="N363" s="20" t="str">
        <f>IFERROR(IF(Table4[[#This Row],[D 2pv]]="called","called",Table4[[#This Row],[D 2pv]]*Table4[[#This Row],[Percent of votes in% In]]),Table4[[#This Row],[D 2pv]]*0.95)</f>
        <v>called</v>
      </c>
      <c r="O363" s="20" t="str">
        <f>IF(Table4[[#This Row],[D pct]]="called","called",(Table4[[#This Row],[D 2pv]]+$E$7))</f>
        <v>called</v>
      </c>
      <c r="P36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3" s="21" t="str">
        <f>IF(Table4[[#This Row],[D captured of remain]]="called","called",Table4[[#This Row],[D captured of remain]]+Table4[[#This Row],[D pct]])</f>
        <v>called</v>
      </c>
      <c r="R363" s="22" t="str">
        <f>IF(Table4[[#This Row],[Expected D]]=1,"D",IF(Table4[[#This Row],[Expected R]]=1,"R",IF(Table4[[#This Row],[D total]]&gt;=0.5,"D","R")))</f>
        <v>R</v>
      </c>
      <c r="S363" s="22"/>
      <c r="W363" s="4"/>
    </row>
    <row r="364" spans="2:23" x14ac:dyDescent="0.35">
      <c r="B364" s="27">
        <v>355</v>
      </c>
      <c r="C364" s="2" t="s">
        <v>421</v>
      </c>
      <c r="D364" s="2" t="s">
        <v>284</v>
      </c>
      <c r="E364" s="2" t="s">
        <v>28</v>
      </c>
      <c r="F364" s="2" t="s">
        <v>579</v>
      </c>
      <c r="G364" s="4" t="s">
        <v>502</v>
      </c>
      <c r="H36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4" s="2" t="str">
        <f>IF(OR(LEFT(Table4[[#This Row],[win_prob]],1)="D",LEFT(Table4[[#This Row],[win_prob]],1)="R"),LEFT(Table4[[#This Row],[win_prob]],1),LEFT(Table4[[#This Row],[Category]],1))</f>
        <v>R</v>
      </c>
      <c r="J36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4" s="16" t="str">
        <f>RIGHT(Table4[[#This Row],[Margin]],LEN(Table4[[#This Row],[Margin]])-FIND("+",Table4[[#This Row],[Margin]]))</f>
        <v>25</v>
      </c>
      <c r="M364" s="20" t="str">
        <f>IF(Table4[[#This Row],[listedprob]]=1,"called",IF(LEFT(Table4[[#This Row],[Margin]],1)="D",(Table4[[#This Row],[Numeric Margin]]/2+50)/100,(-Table4[[#This Row],[Numeric Margin]]/2+50)/100))</f>
        <v>called</v>
      </c>
      <c r="N364" s="20" t="str">
        <f>IFERROR(IF(Table4[[#This Row],[D 2pv]]="called","called",Table4[[#This Row],[D 2pv]]*Table4[[#This Row],[Percent of votes in% In]]),Table4[[#This Row],[D 2pv]]*0.95)</f>
        <v>called</v>
      </c>
      <c r="O364" s="20" t="str">
        <f>IF(Table4[[#This Row],[D pct]]="called","called",(Table4[[#This Row],[D 2pv]]+$E$7))</f>
        <v>called</v>
      </c>
      <c r="P36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4" s="21" t="str">
        <f>IF(Table4[[#This Row],[D captured of remain]]="called","called",Table4[[#This Row],[D captured of remain]]+Table4[[#This Row],[D pct]])</f>
        <v>called</v>
      </c>
      <c r="R364" s="22" t="str">
        <f>IF(Table4[[#This Row],[Expected D]]=1,"D",IF(Table4[[#This Row],[Expected R]]=1,"R",IF(Table4[[#This Row],[D total]]&gt;=0.5,"D","R")))</f>
        <v>R</v>
      </c>
      <c r="S364" s="22"/>
    </row>
    <row r="365" spans="2:23" x14ac:dyDescent="0.35">
      <c r="B365" s="27">
        <v>356</v>
      </c>
      <c r="C365" s="2" t="s">
        <v>422</v>
      </c>
      <c r="D365" s="2" t="s">
        <v>284</v>
      </c>
      <c r="E365" s="2" t="s">
        <v>28</v>
      </c>
      <c r="F365" s="2" t="s">
        <v>578</v>
      </c>
      <c r="G365" s="4" t="s">
        <v>502</v>
      </c>
      <c r="H36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5" s="2" t="str">
        <f>IF(OR(LEFT(Table4[[#This Row],[win_prob]],1)="D",LEFT(Table4[[#This Row],[win_prob]],1)="R"),LEFT(Table4[[#This Row],[win_prob]],1),LEFT(Table4[[#This Row],[Category]],1))</f>
        <v>R</v>
      </c>
      <c r="J36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5" s="16" t="str">
        <f>RIGHT(Table4[[#This Row],[Margin]],LEN(Table4[[#This Row],[Margin]])-FIND("+",Table4[[#This Row],[Margin]]))</f>
        <v>49</v>
      </c>
      <c r="M365" s="20" t="str">
        <f>IF(Table4[[#This Row],[listedprob]]=1,"called",IF(LEFT(Table4[[#This Row],[Margin]],1)="D",(Table4[[#This Row],[Numeric Margin]]/2+50)/100,(-Table4[[#This Row],[Numeric Margin]]/2+50)/100))</f>
        <v>called</v>
      </c>
      <c r="N365" s="20" t="str">
        <f>IFERROR(IF(Table4[[#This Row],[D 2pv]]="called","called",Table4[[#This Row],[D 2pv]]*Table4[[#This Row],[Percent of votes in% In]]),Table4[[#This Row],[D 2pv]]*0.95)</f>
        <v>called</v>
      </c>
      <c r="O365" s="20" t="str">
        <f>IF(Table4[[#This Row],[D pct]]="called","called",(Table4[[#This Row],[D 2pv]]+$E$7))</f>
        <v>called</v>
      </c>
      <c r="P36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5" s="21" t="str">
        <f>IF(Table4[[#This Row],[D captured of remain]]="called","called",Table4[[#This Row],[D captured of remain]]+Table4[[#This Row],[D pct]])</f>
        <v>called</v>
      </c>
      <c r="R365" s="22" t="str">
        <f>IF(Table4[[#This Row],[Expected D]]=1,"D",IF(Table4[[#This Row],[Expected R]]=1,"R",IF(Table4[[#This Row],[D total]]&gt;=0.5,"D","R")))</f>
        <v>R</v>
      </c>
      <c r="S365" s="22"/>
    </row>
    <row r="366" spans="2:23" x14ac:dyDescent="0.35">
      <c r="B366" s="27">
        <v>357</v>
      </c>
      <c r="C366" s="2" t="s">
        <v>423</v>
      </c>
      <c r="D366" s="2" t="s">
        <v>284</v>
      </c>
      <c r="E366" s="2" t="s">
        <v>28</v>
      </c>
      <c r="F366" s="2" t="s">
        <v>608</v>
      </c>
      <c r="G366" s="4" t="s">
        <v>502</v>
      </c>
      <c r="H36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6" s="2" t="str">
        <f>IF(OR(LEFT(Table4[[#This Row],[win_prob]],1)="D",LEFT(Table4[[#This Row],[win_prob]],1)="R"),LEFT(Table4[[#This Row],[win_prob]],1),LEFT(Table4[[#This Row],[Category]],1))</f>
        <v>R</v>
      </c>
      <c r="J36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6" s="16" t="str">
        <f>RIGHT(Table4[[#This Row],[Margin]],LEN(Table4[[#This Row],[Margin]])-FIND("+",Table4[[#This Row],[Margin]]))</f>
        <v>39</v>
      </c>
      <c r="M366" s="20" t="str">
        <f>IF(Table4[[#This Row],[listedprob]]=1,"called",IF(LEFT(Table4[[#This Row],[Margin]],1)="D",(Table4[[#This Row],[Numeric Margin]]/2+50)/100,(-Table4[[#This Row],[Numeric Margin]]/2+50)/100))</f>
        <v>called</v>
      </c>
      <c r="N366" s="20" t="str">
        <f>IFERROR(IF(Table4[[#This Row],[D 2pv]]="called","called",Table4[[#This Row],[D 2pv]]*Table4[[#This Row],[Percent of votes in% In]]),Table4[[#This Row],[D 2pv]]*0.95)</f>
        <v>called</v>
      </c>
      <c r="O366" s="20" t="str">
        <f>IF(Table4[[#This Row],[D pct]]="called","called",(Table4[[#This Row],[D 2pv]]+$E$7))</f>
        <v>called</v>
      </c>
      <c r="P36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6" s="21" t="str">
        <f>IF(Table4[[#This Row],[D captured of remain]]="called","called",Table4[[#This Row],[D captured of remain]]+Table4[[#This Row],[D pct]])</f>
        <v>called</v>
      </c>
      <c r="R366" s="22" t="str">
        <f>IF(Table4[[#This Row],[Expected D]]=1,"D",IF(Table4[[#This Row],[Expected R]]=1,"R",IF(Table4[[#This Row],[D total]]&gt;=0.5,"D","R")))</f>
        <v>R</v>
      </c>
      <c r="S366" s="22"/>
    </row>
    <row r="367" spans="2:23" x14ac:dyDescent="0.35">
      <c r="B367" s="27">
        <v>358</v>
      </c>
      <c r="C367" s="2" t="s">
        <v>424</v>
      </c>
      <c r="D367" s="2" t="s">
        <v>284</v>
      </c>
      <c r="E367" s="2" t="s">
        <v>28</v>
      </c>
      <c r="F367" s="2" t="s">
        <v>600</v>
      </c>
      <c r="G367" s="4" t="s">
        <v>502</v>
      </c>
      <c r="H36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7" s="2" t="str">
        <f>IF(OR(LEFT(Table4[[#This Row],[win_prob]],1)="D",LEFT(Table4[[#This Row],[win_prob]],1)="R"),LEFT(Table4[[#This Row],[win_prob]],1),LEFT(Table4[[#This Row],[Category]],1))</f>
        <v>R</v>
      </c>
      <c r="J36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7" s="16" t="str">
        <f>RIGHT(Table4[[#This Row],[Margin]],LEN(Table4[[#This Row],[Margin]])-FIND("+",Table4[[#This Row],[Margin]]))</f>
        <v>34</v>
      </c>
      <c r="M367" s="20" t="str">
        <f>IF(Table4[[#This Row],[listedprob]]=1,"called",IF(LEFT(Table4[[#This Row],[Margin]],1)="D",(Table4[[#This Row],[Numeric Margin]]/2+50)/100,(-Table4[[#This Row],[Numeric Margin]]/2+50)/100))</f>
        <v>called</v>
      </c>
      <c r="N367" s="20" t="str">
        <f>IFERROR(IF(Table4[[#This Row],[D 2pv]]="called","called",Table4[[#This Row],[D 2pv]]*Table4[[#This Row],[Percent of votes in% In]]),Table4[[#This Row],[D 2pv]]*0.95)</f>
        <v>called</v>
      </c>
      <c r="O367" s="20" t="str">
        <f>IF(Table4[[#This Row],[D pct]]="called","called",(Table4[[#This Row],[D 2pv]]+$E$7))</f>
        <v>called</v>
      </c>
      <c r="P36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7" s="21" t="str">
        <f>IF(Table4[[#This Row],[D captured of remain]]="called","called",Table4[[#This Row],[D captured of remain]]+Table4[[#This Row],[D pct]])</f>
        <v>called</v>
      </c>
      <c r="R367" s="22" t="str">
        <f>IF(Table4[[#This Row],[Expected D]]=1,"D",IF(Table4[[#This Row],[Expected R]]=1,"R",IF(Table4[[#This Row],[D total]]&gt;=0.5,"D","R")))</f>
        <v>R</v>
      </c>
      <c r="S367" s="22"/>
      <c r="V367" s="4"/>
    </row>
    <row r="368" spans="2:23" x14ac:dyDescent="0.35">
      <c r="B368" s="27">
        <v>359</v>
      </c>
      <c r="C368" s="2" t="s">
        <v>425</v>
      </c>
      <c r="D368" s="2" t="s">
        <v>284</v>
      </c>
      <c r="E368" s="4" t="s">
        <v>28</v>
      </c>
      <c r="F368" s="2" t="s">
        <v>584</v>
      </c>
      <c r="G368" s="4" t="s">
        <v>502</v>
      </c>
      <c r="H36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8" s="2" t="str">
        <f>IF(OR(LEFT(Table4[[#This Row],[win_prob]],1)="D",LEFT(Table4[[#This Row],[win_prob]],1)="R"),LEFT(Table4[[#This Row],[win_prob]],1),LEFT(Table4[[#This Row],[Category]],1))</f>
        <v>R</v>
      </c>
      <c r="J36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8" s="16" t="str">
        <f>RIGHT(Table4[[#This Row],[Margin]],LEN(Table4[[#This Row],[Margin]])-FIND("+",Table4[[#This Row],[Margin]]))</f>
        <v>35</v>
      </c>
      <c r="M368" s="20" t="str">
        <f>IF(Table4[[#This Row],[listedprob]]=1,"called",IF(LEFT(Table4[[#This Row],[Margin]],1)="D",(Table4[[#This Row],[Numeric Margin]]/2+50)/100,(-Table4[[#This Row],[Numeric Margin]]/2+50)/100))</f>
        <v>called</v>
      </c>
      <c r="N368" s="20" t="str">
        <f>IFERROR(IF(Table4[[#This Row],[D 2pv]]="called","called",Table4[[#This Row],[D 2pv]]*Table4[[#This Row],[Percent of votes in% In]]),Table4[[#This Row],[D 2pv]]*0.95)</f>
        <v>called</v>
      </c>
      <c r="O368" s="20" t="str">
        <f>IF(Table4[[#This Row],[D pct]]="called","called",(Table4[[#This Row],[D 2pv]]+$E$7))</f>
        <v>called</v>
      </c>
      <c r="P36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8" s="21" t="str">
        <f>IF(Table4[[#This Row],[D captured of remain]]="called","called",Table4[[#This Row],[D captured of remain]]+Table4[[#This Row],[D pct]])</f>
        <v>called</v>
      </c>
      <c r="R368" s="22" t="str">
        <f>IF(Table4[[#This Row],[Expected D]]=1,"D",IF(Table4[[#This Row],[Expected R]]=1,"R",IF(Table4[[#This Row],[D total]]&gt;=0.5,"D","R")))</f>
        <v>R</v>
      </c>
      <c r="S368" s="22"/>
    </row>
    <row r="369" spans="2:23" x14ac:dyDescent="0.35">
      <c r="B369" s="27">
        <v>360</v>
      </c>
      <c r="C369" s="2" t="s">
        <v>426</v>
      </c>
      <c r="D369" s="2" t="s">
        <v>284</v>
      </c>
      <c r="E369" s="2" t="s">
        <v>28</v>
      </c>
      <c r="F369" s="2" t="s">
        <v>561</v>
      </c>
      <c r="G369" s="4" t="s">
        <v>502</v>
      </c>
      <c r="H36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69" s="2" t="str">
        <f>IF(OR(LEFT(Table4[[#This Row],[win_prob]],1)="D",LEFT(Table4[[#This Row],[win_prob]],1)="R"),LEFT(Table4[[#This Row],[win_prob]],1),LEFT(Table4[[#This Row],[Category]],1))</f>
        <v>R</v>
      </c>
      <c r="J36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6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69" s="16" t="str">
        <f>RIGHT(Table4[[#This Row],[Margin]],LEN(Table4[[#This Row],[Margin]])-FIND("+",Table4[[#This Row],[Margin]]))</f>
        <v>11</v>
      </c>
      <c r="M369" s="20" t="str">
        <f>IF(Table4[[#This Row],[listedprob]]=1,"called",IF(LEFT(Table4[[#This Row],[Margin]],1)="D",(Table4[[#This Row],[Numeric Margin]]/2+50)/100,(-Table4[[#This Row],[Numeric Margin]]/2+50)/100))</f>
        <v>called</v>
      </c>
      <c r="N369" s="20" t="str">
        <f>IFERROR(IF(Table4[[#This Row],[D 2pv]]="called","called",Table4[[#This Row],[D 2pv]]*Table4[[#This Row],[Percent of votes in% In]]),Table4[[#This Row],[D 2pv]]*0.95)</f>
        <v>called</v>
      </c>
      <c r="O369" s="20" t="str">
        <f>IF(Table4[[#This Row],[D pct]]="called","called",(Table4[[#This Row],[D 2pv]]+$E$7))</f>
        <v>called</v>
      </c>
      <c r="P36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69" s="21" t="str">
        <f>IF(Table4[[#This Row],[D captured of remain]]="called","called",Table4[[#This Row],[D captured of remain]]+Table4[[#This Row],[D pct]])</f>
        <v>called</v>
      </c>
      <c r="R369" s="22" t="str">
        <f>IF(Table4[[#This Row],[Expected D]]=1,"D",IF(Table4[[#This Row],[Expected R]]=1,"R",IF(Table4[[#This Row],[D total]]&gt;=0.5,"D","R")))</f>
        <v>R</v>
      </c>
      <c r="S369" s="22"/>
      <c r="V369" s="4"/>
    </row>
    <row r="370" spans="2:23" x14ac:dyDescent="0.35">
      <c r="B370" s="27">
        <v>361</v>
      </c>
      <c r="C370" s="2" t="s">
        <v>427</v>
      </c>
      <c r="D370" s="2" t="s">
        <v>284</v>
      </c>
      <c r="E370" s="4" t="s">
        <v>28</v>
      </c>
      <c r="F370" s="2" t="s">
        <v>590</v>
      </c>
      <c r="G370" s="4" t="s">
        <v>502</v>
      </c>
      <c r="H37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0" s="2" t="str">
        <f>IF(OR(LEFT(Table4[[#This Row],[win_prob]],1)="D",LEFT(Table4[[#This Row],[win_prob]],1)="R"),LEFT(Table4[[#This Row],[win_prob]],1),LEFT(Table4[[#This Row],[Category]],1))</f>
        <v>R</v>
      </c>
      <c r="J37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0" s="16" t="str">
        <f>RIGHT(Table4[[#This Row],[Margin]],LEN(Table4[[#This Row],[Margin]])-FIND("+",Table4[[#This Row],[Margin]]))</f>
        <v>30</v>
      </c>
      <c r="M370" s="20" t="str">
        <f>IF(Table4[[#This Row],[listedprob]]=1,"called",IF(LEFT(Table4[[#This Row],[Margin]],1)="D",(Table4[[#This Row],[Numeric Margin]]/2+50)/100,(-Table4[[#This Row],[Numeric Margin]]/2+50)/100))</f>
        <v>called</v>
      </c>
      <c r="N370" s="20" t="str">
        <f>IFERROR(IF(Table4[[#This Row],[D 2pv]]="called","called",Table4[[#This Row],[D 2pv]]*Table4[[#This Row],[Percent of votes in% In]]),Table4[[#This Row],[D 2pv]]*0.95)</f>
        <v>called</v>
      </c>
      <c r="O370" s="20" t="str">
        <f>IF(Table4[[#This Row],[D pct]]="called","called",(Table4[[#This Row],[D 2pv]]+$E$7))</f>
        <v>called</v>
      </c>
      <c r="P37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0" s="21" t="str">
        <f>IF(Table4[[#This Row],[D captured of remain]]="called","called",Table4[[#This Row],[D captured of remain]]+Table4[[#This Row],[D pct]])</f>
        <v>called</v>
      </c>
      <c r="R370" s="22" t="str">
        <f>IF(Table4[[#This Row],[Expected D]]=1,"D",IF(Table4[[#This Row],[Expected R]]=1,"R",IF(Table4[[#This Row],[D total]]&gt;=0.5,"D","R")))</f>
        <v>R</v>
      </c>
      <c r="S370" s="22"/>
      <c r="V370" s="4"/>
    </row>
    <row r="371" spans="2:23" x14ac:dyDescent="0.35">
      <c r="B371" s="27">
        <v>362</v>
      </c>
      <c r="C371" s="2" t="s">
        <v>428</v>
      </c>
      <c r="D371" s="2" t="s">
        <v>284</v>
      </c>
      <c r="E371" s="4" t="s">
        <v>28</v>
      </c>
      <c r="F371" s="2" t="s">
        <v>567</v>
      </c>
      <c r="G371" s="4" t="s">
        <v>502</v>
      </c>
      <c r="H37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1" s="2" t="str">
        <f>IF(OR(LEFT(Table4[[#This Row],[win_prob]],1)="D",LEFT(Table4[[#This Row],[win_prob]],1)="R"),LEFT(Table4[[#This Row],[win_prob]],1),LEFT(Table4[[#This Row],[Category]],1))</f>
        <v>R</v>
      </c>
      <c r="J37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1" s="16" t="str">
        <f>RIGHT(Table4[[#This Row],[Margin]],LEN(Table4[[#This Row],[Margin]])-FIND("+",Table4[[#This Row],[Margin]]))</f>
        <v>24</v>
      </c>
      <c r="M371" s="20" t="str">
        <f>IF(Table4[[#This Row],[listedprob]]=1,"called",IF(LEFT(Table4[[#This Row],[Margin]],1)="D",(Table4[[#This Row],[Numeric Margin]]/2+50)/100,(-Table4[[#This Row],[Numeric Margin]]/2+50)/100))</f>
        <v>called</v>
      </c>
      <c r="N371" s="20" t="str">
        <f>IFERROR(IF(Table4[[#This Row],[D 2pv]]="called","called",Table4[[#This Row],[D 2pv]]*Table4[[#This Row],[Percent of votes in% In]]),Table4[[#This Row],[D 2pv]]*0.95)</f>
        <v>called</v>
      </c>
      <c r="O371" s="20" t="str">
        <f>IF(Table4[[#This Row],[D pct]]="called","called",(Table4[[#This Row],[D 2pv]]+$E$7))</f>
        <v>called</v>
      </c>
      <c r="P37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1" s="21" t="str">
        <f>IF(Table4[[#This Row],[D captured of remain]]="called","called",Table4[[#This Row],[D captured of remain]]+Table4[[#This Row],[D pct]])</f>
        <v>called</v>
      </c>
      <c r="R371" s="22" t="str">
        <f>IF(Table4[[#This Row],[Expected D]]=1,"D",IF(Table4[[#This Row],[Expected R]]=1,"R",IF(Table4[[#This Row],[D total]]&gt;=0.5,"D","R")))</f>
        <v>R</v>
      </c>
      <c r="S371" s="22"/>
      <c r="V371" s="4"/>
    </row>
    <row r="372" spans="2:23" x14ac:dyDescent="0.35">
      <c r="B372" s="27">
        <v>363</v>
      </c>
      <c r="C372" s="2" t="s">
        <v>429</v>
      </c>
      <c r="D372" s="2" t="s">
        <v>284</v>
      </c>
      <c r="E372" s="4" t="s">
        <v>28</v>
      </c>
      <c r="F372" s="2" t="s">
        <v>608</v>
      </c>
      <c r="G372" s="4" t="s">
        <v>502</v>
      </c>
      <c r="H37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2" s="2" t="str">
        <f>IF(OR(LEFT(Table4[[#This Row],[win_prob]],1)="D",LEFT(Table4[[#This Row],[win_prob]],1)="R"),LEFT(Table4[[#This Row],[win_prob]],1),LEFT(Table4[[#This Row],[Category]],1))</f>
        <v>R</v>
      </c>
      <c r="J37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2" s="16" t="str">
        <f>RIGHT(Table4[[#This Row],[Margin]],LEN(Table4[[#This Row],[Margin]])-FIND("+",Table4[[#This Row],[Margin]]))</f>
        <v>39</v>
      </c>
      <c r="M372" s="20" t="str">
        <f>IF(Table4[[#This Row],[listedprob]]=1,"called",IF(LEFT(Table4[[#This Row],[Margin]],1)="D",(Table4[[#This Row],[Numeric Margin]]/2+50)/100,(-Table4[[#This Row],[Numeric Margin]]/2+50)/100))</f>
        <v>called</v>
      </c>
      <c r="N372" s="20" t="str">
        <f>IFERROR(IF(Table4[[#This Row],[D 2pv]]="called","called",Table4[[#This Row],[D 2pv]]*Table4[[#This Row],[Percent of votes in% In]]),Table4[[#This Row],[D 2pv]]*0.95)</f>
        <v>called</v>
      </c>
      <c r="O372" s="20" t="str">
        <f>IF(Table4[[#This Row],[D pct]]="called","called",(Table4[[#This Row],[D 2pv]]+$E$7))</f>
        <v>called</v>
      </c>
      <c r="P37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2" s="21" t="str">
        <f>IF(Table4[[#This Row],[D captured of remain]]="called","called",Table4[[#This Row],[D captured of remain]]+Table4[[#This Row],[D pct]])</f>
        <v>called</v>
      </c>
      <c r="R372" s="22" t="str">
        <f>IF(Table4[[#This Row],[Expected D]]=1,"D",IF(Table4[[#This Row],[Expected R]]=1,"R",IF(Table4[[#This Row],[D total]]&gt;=0.5,"D","R")))</f>
        <v>R</v>
      </c>
      <c r="S372" s="22"/>
      <c r="V372" s="4"/>
    </row>
    <row r="373" spans="2:23" x14ac:dyDescent="0.35">
      <c r="B373" s="27">
        <v>364</v>
      </c>
      <c r="C373" s="2" t="s">
        <v>430</v>
      </c>
      <c r="D373" s="2" t="s">
        <v>284</v>
      </c>
      <c r="E373" s="4" t="s">
        <v>28</v>
      </c>
      <c r="F373" s="2" t="s">
        <v>567</v>
      </c>
      <c r="G373" s="4" t="s">
        <v>502</v>
      </c>
      <c r="H37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3" s="2" t="str">
        <f>IF(OR(LEFT(Table4[[#This Row],[win_prob]],1)="D",LEFT(Table4[[#This Row],[win_prob]],1)="R"),LEFT(Table4[[#This Row],[win_prob]],1),LEFT(Table4[[#This Row],[Category]],1))</f>
        <v>R</v>
      </c>
      <c r="J37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3" s="16" t="str">
        <f>RIGHT(Table4[[#This Row],[Margin]],LEN(Table4[[#This Row],[Margin]])-FIND("+",Table4[[#This Row],[Margin]]))</f>
        <v>24</v>
      </c>
      <c r="M373" s="20" t="str">
        <f>IF(Table4[[#This Row],[listedprob]]=1,"called",IF(LEFT(Table4[[#This Row],[Margin]],1)="D",(Table4[[#This Row],[Numeric Margin]]/2+50)/100,(-Table4[[#This Row],[Numeric Margin]]/2+50)/100))</f>
        <v>called</v>
      </c>
      <c r="N373" s="20" t="str">
        <f>IFERROR(IF(Table4[[#This Row],[D 2pv]]="called","called",Table4[[#This Row],[D 2pv]]*Table4[[#This Row],[Percent of votes in% In]]),Table4[[#This Row],[D 2pv]]*0.95)</f>
        <v>called</v>
      </c>
      <c r="O373" s="20" t="str">
        <f>IF(Table4[[#This Row],[D pct]]="called","called",(Table4[[#This Row],[D 2pv]]+$E$7))</f>
        <v>called</v>
      </c>
      <c r="P37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3" s="21" t="str">
        <f>IF(Table4[[#This Row],[D captured of remain]]="called","called",Table4[[#This Row],[D captured of remain]]+Table4[[#This Row],[D pct]])</f>
        <v>called</v>
      </c>
      <c r="R373" s="22" t="str">
        <f>IF(Table4[[#This Row],[Expected D]]=1,"D",IF(Table4[[#This Row],[Expected R]]=1,"R",IF(Table4[[#This Row],[D total]]&gt;=0.5,"D","R")))</f>
        <v>R</v>
      </c>
      <c r="S373" s="22"/>
      <c r="V373" s="4"/>
    </row>
    <row r="374" spans="2:23" x14ac:dyDescent="0.35">
      <c r="B374" s="27">
        <v>365</v>
      </c>
      <c r="C374" s="2" t="s">
        <v>431</v>
      </c>
      <c r="D374" s="2" t="s">
        <v>284</v>
      </c>
      <c r="E374" s="4" t="s">
        <v>28</v>
      </c>
      <c r="F374" s="2" t="s">
        <v>569</v>
      </c>
      <c r="G374" s="4" t="s">
        <v>502</v>
      </c>
      <c r="H37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4" s="2" t="str">
        <f>IF(OR(LEFT(Table4[[#This Row],[win_prob]],1)="D",LEFT(Table4[[#This Row],[win_prob]],1)="R"),LEFT(Table4[[#This Row],[win_prob]],1),LEFT(Table4[[#This Row],[Category]],1))</f>
        <v>R</v>
      </c>
      <c r="J37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4" s="16" t="str">
        <f>RIGHT(Table4[[#This Row],[Margin]],LEN(Table4[[#This Row],[Margin]])-FIND("+",Table4[[#This Row],[Margin]]))</f>
        <v>14</v>
      </c>
      <c r="M374" s="20" t="str">
        <f>IF(Table4[[#This Row],[listedprob]]=1,"called",IF(LEFT(Table4[[#This Row],[Margin]],1)="D",(Table4[[#This Row],[Numeric Margin]]/2+50)/100,(-Table4[[#This Row],[Numeric Margin]]/2+50)/100))</f>
        <v>called</v>
      </c>
      <c r="N374" s="20" t="str">
        <f>IFERROR(IF(Table4[[#This Row],[D 2pv]]="called","called",Table4[[#This Row],[D 2pv]]*Table4[[#This Row],[Percent of votes in% In]]),Table4[[#This Row],[D 2pv]]*0.95)</f>
        <v>called</v>
      </c>
      <c r="O374" s="20" t="str">
        <f>IF(Table4[[#This Row],[D pct]]="called","called",(Table4[[#This Row],[D 2pv]]+$E$7))</f>
        <v>called</v>
      </c>
      <c r="P37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4" s="21" t="str">
        <f>IF(Table4[[#This Row],[D captured of remain]]="called","called",Table4[[#This Row],[D captured of remain]]+Table4[[#This Row],[D pct]])</f>
        <v>called</v>
      </c>
      <c r="R374" s="22" t="str">
        <f>IF(Table4[[#This Row],[Expected D]]=1,"D",IF(Table4[[#This Row],[Expected R]]=1,"R",IF(Table4[[#This Row],[D total]]&gt;=0.5,"D","R")))</f>
        <v>R</v>
      </c>
      <c r="S374" s="22"/>
      <c r="V374" s="4"/>
    </row>
    <row r="375" spans="2:23" x14ac:dyDescent="0.35">
      <c r="B375" s="27">
        <v>366</v>
      </c>
      <c r="C375" s="2" t="s">
        <v>432</v>
      </c>
      <c r="D375" s="2" t="s">
        <v>284</v>
      </c>
      <c r="E375" s="4" t="s">
        <v>28</v>
      </c>
      <c r="F375" s="2" t="s">
        <v>593</v>
      </c>
      <c r="G375" s="4" t="s">
        <v>502</v>
      </c>
      <c r="H37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5" s="2" t="str">
        <f>IF(OR(LEFT(Table4[[#This Row],[win_prob]],1)="D",LEFT(Table4[[#This Row],[win_prob]],1)="R"),LEFT(Table4[[#This Row],[win_prob]],1),LEFT(Table4[[#This Row],[Category]],1))</f>
        <v>R</v>
      </c>
      <c r="J37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5" s="16" t="str">
        <f>RIGHT(Table4[[#This Row],[Margin]],LEN(Table4[[#This Row],[Margin]])-FIND("+",Table4[[#This Row],[Margin]]))</f>
        <v>27</v>
      </c>
      <c r="M375" s="20" t="str">
        <f>IF(Table4[[#This Row],[listedprob]]=1,"called",IF(LEFT(Table4[[#This Row],[Margin]],1)="D",(Table4[[#This Row],[Numeric Margin]]/2+50)/100,(-Table4[[#This Row],[Numeric Margin]]/2+50)/100))</f>
        <v>called</v>
      </c>
      <c r="N375" s="20" t="str">
        <f>IFERROR(IF(Table4[[#This Row],[D 2pv]]="called","called",Table4[[#This Row],[D 2pv]]*Table4[[#This Row],[Percent of votes in% In]]),Table4[[#This Row],[D 2pv]]*0.95)</f>
        <v>called</v>
      </c>
      <c r="O375" s="20" t="str">
        <f>IF(Table4[[#This Row],[D pct]]="called","called",(Table4[[#This Row],[D 2pv]]+$E$7))</f>
        <v>called</v>
      </c>
      <c r="P37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5" s="21" t="str">
        <f>IF(Table4[[#This Row],[D captured of remain]]="called","called",Table4[[#This Row],[D captured of remain]]+Table4[[#This Row],[D pct]])</f>
        <v>called</v>
      </c>
      <c r="R375" s="22" t="str">
        <f>IF(Table4[[#This Row],[Expected D]]=1,"D",IF(Table4[[#This Row],[Expected R]]=1,"R",IF(Table4[[#This Row],[D total]]&gt;=0.5,"D","R")))</f>
        <v>R</v>
      </c>
      <c r="S375" s="22"/>
      <c r="V375" s="4"/>
    </row>
    <row r="376" spans="2:23" x14ac:dyDescent="0.35">
      <c r="B376" s="27">
        <v>367</v>
      </c>
      <c r="C376" s="2" t="s">
        <v>433</v>
      </c>
      <c r="D376" s="2" t="s">
        <v>284</v>
      </c>
      <c r="E376" s="4" t="s">
        <v>28</v>
      </c>
      <c r="F376" s="2" t="s">
        <v>578</v>
      </c>
      <c r="G376" s="4" t="s">
        <v>502</v>
      </c>
      <c r="H37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6" s="2" t="str">
        <f>IF(OR(LEFT(Table4[[#This Row],[win_prob]],1)="D",LEFT(Table4[[#This Row],[win_prob]],1)="R"),LEFT(Table4[[#This Row],[win_prob]],1),LEFT(Table4[[#This Row],[Category]],1))</f>
        <v>R</v>
      </c>
      <c r="J37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6" s="16" t="str">
        <f>RIGHT(Table4[[#This Row],[Margin]],LEN(Table4[[#This Row],[Margin]])-FIND("+",Table4[[#This Row],[Margin]]))</f>
        <v>49</v>
      </c>
      <c r="M376" s="20" t="str">
        <f>IF(Table4[[#This Row],[listedprob]]=1,"called",IF(LEFT(Table4[[#This Row],[Margin]],1)="D",(Table4[[#This Row],[Numeric Margin]]/2+50)/100,(-Table4[[#This Row],[Numeric Margin]]/2+50)/100))</f>
        <v>called</v>
      </c>
      <c r="N376" s="20" t="str">
        <f>IFERROR(IF(Table4[[#This Row],[D 2pv]]="called","called",Table4[[#This Row],[D 2pv]]*Table4[[#This Row],[Percent of votes in% In]]),Table4[[#This Row],[D 2pv]]*0.95)</f>
        <v>called</v>
      </c>
      <c r="O376" s="20" t="str">
        <f>IF(Table4[[#This Row],[D pct]]="called","called",(Table4[[#This Row],[D 2pv]]+$E$7))</f>
        <v>called</v>
      </c>
      <c r="P37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6" s="21" t="str">
        <f>IF(Table4[[#This Row],[D captured of remain]]="called","called",Table4[[#This Row],[D captured of remain]]+Table4[[#This Row],[D pct]])</f>
        <v>called</v>
      </c>
      <c r="R376" s="22" t="str">
        <f>IF(Table4[[#This Row],[Expected D]]=1,"D",IF(Table4[[#This Row],[Expected R]]=1,"R",IF(Table4[[#This Row],[D total]]&gt;=0.5,"D","R")))</f>
        <v>R</v>
      </c>
      <c r="S376" s="22"/>
      <c r="V376" s="4"/>
    </row>
    <row r="377" spans="2:23" x14ac:dyDescent="0.35">
      <c r="B377" s="27">
        <v>368</v>
      </c>
      <c r="C377" s="2" t="s">
        <v>434</v>
      </c>
      <c r="D377" s="2" t="s">
        <v>284</v>
      </c>
      <c r="E377" s="4" t="s">
        <v>28</v>
      </c>
      <c r="F377" s="2" t="s">
        <v>578</v>
      </c>
      <c r="G377" s="4" t="s">
        <v>502</v>
      </c>
      <c r="H37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7" s="2" t="str">
        <f>IF(OR(LEFT(Table4[[#This Row],[win_prob]],1)="D",LEFT(Table4[[#This Row],[win_prob]],1)="R"),LEFT(Table4[[#This Row],[win_prob]],1),LEFT(Table4[[#This Row],[Category]],1))</f>
        <v>R</v>
      </c>
      <c r="J37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7" s="16" t="str">
        <f>RIGHT(Table4[[#This Row],[Margin]],LEN(Table4[[#This Row],[Margin]])-FIND("+",Table4[[#This Row],[Margin]]))</f>
        <v>49</v>
      </c>
      <c r="M377" s="20" t="str">
        <f>IF(Table4[[#This Row],[listedprob]]=1,"called",IF(LEFT(Table4[[#This Row],[Margin]],1)="D",(Table4[[#This Row],[Numeric Margin]]/2+50)/100,(-Table4[[#This Row],[Numeric Margin]]/2+50)/100))</f>
        <v>called</v>
      </c>
      <c r="N377" s="20" t="str">
        <f>IFERROR(IF(Table4[[#This Row],[D 2pv]]="called","called",Table4[[#This Row],[D 2pv]]*Table4[[#This Row],[Percent of votes in% In]]),Table4[[#This Row],[D 2pv]]*0.95)</f>
        <v>called</v>
      </c>
      <c r="O377" s="20" t="str">
        <f>IF(Table4[[#This Row],[D pct]]="called","called",(Table4[[#This Row],[D 2pv]]+$E$7))</f>
        <v>called</v>
      </c>
      <c r="P37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7" s="21" t="str">
        <f>IF(Table4[[#This Row],[D captured of remain]]="called","called",Table4[[#This Row],[D captured of remain]]+Table4[[#This Row],[D pct]])</f>
        <v>called</v>
      </c>
      <c r="R377" s="22" t="str">
        <f>IF(Table4[[#This Row],[Expected D]]=1,"D",IF(Table4[[#This Row],[Expected R]]=1,"R",IF(Table4[[#This Row],[D total]]&gt;=0.5,"D","R")))</f>
        <v>R</v>
      </c>
      <c r="S377" s="22"/>
      <c r="V377" s="4"/>
    </row>
    <row r="378" spans="2:23" x14ac:dyDescent="0.35">
      <c r="B378" s="27">
        <v>369</v>
      </c>
      <c r="C378" s="2" t="s">
        <v>435</v>
      </c>
      <c r="D378" s="2" t="s">
        <v>284</v>
      </c>
      <c r="E378" s="4" t="s">
        <v>28</v>
      </c>
      <c r="F378" s="2" t="s">
        <v>600</v>
      </c>
      <c r="G378" s="4" t="s">
        <v>502</v>
      </c>
      <c r="H37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8" s="2" t="str">
        <f>IF(OR(LEFT(Table4[[#This Row],[win_prob]],1)="D",LEFT(Table4[[#This Row],[win_prob]],1)="R"),LEFT(Table4[[#This Row],[win_prob]],1),LEFT(Table4[[#This Row],[Category]],1))</f>
        <v>R</v>
      </c>
      <c r="J37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8" s="16" t="str">
        <f>RIGHT(Table4[[#This Row],[Margin]],LEN(Table4[[#This Row],[Margin]])-FIND("+",Table4[[#This Row],[Margin]]))</f>
        <v>34</v>
      </c>
      <c r="M378" s="20" t="str">
        <f>IF(Table4[[#This Row],[listedprob]]=1,"called",IF(LEFT(Table4[[#This Row],[Margin]],1)="D",(Table4[[#This Row],[Numeric Margin]]/2+50)/100,(-Table4[[#This Row],[Numeric Margin]]/2+50)/100))</f>
        <v>called</v>
      </c>
      <c r="N378" s="20" t="str">
        <f>IFERROR(IF(Table4[[#This Row],[D 2pv]]="called","called",Table4[[#This Row],[D 2pv]]*Table4[[#This Row],[Percent of votes in% In]]),Table4[[#This Row],[D 2pv]]*0.95)</f>
        <v>called</v>
      </c>
      <c r="O378" s="20" t="str">
        <f>IF(Table4[[#This Row],[D pct]]="called","called",(Table4[[#This Row],[D 2pv]]+$E$7))</f>
        <v>called</v>
      </c>
      <c r="P37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8" s="21" t="str">
        <f>IF(Table4[[#This Row],[D captured of remain]]="called","called",Table4[[#This Row],[D captured of remain]]+Table4[[#This Row],[D pct]])</f>
        <v>called</v>
      </c>
      <c r="R378" s="22" t="str">
        <f>IF(Table4[[#This Row],[Expected D]]=1,"D",IF(Table4[[#This Row],[Expected R]]=1,"R",IF(Table4[[#This Row],[D total]]&gt;=0.5,"D","R")))</f>
        <v>R</v>
      </c>
      <c r="S378" s="22"/>
      <c r="V378" s="4"/>
    </row>
    <row r="379" spans="2:23" x14ac:dyDescent="0.35">
      <c r="B379" s="27">
        <v>370</v>
      </c>
      <c r="C379" s="2" t="s">
        <v>436</v>
      </c>
      <c r="D379" s="2" t="s">
        <v>284</v>
      </c>
      <c r="E379" s="4" t="s">
        <v>28</v>
      </c>
      <c r="F379" s="2" t="s">
        <v>566</v>
      </c>
      <c r="G379" s="4" t="s">
        <v>502</v>
      </c>
      <c r="H37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79" s="2" t="str">
        <f>IF(OR(LEFT(Table4[[#This Row],[win_prob]],1)="D",LEFT(Table4[[#This Row],[win_prob]],1)="R"),LEFT(Table4[[#This Row],[win_prob]],1),LEFT(Table4[[#This Row],[Category]],1))</f>
        <v>R</v>
      </c>
      <c r="J37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7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79" s="16" t="str">
        <f>RIGHT(Table4[[#This Row],[Margin]],LEN(Table4[[#This Row],[Margin]])-FIND("+",Table4[[#This Row],[Margin]]))</f>
        <v>22</v>
      </c>
      <c r="M379" s="20" t="str">
        <f>IF(Table4[[#This Row],[listedprob]]=1,"called",IF(LEFT(Table4[[#This Row],[Margin]],1)="D",(Table4[[#This Row],[Numeric Margin]]/2+50)/100,(-Table4[[#This Row],[Numeric Margin]]/2+50)/100))</f>
        <v>called</v>
      </c>
      <c r="N379" s="20" t="str">
        <f>IFERROR(IF(Table4[[#This Row],[D 2pv]]="called","called",Table4[[#This Row],[D 2pv]]*Table4[[#This Row],[Percent of votes in% In]]),Table4[[#This Row],[D 2pv]]*0.95)</f>
        <v>called</v>
      </c>
      <c r="O379" s="20" t="str">
        <f>IF(Table4[[#This Row],[D pct]]="called","called",(Table4[[#This Row],[D 2pv]]+$E$7))</f>
        <v>called</v>
      </c>
      <c r="P37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79" s="21" t="str">
        <f>IF(Table4[[#This Row],[D captured of remain]]="called","called",Table4[[#This Row],[D captured of remain]]+Table4[[#This Row],[D pct]])</f>
        <v>called</v>
      </c>
      <c r="R379" s="22" t="str">
        <f>IF(Table4[[#This Row],[Expected D]]=1,"D",IF(Table4[[#This Row],[Expected R]]=1,"R",IF(Table4[[#This Row],[D total]]&gt;=0.5,"D","R")))</f>
        <v>R</v>
      </c>
      <c r="S379" s="22"/>
      <c r="V379" s="4"/>
    </row>
    <row r="380" spans="2:23" x14ac:dyDescent="0.35">
      <c r="B380" s="27">
        <v>371</v>
      </c>
      <c r="C380" s="2" t="s">
        <v>437</v>
      </c>
      <c r="D380" s="2" t="s">
        <v>284</v>
      </c>
      <c r="E380" s="4" t="s">
        <v>28</v>
      </c>
      <c r="F380" s="2" t="s">
        <v>584</v>
      </c>
      <c r="G380" s="4" t="s">
        <v>502</v>
      </c>
      <c r="H38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0" s="2" t="str">
        <f>IF(OR(LEFT(Table4[[#This Row],[win_prob]],1)="D",LEFT(Table4[[#This Row],[win_prob]],1)="R"),LEFT(Table4[[#This Row],[win_prob]],1),LEFT(Table4[[#This Row],[Category]],1))</f>
        <v>R</v>
      </c>
      <c r="J38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0" s="16" t="str">
        <f>RIGHT(Table4[[#This Row],[Margin]],LEN(Table4[[#This Row],[Margin]])-FIND("+",Table4[[#This Row],[Margin]]))</f>
        <v>35</v>
      </c>
      <c r="M380" s="20" t="str">
        <f>IF(Table4[[#This Row],[listedprob]]=1,"called",IF(LEFT(Table4[[#This Row],[Margin]],1)="D",(Table4[[#This Row],[Numeric Margin]]/2+50)/100,(-Table4[[#This Row],[Numeric Margin]]/2+50)/100))</f>
        <v>called</v>
      </c>
      <c r="N380" s="20" t="str">
        <f>IFERROR(IF(Table4[[#This Row],[D 2pv]]="called","called",Table4[[#This Row],[D 2pv]]*Table4[[#This Row],[Percent of votes in% In]]),Table4[[#This Row],[D 2pv]]*0.95)</f>
        <v>called</v>
      </c>
      <c r="O380" s="20" t="str">
        <f>IF(Table4[[#This Row],[D pct]]="called","called",(Table4[[#This Row],[D 2pv]]+$E$7))</f>
        <v>called</v>
      </c>
      <c r="P38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0" s="21" t="str">
        <f>IF(Table4[[#This Row],[D captured of remain]]="called","called",Table4[[#This Row],[D captured of remain]]+Table4[[#This Row],[D pct]])</f>
        <v>called</v>
      </c>
      <c r="R380" s="22" t="str">
        <f>IF(Table4[[#This Row],[Expected D]]=1,"D",IF(Table4[[#This Row],[Expected R]]=1,"R",IF(Table4[[#This Row],[D total]]&gt;=0.5,"D","R")))</f>
        <v>R</v>
      </c>
      <c r="S380" s="22"/>
      <c r="V380" s="4"/>
    </row>
    <row r="381" spans="2:23" x14ac:dyDescent="0.35">
      <c r="B381" s="27">
        <v>372</v>
      </c>
      <c r="C381" s="2" t="s">
        <v>438</v>
      </c>
      <c r="D381" s="2" t="s">
        <v>284</v>
      </c>
      <c r="E381" s="4" t="s">
        <v>28</v>
      </c>
      <c r="F381" s="2" t="s">
        <v>612</v>
      </c>
      <c r="G381" s="4" t="s">
        <v>502</v>
      </c>
      <c r="H38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1" s="2" t="str">
        <f>IF(OR(LEFT(Table4[[#This Row],[win_prob]],1)="D",LEFT(Table4[[#This Row],[win_prob]],1)="R"),LEFT(Table4[[#This Row],[win_prob]],1),LEFT(Table4[[#This Row],[Category]],1))</f>
        <v>R</v>
      </c>
      <c r="J38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1" s="16" t="str">
        <f>RIGHT(Table4[[#This Row],[Margin]],LEN(Table4[[#This Row],[Margin]])-FIND("+",Table4[[#This Row],[Margin]]))</f>
        <v>10</v>
      </c>
      <c r="M381" s="20" t="str">
        <f>IF(Table4[[#This Row],[listedprob]]=1,"called",IF(LEFT(Table4[[#This Row],[Margin]],1)="D",(Table4[[#This Row],[Numeric Margin]]/2+50)/100,(-Table4[[#This Row],[Numeric Margin]]/2+50)/100))</f>
        <v>called</v>
      </c>
      <c r="N381" s="20" t="str">
        <f>IFERROR(IF(Table4[[#This Row],[D 2pv]]="called","called",Table4[[#This Row],[D 2pv]]*Table4[[#This Row],[Percent of votes in% In]]),Table4[[#This Row],[D 2pv]]*0.95)</f>
        <v>called</v>
      </c>
      <c r="O381" s="20" t="str">
        <f>IF(Table4[[#This Row],[D pct]]="called","called",(Table4[[#This Row],[D 2pv]]+$E$7))</f>
        <v>called</v>
      </c>
      <c r="P38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1" s="21" t="str">
        <f>IF(Table4[[#This Row],[D captured of remain]]="called","called",Table4[[#This Row],[D captured of remain]]+Table4[[#This Row],[D pct]])</f>
        <v>called</v>
      </c>
      <c r="R381" s="22" t="str">
        <f>IF(Table4[[#This Row],[Expected D]]=1,"D",IF(Table4[[#This Row],[Expected R]]=1,"R",IF(Table4[[#This Row],[D total]]&gt;=0.5,"D","R")))</f>
        <v>R</v>
      </c>
      <c r="S381" s="22"/>
      <c r="V381" s="4"/>
      <c r="W381" s="4"/>
    </row>
    <row r="382" spans="2:23" x14ac:dyDescent="0.35">
      <c r="B382" s="27">
        <v>373</v>
      </c>
      <c r="C382" s="2" t="s">
        <v>439</v>
      </c>
      <c r="D382" s="2" t="s">
        <v>284</v>
      </c>
      <c r="E382" s="4" t="s">
        <v>28</v>
      </c>
      <c r="F382" s="2" t="s">
        <v>608</v>
      </c>
      <c r="G382" s="4" t="s">
        <v>502</v>
      </c>
      <c r="H38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2" s="2" t="str">
        <f>IF(OR(LEFT(Table4[[#This Row],[win_prob]],1)="D",LEFT(Table4[[#This Row],[win_prob]],1)="R"),LEFT(Table4[[#This Row],[win_prob]],1),LEFT(Table4[[#This Row],[Category]],1))</f>
        <v>R</v>
      </c>
      <c r="J38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2" s="16" t="str">
        <f>RIGHT(Table4[[#This Row],[Margin]],LEN(Table4[[#This Row],[Margin]])-FIND("+",Table4[[#This Row],[Margin]]))</f>
        <v>39</v>
      </c>
      <c r="M382" s="20" t="str">
        <f>IF(Table4[[#This Row],[listedprob]]=1,"called",IF(LEFT(Table4[[#This Row],[Margin]],1)="D",(Table4[[#This Row],[Numeric Margin]]/2+50)/100,(-Table4[[#This Row],[Numeric Margin]]/2+50)/100))</f>
        <v>called</v>
      </c>
      <c r="N382" s="20" t="str">
        <f>IFERROR(IF(Table4[[#This Row],[D 2pv]]="called","called",Table4[[#This Row],[D 2pv]]*Table4[[#This Row],[Percent of votes in% In]]),Table4[[#This Row],[D 2pv]]*0.95)</f>
        <v>called</v>
      </c>
      <c r="O382" s="20" t="str">
        <f>IF(Table4[[#This Row],[D pct]]="called","called",(Table4[[#This Row],[D 2pv]]+$E$7))</f>
        <v>called</v>
      </c>
      <c r="P38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2" s="21" t="str">
        <f>IF(Table4[[#This Row],[D captured of remain]]="called","called",Table4[[#This Row],[D captured of remain]]+Table4[[#This Row],[D pct]])</f>
        <v>called</v>
      </c>
      <c r="R382" s="22" t="str">
        <f>IF(Table4[[#This Row],[Expected D]]=1,"D",IF(Table4[[#This Row],[Expected R]]=1,"R",IF(Table4[[#This Row],[D total]]&gt;=0.5,"D","R")))</f>
        <v>R</v>
      </c>
      <c r="S382" s="22"/>
      <c r="V382" s="4"/>
      <c r="W382" s="4"/>
    </row>
    <row r="383" spans="2:23" x14ac:dyDescent="0.35">
      <c r="B383" s="27">
        <v>374</v>
      </c>
      <c r="C383" s="2" t="s">
        <v>440</v>
      </c>
      <c r="D383" s="2" t="s">
        <v>284</v>
      </c>
      <c r="E383" s="4" t="s">
        <v>28</v>
      </c>
      <c r="F383" s="2" t="s">
        <v>232</v>
      </c>
      <c r="G383" s="4" t="s">
        <v>502</v>
      </c>
      <c r="H38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3" s="2" t="str">
        <f>IF(OR(LEFT(Table4[[#This Row],[win_prob]],1)="D",LEFT(Table4[[#This Row],[win_prob]],1)="R"),LEFT(Table4[[#This Row],[win_prob]],1),LEFT(Table4[[#This Row],[Category]],1))</f>
        <v>R</v>
      </c>
      <c r="J38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3" s="16" t="str">
        <f>RIGHT(Table4[[#This Row],[Margin]],LEN(Table4[[#This Row],[Margin]])-FIND("+",Table4[[#This Row],[Margin]]))</f>
        <v>8</v>
      </c>
      <c r="M383" s="20" t="str">
        <f>IF(Table4[[#This Row],[listedprob]]=1,"called",IF(LEFT(Table4[[#This Row],[Margin]],1)="D",(Table4[[#This Row],[Numeric Margin]]/2+50)/100,(-Table4[[#This Row],[Numeric Margin]]/2+50)/100))</f>
        <v>called</v>
      </c>
      <c r="N383" s="20" t="str">
        <f>IFERROR(IF(Table4[[#This Row],[D 2pv]]="called","called",Table4[[#This Row],[D 2pv]]*Table4[[#This Row],[Percent of votes in% In]]),Table4[[#This Row],[D 2pv]]*0.95)</f>
        <v>called</v>
      </c>
      <c r="O383" s="20" t="str">
        <f>IF(Table4[[#This Row],[D pct]]="called","called",(Table4[[#This Row],[D 2pv]]+$E$7))</f>
        <v>called</v>
      </c>
      <c r="P38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3" s="21" t="str">
        <f>IF(Table4[[#This Row],[D captured of remain]]="called","called",Table4[[#This Row],[D captured of remain]]+Table4[[#This Row],[D pct]])</f>
        <v>called</v>
      </c>
      <c r="R383" s="22" t="str">
        <f>IF(Table4[[#This Row],[Expected D]]=1,"D",IF(Table4[[#This Row],[Expected R]]=1,"R",IF(Table4[[#This Row],[D total]]&gt;=0.5,"D","R")))</f>
        <v>R</v>
      </c>
      <c r="S383" s="22"/>
      <c r="V383" s="4"/>
    </row>
    <row r="384" spans="2:23" x14ac:dyDescent="0.35">
      <c r="B384" s="27">
        <v>375</v>
      </c>
      <c r="C384" s="2" t="s">
        <v>441</v>
      </c>
      <c r="D384" s="2" t="s">
        <v>284</v>
      </c>
      <c r="E384" s="4" t="s">
        <v>28</v>
      </c>
      <c r="F384" s="2" t="s">
        <v>585</v>
      </c>
      <c r="G384" s="4" t="s">
        <v>502</v>
      </c>
      <c r="H38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4" s="2" t="str">
        <f>IF(OR(LEFT(Table4[[#This Row],[win_prob]],1)="D",LEFT(Table4[[#This Row],[win_prob]],1)="R"),LEFT(Table4[[#This Row],[win_prob]],1),LEFT(Table4[[#This Row],[Category]],1))</f>
        <v>R</v>
      </c>
      <c r="J38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4" s="16" t="str">
        <f>RIGHT(Table4[[#This Row],[Margin]],LEN(Table4[[#This Row],[Margin]])-FIND("+",Table4[[#This Row],[Margin]]))</f>
        <v>23</v>
      </c>
      <c r="M384" s="20" t="str">
        <f>IF(Table4[[#This Row],[listedprob]]=1,"called",IF(LEFT(Table4[[#This Row],[Margin]],1)="D",(Table4[[#This Row],[Numeric Margin]]/2+50)/100,(-Table4[[#This Row],[Numeric Margin]]/2+50)/100))</f>
        <v>called</v>
      </c>
      <c r="N384" s="20" t="str">
        <f>IFERROR(IF(Table4[[#This Row],[D 2pv]]="called","called",Table4[[#This Row],[D 2pv]]*Table4[[#This Row],[Percent of votes in% In]]),Table4[[#This Row],[D 2pv]]*0.95)</f>
        <v>called</v>
      </c>
      <c r="O384" s="20" t="str">
        <f>IF(Table4[[#This Row],[D pct]]="called","called",(Table4[[#This Row],[D 2pv]]+$E$7))</f>
        <v>called</v>
      </c>
      <c r="P38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4" s="21" t="str">
        <f>IF(Table4[[#This Row],[D captured of remain]]="called","called",Table4[[#This Row],[D captured of remain]]+Table4[[#This Row],[D pct]])</f>
        <v>called</v>
      </c>
      <c r="R384" s="22" t="str">
        <f>IF(Table4[[#This Row],[Expected D]]=1,"D",IF(Table4[[#This Row],[Expected R]]=1,"R",IF(Table4[[#This Row],[D total]]&gt;=0.5,"D","R")))</f>
        <v>R</v>
      </c>
      <c r="S384" s="22"/>
      <c r="V384" s="4"/>
    </row>
    <row r="385" spans="2:23" x14ac:dyDescent="0.35">
      <c r="B385" s="27">
        <v>376</v>
      </c>
      <c r="C385" s="2" t="s">
        <v>442</v>
      </c>
      <c r="D385" s="2" t="s">
        <v>320</v>
      </c>
      <c r="E385" s="4">
        <v>0</v>
      </c>
      <c r="F385" s="2" t="s">
        <v>577</v>
      </c>
      <c r="G385" s="4" t="s">
        <v>502</v>
      </c>
      <c r="H38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5" s="2" t="str">
        <f>IF(OR(LEFT(Table4[[#This Row],[win_prob]],1)="D",LEFT(Table4[[#This Row],[win_prob]],1)="R"),LEFT(Table4[[#This Row],[win_prob]],1),LEFT(Table4[[#This Row],[Category]],1))</f>
        <v>R</v>
      </c>
      <c r="J38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5" s="16" t="e">
        <f>RIGHT(Table4[[#This Row],[Margin]],LEN(Table4[[#This Row],[Margin]])-FIND("+",Table4[[#This Row],[Margin]]))</f>
        <v>#VALUE!</v>
      </c>
      <c r="M385" s="20" t="str">
        <f>IF(Table4[[#This Row],[listedprob]]=1,"called",IF(LEFT(Table4[[#This Row],[Margin]],1)="D",(Table4[[#This Row],[Numeric Margin]]/2+50)/100,(-Table4[[#This Row],[Numeric Margin]]/2+50)/100))</f>
        <v>called</v>
      </c>
      <c r="N385" s="20" t="str">
        <f>IFERROR(IF(Table4[[#This Row],[D 2pv]]="called","called",Table4[[#This Row],[D 2pv]]*Table4[[#This Row],[Percent of votes in% In]]),Table4[[#This Row],[D 2pv]]*0.95)</f>
        <v>called</v>
      </c>
      <c r="O385" s="20" t="str">
        <f>IF(Table4[[#This Row],[D pct]]="called","called",(Table4[[#This Row],[D 2pv]]+$E$7))</f>
        <v>called</v>
      </c>
      <c r="P38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5" s="21" t="str">
        <f>IF(Table4[[#This Row],[D captured of remain]]="called","called",Table4[[#This Row],[D captured of remain]]+Table4[[#This Row],[D pct]])</f>
        <v>called</v>
      </c>
      <c r="R385" s="22" t="str">
        <f>IF(Table4[[#This Row],[Expected D]]=1,"D",IF(Table4[[#This Row],[Expected R]]=1,"R",IF(Table4[[#This Row],[D total]]&gt;=0.5,"D","R")))</f>
        <v>R</v>
      </c>
      <c r="S385" s="22"/>
      <c r="V385" s="4"/>
    </row>
    <row r="386" spans="2:23" x14ac:dyDescent="0.35">
      <c r="B386" s="27">
        <v>377</v>
      </c>
      <c r="C386" s="2" t="s">
        <v>443</v>
      </c>
      <c r="D386" s="2" t="s">
        <v>320</v>
      </c>
      <c r="E386" s="4">
        <v>0</v>
      </c>
      <c r="F386" s="2" t="s">
        <v>577</v>
      </c>
      <c r="G386" s="4" t="s">
        <v>502</v>
      </c>
      <c r="H38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6" s="2" t="str">
        <f>IF(OR(LEFT(Table4[[#This Row],[win_prob]],1)="D",LEFT(Table4[[#This Row],[win_prob]],1)="R"),LEFT(Table4[[#This Row],[win_prob]],1),LEFT(Table4[[#This Row],[Category]],1))</f>
        <v>R</v>
      </c>
      <c r="J38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6" s="16" t="e">
        <f>RIGHT(Table4[[#This Row],[Margin]],LEN(Table4[[#This Row],[Margin]])-FIND("+",Table4[[#This Row],[Margin]]))</f>
        <v>#VALUE!</v>
      </c>
      <c r="M386" s="20" t="str">
        <f>IF(Table4[[#This Row],[listedprob]]=1,"called",IF(LEFT(Table4[[#This Row],[Margin]],1)="D",(Table4[[#This Row],[Numeric Margin]]/2+50)/100,(-Table4[[#This Row],[Numeric Margin]]/2+50)/100))</f>
        <v>called</v>
      </c>
      <c r="N386" s="20" t="str">
        <f>IFERROR(IF(Table4[[#This Row],[D 2pv]]="called","called",Table4[[#This Row],[D 2pv]]*Table4[[#This Row],[Percent of votes in% In]]),Table4[[#This Row],[D 2pv]]*0.95)</f>
        <v>called</v>
      </c>
      <c r="O386" s="20" t="str">
        <f>IF(Table4[[#This Row],[D pct]]="called","called",(Table4[[#This Row],[D 2pv]]+$E$7))</f>
        <v>called</v>
      </c>
      <c r="P38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6" s="21" t="str">
        <f>IF(Table4[[#This Row],[D captured of remain]]="called","called",Table4[[#This Row],[D captured of remain]]+Table4[[#This Row],[D pct]])</f>
        <v>called</v>
      </c>
      <c r="R386" s="22" t="str">
        <f>IF(Table4[[#This Row],[Expected D]]=1,"D",IF(Table4[[#This Row],[Expected R]]=1,"R",IF(Table4[[#This Row],[D total]]&gt;=0.5,"D","R")))</f>
        <v>R</v>
      </c>
      <c r="S386" s="22"/>
      <c r="V386" s="4"/>
      <c r="W386" s="4"/>
    </row>
    <row r="387" spans="2:23" x14ac:dyDescent="0.35">
      <c r="B387" s="27">
        <v>378</v>
      </c>
      <c r="C387" s="2" t="s">
        <v>444</v>
      </c>
      <c r="D387" s="2" t="s">
        <v>284</v>
      </c>
      <c r="E387" s="4" t="s">
        <v>28</v>
      </c>
      <c r="F387" s="2" t="s">
        <v>572</v>
      </c>
      <c r="G387" s="4" t="s">
        <v>502</v>
      </c>
      <c r="H38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7" s="2" t="str">
        <f>IF(OR(LEFT(Table4[[#This Row],[win_prob]],1)="D",LEFT(Table4[[#This Row],[win_prob]],1)="R"),LEFT(Table4[[#This Row],[win_prob]],1),LEFT(Table4[[#This Row],[Category]],1))</f>
        <v>R</v>
      </c>
      <c r="J38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7" s="16" t="str">
        <f>RIGHT(Table4[[#This Row],[Margin]],LEN(Table4[[#This Row],[Margin]])-FIND("+",Table4[[#This Row],[Margin]]))</f>
        <v>40</v>
      </c>
      <c r="M387" s="20" t="str">
        <f>IF(Table4[[#This Row],[listedprob]]=1,"called",IF(LEFT(Table4[[#This Row],[Margin]],1)="D",(Table4[[#This Row],[Numeric Margin]]/2+50)/100,(-Table4[[#This Row],[Numeric Margin]]/2+50)/100))</f>
        <v>called</v>
      </c>
      <c r="N387" s="20" t="str">
        <f>IFERROR(IF(Table4[[#This Row],[D 2pv]]="called","called",Table4[[#This Row],[D 2pv]]*Table4[[#This Row],[Percent of votes in% In]]),Table4[[#This Row],[D 2pv]]*0.95)</f>
        <v>called</v>
      </c>
      <c r="O387" s="20" t="str">
        <f>IF(Table4[[#This Row],[D pct]]="called","called",(Table4[[#This Row],[D 2pv]]+$E$7))</f>
        <v>called</v>
      </c>
      <c r="P38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7" s="21" t="str">
        <f>IF(Table4[[#This Row],[D captured of remain]]="called","called",Table4[[#This Row],[D captured of remain]]+Table4[[#This Row],[D pct]])</f>
        <v>called</v>
      </c>
      <c r="R387" s="22" t="str">
        <f>IF(Table4[[#This Row],[Expected D]]=1,"D",IF(Table4[[#This Row],[Expected R]]=1,"R",IF(Table4[[#This Row],[D total]]&gt;=0.5,"D","R")))</f>
        <v>R</v>
      </c>
      <c r="S387" s="22"/>
      <c r="V387" s="4"/>
      <c r="W387" s="4"/>
    </row>
    <row r="388" spans="2:23" x14ac:dyDescent="0.35">
      <c r="B388" s="27">
        <v>379</v>
      </c>
      <c r="C388" s="2" t="s">
        <v>445</v>
      </c>
      <c r="D388" s="2" t="s">
        <v>284</v>
      </c>
      <c r="E388" s="4" t="s">
        <v>28</v>
      </c>
      <c r="F388" s="2" t="s">
        <v>582</v>
      </c>
      <c r="G388" s="4" t="s">
        <v>502</v>
      </c>
      <c r="H38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8" s="2" t="str">
        <f>IF(OR(LEFT(Table4[[#This Row],[win_prob]],1)="D",LEFT(Table4[[#This Row],[win_prob]],1)="R"),LEFT(Table4[[#This Row],[win_prob]],1),LEFT(Table4[[#This Row],[Category]],1))</f>
        <v>R</v>
      </c>
      <c r="J38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8" s="16" t="str">
        <f>RIGHT(Table4[[#This Row],[Margin]],LEN(Table4[[#This Row],[Margin]])-FIND("+",Table4[[#This Row],[Margin]]))</f>
        <v>19</v>
      </c>
      <c r="M388" s="20" t="str">
        <f>IF(Table4[[#This Row],[listedprob]]=1,"called",IF(LEFT(Table4[[#This Row],[Margin]],1)="D",(Table4[[#This Row],[Numeric Margin]]/2+50)/100,(-Table4[[#This Row],[Numeric Margin]]/2+50)/100))</f>
        <v>called</v>
      </c>
      <c r="N388" s="20" t="str">
        <f>IFERROR(IF(Table4[[#This Row],[D 2pv]]="called","called",Table4[[#This Row],[D 2pv]]*Table4[[#This Row],[Percent of votes in% In]]),Table4[[#This Row],[D 2pv]]*0.95)</f>
        <v>called</v>
      </c>
      <c r="O388" s="20" t="str">
        <f>IF(Table4[[#This Row],[D pct]]="called","called",(Table4[[#This Row],[D 2pv]]+$E$7))</f>
        <v>called</v>
      </c>
      <c r="P38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8" s="21" t="str">
        <f>IF(Table4[[#This Row],[D captured of remain]]="called","called",Table4[[#This Row],[D captured of remain]]+Table4[[#This Row],[D pct]])</f>
        <v>called</v>
      </c>
      <c r="R388" s="22" t="str">
        <f>IF(Table4[[#This Row],[Expected D]]=1,"D",IF(Table4[[#This Row],[Expected R]]=1,"R",IF(Table4[[#This Row],[D total]]&gt;=0.5,"D","R")))</f>
        <v>R</v>
      </c>
      <c r="S388" s="22"/>
      <c r="V388" s="4"/>
      <c r="W388" s="4"/>
    </row>
    <row r="389" spans="2:23" x14ac:dyDescent="0.35">
      <c r="B389" s="27">
        <v>380</v>
      </c>
      <c r="C389" s="2" t="s">
        <v>446</v>
      </c>
      <c r="D389" s="2" t="s">
        <v>284</v>
      </c>
      <c r="E389" s="4" t="s">
        <v>28</v>
      </c>
      <c r="F389" s="2" t="s">
        <v>569</v>
      </c>
      <c r="G389" s="4" t="s">
        <v>502</v>
      </c>
      <c r="H38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89" s="2" t="str">
        <f>IF(OR(LEFT(Table4[[#This Row],[win_prob]],1)="D",LEFT(Table4[[#This Row],[win_prob]],1)="R"),LEFT(Table4[[#This Row],[win_prob]],1),LEFT(Table4[[#This Row],[Category]],1))</f>
        <v>R</v>
      </c>
      <c r="J38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8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89" s="16" t="str">
        <f>RIGHT(Table4[[#This Row],[Margin]],LEN(Table4[[#This Row],[Margin]])-FIND("+",Table4[[#This Row],[Margin]]))</f>
        <v>14</v>
      </c>
      <c r="M389" s="20" t="str">
        <f>IF(Table4[[#This Row],[listedprob]]=1,"called",IF(LEFT(Table4[[#This Row],[Margin]],1)="D",(Table4[[#This Row],[Numeric Margin]]/2+50)/100,(-Table4[[#This Row],[Numeric Margin]]/2+50)/100))</f>
        <v>called</v>
      </c>
      <c r="N389" s="20" t="str">
        <f>IFERROR(IF(Table4[[#This Row],[D 2pv]]="called","called",Table4[[#This Row],[D 2pv]]*Table4[[#This Row],[Percent of votes in% In]]),Table4[[#This Row],[D 2pv]]*0.95)</f>
        <v>called</v>
      </c>
      <c r="O389" s="20" t="str">
        <f>IF(Table4[[#This Row],[D pct]]="called","called",(Table4[[#This Row],[D 2pv]]+$E$7))</f>
        <v>called</v>
      </c>
      <c r="P38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89" s="21" t="str">
        <f>IF(Table4[[#This Row],[D captured of remain]]="called","called",Table4[[#This Row],[D captured of remain]]+Table4[[#This Row],[D pct]])</f>
        <v>called</v>
      </c>
      <c r="R389" s="22" t="str">
        <f>IF(Table4[[#This Row],[Expected D]]=1,"D",IF(Table4[[#This Row],[Expected R]]=1,"R",IF(Table4[[#This Row],[D total]]&gt;=0.5,"D","R")))</f>
        <v>R</v>
      </c>
      <c r="S389" s="22"/>
    </row>
    <row r="390" spans="2:23" x14ac:dyDescent="0.35">
      <c r="B390" s="27">
        <v>381</v>
      </c>
      <c r="C390" s="2" t="s">
        <v>447</v>
      </c>
      <c r="D390" s="2" t="s">
        <v>284</v>
      </c>
      <c r="E390" s="2" t="s">
        <v>28</v>
      </c>
      <c r="F390" s="2" t="s">
        <v>583</v>
      </c>
      <c r="G390" s="4" t="s">
        <v>502</v>
      </c>
      <c r="H39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0" s="2" t="str">
        <f>IF(OR(LEFT(Table4[[#This Row],[win_prob]],1)="D",LEFT(Table4[[#This Row],[win_prob]],1)="R"),LEFT(Table4[[#This Row],[win_prob]],1),LEFT(Table4[[#This Row],[Category]],1))</f>
        <v>R</v>
      </c>
      <c r="J39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0" s="16" t="str">
        <f>RIGHT(Table4[[#This Row],[Margin]],LEN(Table4[[#This Row],[Margin]])-FIND("+",Table4[[#This Row],[Margin]]))</f>
        <v>20</v>
      </c>
      <c r="M390" s="20" t="str">
        <f>IF(Table4[[#This Row],[listedprob]]=1,"called",IF(LEFT(Table4[[#This Row],[Margin]],1)="D",(Table4[[#This Row],[Numeric Margin]]/2+50)/100,(-Table4[[#This Row],[Numeric Margin]]/2+50)/100))</f>
        <v>called</v>
      </c>
      <c r="N390" s="20" t="str">
        <f>IFERROR(IF(Table4[[#This Row],[D 2pv]]="called","called",Table4[[#This Row],[D 2pv]]*Table4[[#This Row],[Percent of votes in% In]]),Table4[[#This Row],[D 2pv]]*0.95)</f>
        <v>called</v>
      </c>
      <c r="O390" s="20" t="str">
        <f>IF(Table4[[#This Row],[D pct]]="called","called",(Table4[[#This Row],[D 2pv]]+$E$7))</f>
        <v>called</v>
      </c>
      <c r="P39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0" s="21" t="str">
        <f>IF(Table4[[#This Row],[D captured of remain]]="called","called",Table4[[#This Row],[D captured of remain]]+Table4[[#This Row],[D pct]])</f>
        <v>called</v>
      </c>
      <c r="R390" s="22" t="str">
        <f>IF(Table4[[#This Row],[Expected D]]=1,"D",IF(Table4[[#This Row],[Expected R]]=1,"R",IF(Table4[[#This Row],[D total]]&gt;=0.5,"D","R")))</f>
        <v>R</v>
      </c>
      <c r="S390" s="22"/>
      <c r="V390" s="4"/>
    </row>
    <row r="391" spans="2:23" x14ac:dyDescent="0.35">
      <c r="B391" s="27">
        <v>382</v>
      </c>
      <c r="C391" s="2" t="s">
        <v>448</v>
      </c>
      <c r="D391" s="2" t="s">
        <v>320</v>
      </c>
      <c r="E391" s="4">
        <v>0</v>
      </c>
      <c r="F391" s="2" t="s">
        <v>577</v>
      </c>
      <c r="G391" s="4" t="s">
        <v>502</v>
      </c>
      <c r="H39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1" s="2" t="str">
        <f>IF(OR(LEFT(Table4[[#This Row],[win_prob]],1)="D",LEFT(Table4[[#This Row],[win_prob]],1)="R"),LEFT(Table4[[#This Row],[win_prob]],1),LEFT(Table4[[#This Row],[Category]],1))</f>
        <v>R</v>
      </c>
      <c r="J39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1" s="16" t="e">
        <f>RIGHT(Table4[[#This Row],[Margin]],LEN(Table4[[#This Row],[Margin]])-FIND("+",Table4[[#This Row],[Margin]]))</f>
        <v>#VALUE!</v>
      </c>
      <c r="M391" s="20" t="str">
        <f>IF(Table4[[#This Row],[listedprob]]=1,"called",IF(LEFT(Table4[[#This Row],[Margin]],1)="D",(Table4[[#This Row],[Numeric Margin]]/2+50)/100,(-Table4[[#This Row],[Numeric Margin]]/2+50)/100))</f>
        <v>called</v>
      </c>
      <c r="N391" s="20" t="str">
        <f>IFERROR(IF(Table4[[#This Row],[D 2pv]]="called","called",Table4[[#This Row],[D 2pv]]*Table4[[#This Row],[Percent of votes in% In]]),Table4[[#This Row],[D 2pv]]*0.95)</f>
        <v>called</v>
      </c>
      <c r="O391" s="20" t="str">
        <f>IF(Table4[[#This Row],[D pct]]="called","called",(Table4[[#This Row],[D 2pv]]+$E$7))</f>
        <v>called</v>
      </c>
      <c r="P39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1" s="21" t="str">
        <f>IF(Table4[[#This Row],[D captured of remain]]="called","called",Table4[[#This Row],[D captured of remain]]+Table4[[#This Row],[D pct]])</f>
        <v>called</v>
      </c>
      <c r="R391" s="22" t="str">
        <f>IF(Table4[[#This Row],[Expected D]]=1,"D",IF(Table4[[#This Row],[Expected R]]=1,"R",IF(Table4[[#This Row],[D total]]&gt;=0.5,"D","R")))</f>
        <v>R</v>
      </c>
      <c r="S391" s="22"/>
      <c r="V391" s="4"/>
    </row>
    <row r="392" spans="2:23" x14ac:dyDescent="0.35">
      <c r="B392" s="27">
        <v>383</v>
      </c>
      <c r="C392" s="2" t="s">
        <v>449</v>
      </c>
      <c r="D392" s="2" t="s">
        <v>320</v>
      </c>
      <c r="E392" s="4">
        <v>0</v>
      </c>
      <c r="F392" s="2" t="s">
        <v>577</v>
      </c>
      <c r="G392" s="4" t="s">
        <v>502</v>
      </c>
      <c r="H39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2" s="2" t="str">
        <f>IF(OR(LEFT(Table4[[#This Row],[win_prob]],1)="D",LEFT(Table4[[#This Row],[win_prob]],1)="R"),LEFT(Table4[[#This Row],[win_prob]],1),LEFT(Table4[[#This Row],[Category]],1))</f>
        <v>R</v>
      </c>
      <c r="J39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2" s="16" t="e">
        <f>RIGHT(Table4[[#This Row],[Margin]],LEN(Table4[[#This Row],[Margin]])-FIND("+",Table4[[#This Row],[Margin]]))</f>
        <v>#VALUE!</v>
      </c>
      <c r="M392" s="20" t="str">
        <f>IF(Table4[[#This Row],[listedprob]]=1,"called",IF(LEFT(Table4[[#This Row],[Margin]],1)="D",(Table4[[#This Row],[Numeric Margin]]/2+50)/100,(-Table4[[#This Row],[Numeric Margin]]/2+50)/100))</f>
        <v>called</v>
      </c>
      <c r="N392" s="20" t="str">
        <f>IFERROR(IF(Table4[[#This Row],[D 2pv]]="called","called",Table4[[#This Row],[D 2pv]]*Table4[[#This Row],[Percent of votes in% In]]),Table4[[#This Row],[D 2pv]]*0.95)</f>
        <v>called</v>
      </c>
      <c r="O392" s="20" t="str">
        <f>IF(Table4[[#This Row],[D pct]]="called","called",(Table4[[#This Row],[D 2pv]]+$E$7))</f>
        <v>called</v>
      </c>
      <c r="P39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2" s="21" t="str">
        <f>IF(Table4[[#This Row],[D captured of remain]]="called","called",Table4[[#This Row],[D captured of remain]]+Table4[[#This Row],[D pct]])</f>
        <v>called</v>
      </c>
      <c r="R392" s="22" t="str">
        <f>IF(Table4[[#This Row],[Expected D]]=1,"D",IF(Table4[[#This Row],[Expected R]]=1,"R",IF(Table4[[#This Row],[D total]]&gt;=0.5,"D","R")))</f>
        <v>R</v>
      </c>
      <c r="S392" s="22"/>
      <c r="W392" s="4"/>
    </row>
    <row r="393" spans="2:23" x14ac:dyDescent="0.35">
      <c r="B393" s="27">
        <v>384</v>
      </c>
      <c r="C393" s="2" t="s">
        <v>450</v>
      </c>
      <c r="D393" s="2" t="s">
        <v>284</v>
      </c>
      <c r="E393" s="2" t="s">
        <v>28</v>
      </c>
      <c r="F393" s="2" t="s">
        <v>590</v>
      </c>
      <c r="G393" s="4" t="s">
        <v>502</v>
      </c>
      <c r="H39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3" s="2" t="str">
        <f>IF(OR(LEFT(Table4[[#This Row],[win_prob]],1)="D",LEFT(Table4[[#This Row],[win_prob]],1)="R"),LEFT(Table4[[#This Row],[win_prob]],1),LEFT(Table4[[#This Row],[Category]],1))</f>
        <v>R</v>
      </c>
      <c r="J39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3" s="16" t="str">
        <f>RIGHT(Table4[[#This Row],[Margin]],LEN(Table4[[#This Row],[Margin]])-FIND("+",Table4[[#This Row],[Margin]]))</f>
        <v>30</v>
      </c>
      <c r="M393" s="20" t="str">
        <f>IF(Table4[[#This Row],[listedprob]]=1,"called",IF(LEFT(Table4[[#This Row],[Margin]],1)="D",(Table4[[#This Row],[Numeric Margin]]/2+50)/100,(-Table4[[#This Row],[Numeric Margin]]/2+50)/100))</f>
        <v>called</v>
      </c>
      <c r="N393" s="20" t="str">
        <f>IFERROR(IF(Table4[[#This Row],[D 2pv]]="called","called",Table4[[#This Row],[D 2pv]]*Table4[[#This Row],[Percent of votes in% In]]),Table4[[#This Row],[D 2pv]]*0.95)</f>
        <v>called</v>
      </c>
      <c r="O393" s="20" t="str">
        <f>IF(Table4[[#This Row],[D pct]]="called","called",(Table4[[#This Row],[D 2pv]]+$E$7))</f>
        <v>called</v>
      </c>
      <c r="P39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3" s="21" t="str">
        <f>IF(Table4[[#This Row],[D captured of remain]]="called","called",Table4[[#This Row],[D captured of remain]]+Table4[[#This Row],[D pct]])</f>
        <v>called</v>
      </c>
      <c r="R393" s="22" t="str">
        <f>IF(Table4[[#This Row],[Expected D]]=1,"D",IF(Table4[[#This Row],[Expected R]]=1,"R",IF(Table4[[#This Row],[D total]]&gt;=0.5,"D","R")))</f>
        <v>R</v>
      </c>
      <c r="S393" s="22"/>
      <c r="W393" s="4"/>
    </row>
    <row r="394" spans="2:23" x14ac:dyDescent="0.35">
      <c r="B394" s="27">
        <v>385</v>
      </c>
      <c r="C394" s="2" t="s">
        <v>451</v>
      </c>
      <c r="D394" s="2" t="s">
        <v>284</v>
      </c>
      <c r="E394" s="2" t="s">
        <v>28</v>
      </c>
      <c r="F394" s="2" t="s">
        <v>590</v>
      </c>
      <c r="G394" s="4" t="s">
        <v>502</v>
      </c>
      <c r="H39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4" s="2" t="str">
        <f>IF(OR(LEFT(Table4[[#This Row],[win_prob]],1)="D",LEFT(Table4[[#This Row],[win_prob]],1)="R"),LEFT(Table4[[#This Row],[win_prob]],1),LEFT(Table4[[#This Row],[Category]],1))</f>
        <v>R</v>
      </c>
      <c r="J39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4" s="16" t="str">
        <f>RIGHT(Table4[[#This Row],[Margin]],LEN(Table4[[#This Row],[Margin]])-FIND("+",Table4[[#This Row],[Margin]]))</f>
        <v>30</v>
      </c>
      <c r="M394" s="20" t="str">
        <f>IF(Table4[[#This Row],[listedprob]]=1,"called",IF(LEFT(Table4[[#This Row],[Margin]],1)="D",(Table4[[#This Row],[Numeric Margin]]/2+50)/100,(-Table4[[#This Row],[Numeric Margin]]/2+50)/100))</f>
        <v>called</v>
      </c>
      <c r="N394" s="20" t="str">
        <f>IFERROR(IF(Table4[[#This Row],[D 2pv]]="called","called",Table4[[#This Row],[D 2pv]]*Table4[[#This Row],[Percent of votes in% In]]),Table4[[#This Row],[D 2pv]]*0.95)</f>
        <v>called</v>
      </c>
      <c r="O394" s="20" t="str">
        <f>IF(Table4[[#This Row],[D pct]]="called","called",(Table4[[#This Row],[D 2pv]]+$E$7))</f>
        <v>called</v>
      </c>
      <c r="P39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4" s="21" t="str">
        <f>IF(Table4[[#This Row],[D captured of remain]]="called","called",Table4[[#This Row],[D captured of remain]]+Table4[[#This Row],[D pct]])</f>
        <v>called</v>
      </c>
      <c r="R394" s="22" t="str">
        <f>IF(Table4[[#This Row],[Expected D]]=1,"D",IF(Table4[[#This Row],[Expected R]]=1,"R",IF(Table4[[#This Row],[D total]]&gt;=0.5,"D","R")))</f>
        <v>R</v>
      </c>
      <c r="S394" s="22"/>
      <c r="W394" s="4"/>
    </row>
    <row r="395" spans="2:23" x14ac:dyDescent="0.35">
      <c r="B395" s="27">
        <v>386</v>
      </c>
      <c r="C395" s="2" t="s">
        <v>452</v>
      </c>
      <c r="D395" s="2" t="s">
        <v>284</v>
      </c>
      <c r="E395" s="2" t="s">
        <v>28</v>
      </c>
      <c r="F395" s="2" t="s">
        <v>613</v>
      </c>
      <c r="G395" s="4" t="s">
        <v>502</v>
      </c>
      <c r="H39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5" s="2" t="str">
        <f>IF(OR(LEFT(Table4[[#This Row],[win_prob]],1)="D",LEFT(Table4[[#This Row],[win_prob]],1)="R"),LEFT(Table4[[#This Row],[win_prob]],1),LEFT(Table4[[#This Row],[Category]],1))</f>
        <v>R</v>
      </c>
      <c r="J39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5" s="16" t="str">
        <f>RIGHT(Table4[[#This Row],[Margin]],LEN(Table4[[#This Row],[Margin]])-FIND("+",Table4[[#This Row],[Margin]]))</f>
        <v>55</v>
      </c>
      <c r="M395" s="20" t="str">
        <f>IF(Table4[[#This Row],[listedprob]]=1,"called",IF(LEFT(Table4[[#This Row],[Margin]],1)="D",(Table4[[#This Row],[Numeric Margin]]/2+50)/100,(-Table4[[#This Row],[Numeric Margin]]/2+50)/100))</f>
        <v>called</v>
      </c>
      <c r="N395" s="20" t="str">
        <f>IFERROR(IF(Table4[[#This Row],[D 2pv]]="called","called",Table4[[#This Row],[D 2pv]]*Table4[[#This Row],[Percent of votes in% In]]),Table4[[#This Row],[D 2pv]]*0.95)</f>
        <v>called</v>
      </c>
      <c r="O395" s="20" t="str">
        <f>IF(Table4[[#This Row],[D pct]]="called","called",(Table4[[#This Row],[D 2pv]]+$E$7))</f>
        <v>called</v>
      </c>
      <c r="P39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5" s="21" t="str">
        <f>IF(Table4[[#This Row],[D captured of remain]]="called","called",Table4[[#This Row],[D captured of remain]]+Table4[[#This Row],[D pct]])</f>
        <v>called</v>
      </c>
      <c r="R395" s="22" t="str">
        <f>IF(Table4[[#This Row],[Expected D]]=1,"D",IF(Table4[[#This Row],[Expected R]]=1,"R",IF(Table4[[#This Row],[D total]]&gt;=0.5,"D","R")))</f>
        <v>R</v>
      </c>
      <c r="S395" s="22"/>
      <c r="V395" s="4"/>
    </row>
    <row r="396" spans="2:23" x14ac:dyDescent="0.35">
      <c r="B396" s="27">
        <v>387</v>
      </c>
      <c r="C396" s="2" t="s">
        <v>453</v>
      </c>
      <c r="D396" s="2" t="s">
        <v>284</v>
      </c>
      <c r="E396" s="4" t="s">
        <v>28</v>
      </c>
      <c r="F396" s="2" t="s">
        <v>614</v>
      </c>
      <c r="G396" s="4" t="s">
        <v>502</v>
      </c>
      <c r="H39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6" s="2" t="str">
        <f>IF(OR(LEFT(Table4[[#This Row],[win_prob]],1)="D",LEFT(Table4[[#This Row],[win_prob]],1)="R"),LEFT(Table4[[#This Row],[win_prob]],1),LEFT(Table4[[#This Row],[Category]],1))</f>
        <v>R</v>
      </c>
      <c r="J39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6" s="16" t="str">
        <f>RIGHT(Table4[[#This Row],[Margin]],LEN(Table4[[#This Row],[Margin]])-FIND("+",Table4[[#This Row],[Margin]]))</f>
        <v>59</v>
      </c>
      <c r="M396" s="20" t="str">
        <f>IF(Table4[[#This Row],[listedprob]]=1,"called",IF(LEFT(Table4[[#This Row],[Margin]],1)="D",(Table4[[#This Row],[Numeric Margin]]/2+50)/100,(-Table4[[#This Row],[Numeric Margin]]/2+50)/100))</f>
        <v>called</v>
      </c>
      <c r="N396" s="20" t="str">
        <f>IFERROR(IF(Table4[[#This Row],[D 2pv]]="called","called",Table4[[#This Row],[D 2pv]]*Table4[[#This Row],[Percent of votes in% In]]),Table4[[#This Row],[D 2pv]]*0.95)</f>
        <v>called</v>
      </c>
      <c r="O396" s="20" t="str">
        <f>IF(Table4[[#This Row],[D pct]]="called","called",(Table4[[#This Row],[D 2pv]]+$E$7))</f>
        <v>called</v>
      </c>
      <c r="P39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6" s="21" t="str">
        <f>IF(Table4[[#This Row],[D captured of remain]]="called","called",Table4[[#This Row],[D captured of remain]]+Table4[[#This Row],[D pct]])</f>
        <v>called</v>
      </c>
      <c r="R396" s="22" t="str">
        <f>IF(Table4[[#This Row],[Expected D]]=1,"D",IF(Table4[[#This Row],[Expected R]]=1,"R",IF(Table4[[#This Row],[D total]]&gt;=0.5,"D","R")))</f>
        <v>R</v>
      </c>
      <c r="S396" s="22"/>
    </row>
    <row r="397" spans="2:23" x14ac:dyDescent="0.35">
      <c r="B397" s="27">
        <v>388</v>
      </c>
      <c r="C397" s="2" t="s">
        <v>454</v>
      </c>
      <c r="D397" s="2" t="s">
        <v>284</v>
      </c>
      <c r="E397" s="2" t="s">
        <v>28</v>
      </c>
      <c r="F397" s="2" t="s">
        <v>586</v>
      </c>
      <c r="G397" s="4" t="s">
        <v>502</v>
      </c>
      <c r="H39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7" s="2" t="str">
        <f>IF(OR(LEFT(Table4[[#This Row],[win_prob]],1)="D",LEFT(Table4[[#This Row],[win_prob]],1)="R"),LEFT(Table4[[#This Row],[win_prob]],1),LEFT(Table4[[#This Row],[Category]],1))</f>
        <v>R</v>
      </c>
      <c r="J39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7" s="16" t="str">
        <f>RIGHT(Table4[[#This Row],[Margin]],LEN(Table4[[#This Row],[Margin]])-FIND("+",Table4[[#This Row],[Margin]]))</f>
        <v>36</v>
      </c>
      <c r="M397" s="20" t="str">
        <f>IF(Table4[[#This Row],[listedprob]]=1,"called",IF(LEFT(Table4[[#This Row],[Margin]],1)="D",(Table4[[#This Row],[Numeric Margin]]/2+50)/100,(-Table4[[#This Row],[Numeric Margin]]/2+50)/100))</f>
        <v>called</v>
      </c>
      <c r="N397" s="20" t="str">
        <f>IFERROR(IF(Table4[[#This Row],[D 2pv]]="called","called",Table4[[#This Row],[D 2pv]]*Table4[[#This Row],[Percent of votes in% In]]),Table4[[#This Row],[D 2pv]]*0.95)</f>
        <v>called</v>
      </c>
      <c r="O397" s="20" t="str">
        <f>IF(Table4[[#This Row],[D pct]]="called","called",(Table4[[#This Row],[D 2pv]]+$E$7))</f>
        <v>called</v>
      </c>
      <c r="P39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7" s="21" t="str">
        <f>IF(Table4[[#This Row],[D captured of remain]]="called","called",Table4[[#This Row],[D captured of remain]]+Table4[[#This Row],[D pct]])</f>
        <v>called</v>
      </c>
      <c r="R397" s="22" t="str">
        <f>IF(Table4[[#This Row],[Expected D]]=1,"D",IF(Table4[[#This Row],[Expected R]]=1,"R",IF(Table4[[#This Row],[D total]]&gt;=0.5,"D","R")))</f>
        <v>R</v>
      </c>
      <c r="S397" s="22"/>
      <c r="V397" s="4"/>
    </row>
    <row r="398" spans="2:23" x14ac:dyDescent="0.35">
      <c r="B398" s="27">
        <v>389</v>
      </c>
      <c r="C398" s="2" t="s">
        <v>455</v>
      </c>
      <c r="D398" s="2" t="s">
        <v>284</v>
      </c>
      <c r="E398" s="4" t="s">
        <v>28</v>
      </c>
      <c r="F398" s="2" t="s">
        <v>575</v>
      </c>
      <c r="G398" s="4" t="s">
        <v>502</v>
      </c>
      <c r="H39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8" s="2" t="str">
        <f>IF(OR(LEFT(Table4[[#This Row],[win_prob]],1)="D",LEFT(Table4[[#This Row],[win_prob]],1)="R"),LEFT(Table4[[#This Row],[win_prob]],1),LEFT(Table4[[#This Row],[Category]],1))</f>
        <v>R</v>
      </c>
      <c r="J39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8" s="16" t="str">
        <f>RIGHT(Table4[[#This Row],[Margin]],LEN(Table4[[#This Row],[Margin]])-FIND("+",Table4[[#This Row],[Margin]]))</f>
        <v>38</v>
      </c>
      <c r="M398" s="20" t="str">
        <f>IF(Table4[[#This Row],[listedprob]]=1,"called",IF(LEFT(Table4[[#This Row],[Margin]],1)="D",(Table4[[#This Row],[Numeric Margin]]/2+50)/100,(-Table4[[#This Row],[Numeric Margin]]/2+50)/100))</f>
        <v>called</v>
      </c>
      <c r="N398" s="20" t="str">
        <f>IFERROR(IF(Table4[[#This Row],[D 2pv]]="called","called",Table4[[#This Row],[D 2pv]]*Table4[[#This Row],[Percent of votes in% In]]),Table4[[#This Row],[D 2pv]]*0.95)</f>
        <v>called</v>
      </c>
      <c r="O398" s="20" t="str">
        <f>IF(Table4[[#This Row],[D pct]]="called","called",(Table4[[#This Row],[D 2pv]]+$E$7))</f>
        <v>called</v>
      </c>
      <c r="P39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8" s="21" t="str">
        <f>IF(Table4[[#This Row],[D captured of remain]]="called","called",Table4[[#This Row],[D captured of remain]]+Table4[[#This Row],[D pct]])</f>
        <v>called</v>
      </c>
      <c r="R398" s="22" t="str">
        <f>IF(Table4[[#This Row],[Expected D]]=1,"D",IF(Table4[[#This Row],[Expected R]]=1,"R",IF(Table4[[#This Row],[D total]]&gt;=0.5,"D","R")))</f>
        <v>R</v>
      </c>
      <c r="S398" s="22"/>
      <c r="V398" s="4"/>
    </row>
    <row r="399" spans="2:23" x14ac:dyDescent="0.35">
      <c r="B399" s="27">
        <v>390</v>
      </c>
      <c r="C399" s="2" t="s">
        <v>456</v>
      </c>
      <c r="D399" s="2" t="s">
        <v>284</v>
      </c>
      <c r="E399" s="4" t="s">
        <v>28</v>
      </c>
      <c r="F399" s="2" t="s">
        <v>581</v>
      </c>
      <c r="G399" s="4" t="s">
        <v>502</v>
      </c>
      <c r="H39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399" s="2" t="str">
        <f>IF(OR(LEFT(Table4[[#This Row],[win_prob]],1)="D",LEFT(Table4[[#This Row],[win_prob]],1)="R"),LEFT(Table4[[#This Row],[win_prob]],1),LEFT(Table4[[#This Row],[Category]],1))</f>
        <v>R</v>
      </c>
      <c r="J39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39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399" s="16" t="str">
        <f>RIGHT(Table4[[#This Row],[Margin]],LEN(Table4[[#This Row],[Margin]])-FIND("+",Table4[[#This Row],[Margin]]))</f>
        <v>45</v>
      </c>
      <c r="M399" s="20" t="str">
        <f>IF(Table4[[#This Row],[listedprob]]=1,"called",IF(LEFT(Table4[[#This Row],[Margin]],1)="D",(Table4[[#This Row],[Numeric Margin]]/2+50)/100,(-Table4[[#This Row],[Numeric Margin]]/2+50)/100))</f>
        <v>called</v>
      </c>
      <c r="N399" s="20" t="str">
        <f>IFERROR(IF(Table4[[#This Row],[D 2pv]]="called","called",Table4[[#This Row],[D 2pv]]*Table4[[#This Row],[Percent of votes in% In]]),Table4[[#This Row],[D 2pv]]*0.95)</f>
        <v>called</v>
      </c>
      <c r="O399" s="20" t="str">
        <f>IF(Table4[[#This Row],[D pct]]="called","called",(Table4[[#This Row],[D 2pv]]+$E$7))</f>
        <v>called</v>
      </c>
      <c r="P39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399" s="21" t="str">
        <f>IF(Table4[[#This Row],[D captured of remain]]="called","called",Table4[[#This Row],[D captured of remain]]+Table4[[#This Row],[D pct]])</f>
        <v>called</v>
      </c>
      <c r="R399" s="22" t="str">
        <f>IF(Table4[[#This Row],[Expected D]]=1,"D",IF(Table4[[#This Row],[Expected R]]=1,"R",IF(Table4[[#This Row],[D total]]&gt;=0.5,"D","R")))</f>
        <v>R</v>
      </c>
      <c r="S399" s="22"/>
      <c r="V399" s="4"/>
    </row>
    <row r="400" spans="2:23" x14ac:dyDescent="0.35">
      <c r="B400" s="27">
        <v>391</v>
      </c>
      <c r="C400" s="2" t="s">
        <v>457</v>
      </c>
      <c r="D400" s="2" t="s">
        <v>284</v>
      </c>
      <c r="E400" s="4" t="s">
        <v>28</v>
      </c>
      <c r="F400" s="2" t="s">
        <v>599</v>
      </c>
      <c r="G400" s="4" t="s">
        <v>502</v>
      </c>
      <c r="H40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0" s="2" t="str">
        <f>IF(OR(LEFT(Table4[[#This Row],[win_prob]],1)="D",LEFT(Table4[[#This Row],[win_prob]],1)="R"),LEFT(Table4[[#This Row],[win_prob]],1),LEFT(Table4[[#This Row],[Category]],1))</f>
        <v>R</v>
      </c>
      <c r="J40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0" s="16" t="str">
        <f>RIGHT(Table4[[#This Row],[Margin]],LEN(Table4[[#This Row],[Margin]])-FIND("+",Table4[[#This Row],[Margin]]))</f>
        <v>33</v>
      </c>
      <c r="M400" s="20" t="str">
        <f>IF(Table4[[#This Row],[listedprob]]=1,"called",IF(LEFT(Table4[[#This Row],[Margin]],1)="D",(Table4[[#This Row],[Numeric Margin]]/2+50)/100,(-Table4[[#This Row],[Numeric Margin]]/2+50)/100))</f>
        <v>called</v>
      </c>
      <c r="N400" s="20" t="str">
        <f>IFERROR(IF(Table4[[#This Row],[D 2pv]]="called","called",Table4[[#This Row],[D 2pv]]*Table4[[#This Row],[Percent of votes in% In]]),Table4[[#This Row],[D 2pv]]*0.95)</f>
        <v>called</v>
      </c>
      <c r="O400" s="20" t="str">
        <f>IF(Table4[[#This Row],[D pct]]="called","called",(Table4[[#This Row],[D 2pv]]+$E$7))</f>
        <v>called</v>
      </c>
      <c r="P40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0" s="21" t="str">
        <f>IF(Table4[[#This Row],[D captured of remain]]="called","called",Table4[[#This Row],[D captured of remain]]+Table4[[#This Row],[D pct]])</f>
        <v>called</v>
      </c>
      <c r="R400" s="22" t="str">
        <f>IF(Table4[[#This Row],[Expected D]]=1,"D",IF(Table4[[#This Row],[Expected R]]=1,"R",IF(Table4[[#This Row],[D total]]&gt;=0.5,"D","R")))</f>
        <v>R</v>
      </c>
      <c r="S400" s="22"/>
      <c r="V400" s="4"/>
    </row>
    <row r="401" spans="2:23" x14ac:dyDescent="0.35">
      <c r="B401" s="27">
        <v>392</v>
      </c>
      <c r="C401" s="2" t="s">
        <v>458</v>
      </c>
      <c r="D401" s="2" t="s">
        <v>284</v>
      </c>
      <c r="E401" s="4" t="s">
        <v>28</v>
      </c>
      <c r="F401" s="2" t="s">
        <v>566</v>
      </c>
      <c r="G401" s="4" t="s">
        <v>502</v>
      </c>
      <c r="H40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1" s="2" t="str">
        <f>IF(OR(LEFT(Table4[[#This Row],[win_prob]],1)="D",LEFT(Table4[[#This Row],[win_prob]],1)="R"),LEFT(Table4[[#This Row],[win_prob]],1),LEFT(Table4[[#This Row],[Category]],1))</f>
        <v>R</v>
      </c>
      <c r="J40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1" s="16" t="str">
        <f>RIGHT(Table4[[#This Row],[Margin]],LEN(Table4[[#This Row],[Margin]])-FIND("+",Table4[[#This Row],[Margin]]))</f>
        <v>22</v>
      </c>
      <c r="M401" s="20" t="str">
        <f>IF(Table4[[#This Row],[listedprob]]=1,"called",IF(LEFT(Table4[[#This Row],[Margin]],1)="D",(Table4[[#This Row],[Numeric Margin]]/2+50)/100,(-Table4[[#This Row],[Numeric Margin]]/2+50)/100))</f>
        <v>called</v>
      </c>
      <c r="N401" s="20" t="str">
        <f>IFERROR(IF(Table4[[#This Row],[D 2pv]]="called","called",Table4[[#This Row],[D 2pv]]*Table4[[#This Row],[Percent of votes in% In]]),Table4[[#This Row],[D 2pv]]*0.95)</f>
        <v>called</v>
      </c>
      <c r="O401" s="20" t="str">
        <f>IF(Table4[[#This Row],[D pct]]="called","called",(Table4[[#This Row],[D 2pv]]+$E$7))</f>
        <v>called</v>
      </c>
      <c r="P40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1" s="21" t="str">
        <f>IF(Table4[[#This Row],[D captured of remain]]="called","called",Table4[[#This Row],[D captured of remain]]+Table4[[#This Row],[D pct]])</f>
        <v>called</v>
      </c>
      <c r="R401" s="22" t="str">
        <f>IF(Table4[[#This Row],[Expected D]]=1,"D",IF(Table4[[#This Row],[Expected R]]=1,"R",IF(Table4[[#This Row],[D total]]&gt;=0.5,"D","R")))</f>
        <v>R</v>
      </c>
      <c r="S401" s="22"/>
      <c r="V401" s="4"/>
    </row>
    <row r="402" spans="2:23" x14ac:dyDescent="0.35">
      <c r="B402" s="27">
        <v>393</v>
      </c>
      <c r="C402" s="2" t="s">
        <v>459</v>
      </c>
      <c r="D402" s="2" t="s">
        <v>284</v>
      </c>
      <c r="E402" s="4" t="s">
        <v>28</v>
      </c>
      <c r="F402" s="2" t="s">
        <v>578</v>
      </c>
      <c r="G402" s="4" t="s">
        <v>502</v>
      </c>
      <c r="H40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2" s="2" t="str">
        <f>IF(OR(LEFT(Table4[[#This Row],[win_prob]],1)="D",LEFT(Table4[[#This Row],[win_prob]],1)="R"),LEFT(Table4[[#This Row],[win_prob]],1),LEFT(Table4[[#This Row],[Category]],1))</f>
        <v>R</v>
      </c>
      <c r="J40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2" s="16" t="str">
        <f>RIGHT(Table4[[#This Row],[Margin]],LEN(Table4[[#This Row],[Margin]])-FIND("+",Table4[[#This Row],[Margin]]))</f>
        <v>49</v>
      </c>
      <c r="M402" s="20" t="str">
        <f>IF(Table4[[#This Row],[listedprob]]=1,"called",IF(LEFT(Table4[[#This Row],[Margin]],1)="D",(Table4[[#This Row],[Numeric Margin]]/2+50)/100,(-Table4[[#This Row],[Numeric Margin]]/2+50)/100))</f>
        <v>called</v>
      </c>
      <c r="N402" s="20" t="str">
        <f>IFERROR(IF(Table4[[#This Row],[D 2pv]]="called","called",Table4[[#This Row],[D 2pv]]*Table4[[#This Row],[Percent of votes in% In]]),Table4[[#This Row],[D 2pv]]*0.95)</f>
        <v>called</v>
      </c>
      <c r="O402" s="20" t="str">
        <f>IF(Table4[[#This Row],[D pct]]="called","called",(Table4[[#This Row],[D 2pv]]+$E$7))</f>
        <v>called</v>
      </c>
      <c r="P40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2" s="21" t="str">
        <f>IF(Table4[[#This Row],[D captured of remain]]="called","called",Table4[[#This Row],[D captured of remain]]+Table4[[#This Row],[D pct]])</f>
        <v>called</v>
      </c>
      <c r="R402" s="22" t="str">
        <f>IF(Table4[[#This Row],[Expected D]]=1,"D",IF(Table4[[#This Row],[Expected R]]=1,"R",IF(Table4[[#This Row],[D total]]&gt;=0.5,"D","R")))</f>
        <v>R</v>
      </c>
      <c r="S402" s="22"/>
      <c r="V402" s="4"/>
    </row>
    <row r="403" spans="2:23" x14ac:dyDescent="0.35">
      <c r="B403" s="27">
        <v>394</v>
      </c>
      <c r="C403" s="2" t="s">
        <v>460</v>
      </c>
      <c r="D403" s="2" t="s">
        <v>284</v>
      </c>
      <c r="E403" s="4" t="s">
        <v>28</v>
      </c>
      <c r="F403" s="2" t="s">
        <v>615</v>
      </c>
      <c r="G403" s="4" t="s">
        <v>502</v>
      </c>
      <c r="H40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3" s="2" t="str">
        <f>IF(OR(LEFT(Table4[[#This Row],[win_prob]],1)="D",LEFT(Table4[[#This Row],[win_prob]],1)="R"),LEFT(Table4[[#This Row],[win_prob]],1),LEFT(Table4[[#This Row],[Category]],1))</f>
        <v>R</v>
      </c>
      <c r="J40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3" s="16" t="str">
        <f>RIGHT(Table4[[#This Row],[Margin]],LEN(Table4[[#This Row],[Margin]])-FIND("+",Table4[[#This Row],[Margin]]))</f>
        <v>56</v>
      </c>
      <c r="M403" s="20" t="str">
        <f>IF(Table4[[#This Row],[listedprob]]=1,"called",IF(LEFT(Table4[[#This Row],[Margin]],1)="D",(Table4[[#This Row],[Numeric Margin]]/2+50)/100,(-Table4[[#This Row],[Numeric Margin]]/2+50)/100))</f>
        <v>called</v>
      </c>
      <c r="N403" s="20" t="str">
        <f>IFERROR(IF(Table4[[#This Row],[D 2pv]]="called","called",Table4[[#This Row],[D 2pv]]*Table4[[#This Row],[Percent of votes in% In]]),Table4[[#This Row],[D 2pv]]*0.95)</f>
        <v>called</v>
      </c>
      <c r="O403" s="20" t="str">
        <f>IF(Table4[[#This Row],[D pct]]="called","called",(Table4[[#This Row],[D 2pv]]+$E$7))</f>
        <v>called</v>
      </c>
      <c r="P40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3" s="21" t="str">
        <f>IF(Table4[[#This Row],[D captured of remain]]="called","called",Table4[[#This Row],[D captured of remain]]+Table4[[#This Row],[D pct]])</f>
        <v>called</v>
      </c>
      <c r="R403" s="22" t="str">
        <f>IF(Table4[[#This Row],[Expected D]]=1,"D",IF(Table4[[#This Row],[Expected R]]=1,"R",IF(Table4[[#This Row],[D total]]&gt;=0.5,"D","R")))</f>
        <v>R</v>
      </c>
      <c r="S403" s="22"/>
      <c r="V403" s="4"/>
    </row>
    <row r="404" spans="2:23" x14ac:dyDescent="0.35">
      <c r="B404" s="27">
        <v>395</v>
      </c>
      <c r="C404" s="2" t="s">
        <v>461</v>
      </c>
      <c r="D404" s="2" t="s">
        <v>284</v>
      </c>
      <c r="E404" s="4" t="s">
        <v>28</v>
      </c>
      <c r="F404" s="2" t="s">
        <v>597</v>
      </c>
      <c r="G404" s="4" t="s">
        <v>502</v>
      </c>
      <c r="H40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4" s="2" t="str">
        <f>IF(OR(LEFT(Table4[[#This Row],[win_prob]],1)="D",LEFT(Table4[[#This Row],[win_prob]],1)="R"),LEFT(Table4[[#This Row],[win_prob]],1),LEFT(Table4[[#This Row],[Category]],1))</f>
        <v>R</v>
      </c>
      <c r="J40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4" s="16" t="str">
        <f>RIGHT(Table4[[#This Row],[Margin]],LEN(Table4[[#This Row],[Margin]])-FIND("+",Table4[[#This Row],[Margin]]))</f>
        <v>32</v>
      </c>
      <c r="M404" s="20" t="str">
        <f>IF(Table4[[#This Row],[listedprob]]=1,"called",IF(LEFT(Table4[[#This Row],[Margin]],1)="D",(Table4[[#This Row],[Numeric Margin]]/2+50)/100,(-Table4[[#This Row],[Numeric Margin]]/2+50)/100))</f>
        <v>called</v>
      </c>
      <c r="N404" s="20" t="str">
        <f>IFERROR(IF(Table4[[#This Row],[D 2pv]]="called","called",Table4[[#This Row],[D 2pv]]*Table4[[#This Row],[Percent of votes in% In]]),Table4[[#This Row],[D 2pv]]*0.95)</f>
        <v>called</v>
      </c>
      <c r="O404" s="20" t="str">
        <f>IF(Table4[[#This Row],[D pct]]="called","called",(Table4[[#This Row],[D 2pv]]+$E$7))</f>
        <v>called</v>
      </c>
      <c r="P40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4" s="21" t="str">
        <f>IF(Table4[[#This Row],[D captured of remain]]="called","called",Table4[[#This Row],[D captured of remain]]+Table4[[#This Row],[D pct]])</f>
        <v>called</v>
      </c>
      <c r="R404" s="22" t="str">
        <f>IF(Table4[[#This Row],[Expected D]]=1,"D",IF(Table4[[#This Row],[Expected R]]=1,"R",IF(Table4[[#This Row],[D total]]&gt;=0.5,"D","R")))</f>
        <v>R</v>
      </c>
      <c r="S404" s="22"/>
      <c r="V404" s="4"/>
    </row>
    <row r="405" spans="2:23" x14ac:dyDescent="0.35">
      <c r="B405" s="27">
        <v>396</v>
      </c>
      <c r="C405" s="2" t="s">
        <v>462</v>
      </c>
      <c r="D405" s="2" t="s">
        <v>284</v>
      </c>
      <c r="E405" s="4" t="s">
        <v>28</v>
      </c>
      <c r="F405" s="2" t="s">
        <v>567</v>
      </c>
      <c r="G405" s="4" t="s">
        <v>502</v>
      </c>
      <c r="H40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5" s="2" t="str">
        <f>IF(OR(LEFT(Table4[[#This Row],[win_prob]],1)="D",LEFT(Table4[[#This Row],[win_prob]],1)="R"),LEFT(Table4[[#This Row],[win_prob]],1),LEFT(Table4[[#This Row],[Category]],1))</f>
        <v>R</v>
      </c>
      <c r="J40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5" s="16" t="str">
        <f>RIGHT(Table4[[#This Row],[Margin]],LEN(Table4[[#This Row],[Margin]])-FIND("+",Table4[[#This Row],[Margin]]))</f>
        <v>24</v>
      </c>
      <c r="M405" s="20" t="str">
        <f>IF(Table4[[#This Row],[listedprob]]=1,"called",IF(LEFT(Table4[[#This Row],[Margin]],1)="D",(Table4[[#This Row],[Numeric Margin]]/2+50)/100,(-Table4[[#This Row],[Numeric Margin]]/2+50)/100))</f>
        <v>called</v>
      </c>
      <c r="N405" s="20" t="str">
        <f>IFERROR(IF(Table4[[#This Row],[D 2pv]]="called","called",Table4[[#This Row],[D 2pv]]*Table4[[#This Row],[Percent of votes in% In]]),Table4[[#This Row],[D 2pv]]*0.95)</f>
        <v>called</v>
      </c>
      <c r="O405" s="20" t="str">
        <f>IF(Table4[[#This Row],[D pct]]="called","called",(Table4[[#This Row],[D 2pv]]+$E$7))</f>
        <v>called</v>
      </c>
      <c r="P40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5" s="21" t="str">
        <f>IF(Table4[[#This Row],[D captured of remain]]="called","called",Table4[[#This Row],[D captured of remain]]+Table4[[#This Row],[D pct]])</f>
        <v>called</v>
      </c>
      <c r="R405" s="22" t="str">
        <f>IF(Table4[[#This Row],[Expected D]]=1,"D",IF(Table4[[#This Row],[Expected R]]=1,"R",IF(Table4[[#This Row],[D total]]&gt;=0.5,"D","R")))</f>
        <v>R</v>
      </c>
      <c r="S405" s="22"/>
    </row>
    <row r="406" spans="2:23" x14ac:dyDescent="0.35">
      <c r="B406" s="27">
        <v>397</v>
      </c>
      <c r="C406" s="2" t="s">
        <v>463</v>
      </c>
      <c r="D406" s="2" t="s">
        <v>284</v>
      </c>
      <c r="E406" s="2" t="s">
        <v>28</v>
      </c>
      <c r="F406" s="2" t="s">
        <v>586</v>
      </c>
      <c r="G406" s="4" t="s">
        <v>502</v>
      </c>
      <c r="H40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6" s="2" t="str">
        <f>IF(OR(LEFT(Table4[[#This Row],[win_prob]],1)="D",LEFT(Table4[[#This Row],[win_prob]],1)="R"),LEFT(Table4[[#This Row],[win_prob]],1),LEFT(Table4[[#This Row],[Category]],1))</f>
        <v>R</v>
      </c>
      <c r="J40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6" s="16" t="str">
        <f>RIGHT(Table4[[#This Row],[Margin]],LEN(Table4[[#This Row],[Margin]])-FIND("+",Table4[[#This Row],[Margin]]))</f>
        <v>36</v>
      </c>
      <c r="M406" s="20" t="str">
        <f>IF(Table4[[#This Row],[listedprob]]=1,"called",IF(LEFT(Table4[[#This Row],[Margin]],1)="D",(Table4[[#This Row],[Numeric Margin]]/2+50)/100,(-Table4[[#This Row],[Numeric Margin]]/2+50)/100))</f>
        <v>called</v>
      </c>
      <c r="N406" s="20" t="str">
        <f>IFERROR(IF(Table4[[#This Row],[D 2pv]]="called","called",Table4[[#This Row],[D 2pv]]*Table4[[#This Row],[Percent of votes in% In]]),Table4[[#This Row],[D 2pv]]*0.95)</f>
        <v>called</v>
      </c>
      <c r="O406" s="20" t="str">
        <f>IF(Table4[[#This Row],[D pct]]="called","called",(Table4[[#This Row],[D 2pv]]+$E$7))</f>
        <v>called</v>
      </c>
      <c r="P40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6" s="21" t="str">
        <f>IF(Table4[[#This Row],[D captured of remain]]="called","called",Table4[[#This Row],[D captured of remain]]+Table4[[#This Row],[D pct]])</f>
        <v>called</v>
      </c>
      <c r="R406" s="22" t="str">
        <f>IF(Table4[[#This Row],[Expected D]]=1,"D",IF(Table4[[#This Row],[Expected R]]=1,"R",IF(Table4[[#This Row],[D total]]&gt;=0.5,"D","R")))</f>
        <v>R</v>
      </c>
      <c r="S406" s="22"/>
      <c r="V406" s="4"/>
    </row>
    <row r="407" spans="2:23" x14ac:dyDescent="0.35">
      <c r="B407" s="27">
        <v>398</v>
      </c>
      <c r="C407" s="2" t="s">
        <v>464</v>
      </c>
      <c r="D407" s="2" t="s">
        <v>284</v>
      </c>
      <c r="E407" s="4" t="s">
        <v>28</v>
      </c>
      <c r="F407" s="2" t="s">
        <v>590</v>
      </c>
      <c r="G407" s="4" t="s">
        <v>502</v>
      </c>
      <c r="H40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7" s="2" t="str">
        <f>IF(OR(LEFT(Table4[[#This Row],[win_prob]],1)="D",LEFT(Table4[[#This Row],[win_prob]],1)="R"),LEFT(Table4[[#This Row],[win_prob]],1),LEFT(Table4[[#This Row],[Category]],1))</f>
        <v>R</v>
      </c>
      <c r="J40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7" s="16" t="str">
        <f>RIGHT(Table4[[#This Row],[Margin]],LEN(Table4[[#This Row],[Margin]])-FIND("+",Table4[[#This Row],[Margin]]))</f>
        <v>30</v>
      </c>
      <c r="M407" s="20" t="str">
        <f>IF(Table4[[#This Row],[listedprob]]=1,"called",IF(LEFT(Table4[[#This Row],[Margin]],1)="D",(Table4[[#This Row],[Numeric Margin]]/2+50)/100,(-Table4[[#This Row],[Numeric Margin]]/2+50)/100))</f>
        <v>called</v>
      </c>
      <c r="N407" s="20" t="str">
        <f>IFERROR(IF(Table4[[#This Row],[D 2pv]]="called","called",Table4[[#This Row],[D 2pv]]*Table4[[#This Row],[Percent of votes in% In]]),Table4[[#This Row],[D 2pv]]*0.95)</f>
        <v>called</v>
      </c>
      <c r="O407" s="20" t="str">
        <f>IF(Table4[[#This Row],[D pct]]="called","called",(Table4[[#This Row],[D 2pv]]+$E$7))</f>
        <v>called</v>
      </c>
      <c r="P40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7" s="21" t="str">
        <f>IF(Table4[[#This Row],[D captured of remain]]="called","called",Table4[[#This Row],[D captured of remain]]+Table4[[#This Row],[D pct]])</f>
        <v>called</v>
      </c>
      <c r="R407" s="22" t="str">
        <f>IF(Table4[[#This Row],[Expected D]]=1,"D",IF(Table4[[#This Row],[Expected R]]=1,"R",IF(Table4[[#This Row],[D total]]&gt;=0.5,"D","R")))</f>
        <v>R</v>
      </c>
      <c r="S407" s="22"/>
      <c r="V407" s="4"/>
    </row>
    <row r="408" spans="2:23" x14ac:dyDescent="0.35">
      <c r="B408" s="27">
        <v>399</v>
      </c>
      <c r="C408" s="2" t="s">
        <v>465</v>
      </c>
      <c r="D408" s="2" t="s">
        <v>320</v>
      </c>
      <c r="E408" s="4">
        <v>0</v>
      </c>
      <c r="F408" s="2" t="s">
        <v>577</v>
      </c>
      <c r="G408" s="4" t="s">
        <v>502</v>
      </c>
      <c r="H40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8" s="2" t="str">
        <f>IF(OR(LEFT(Table4[[#This Row],[win_prob]],1)="D",LEFT(Table4[[#This Row],[win_prob]],1)="R"),LEFT(Table4[[#This Row],[win_prob]],1),LEFT(Table4[[#This Row],[Category]],1))</f>
        <v>R</v>
      </c>
      <c r="J40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8" s="16" t="e">
        <f>RIGHT(Table4[[#This Row],[Margin]],LEN(Table4[[#This Row],[Margin]])-FIND("+",Table4[[#This Row],[Margin]]))</f>
        <v>#VALUE!</v>
      </c>
      <c r="M408" s="20" t="str">
        <f>IF(Table4[[#This Row],[listedprob]]=1,"called",IF(LEFT(Table4[[#This Row],[Margin]],1)="D",(Table4[[#This Row],[Numeric Margin]]/2+50)/100,(-Table4[[#This Row],[Numeric Margin]]/2+50)/100))</f>
        <v>called</v>
      </c>
      <c r="N408" s="20" t="str">
        <f>IFERROR(IF(Table4[[#This Row],[D 2pv]]="called","called",Table4[[#This Row],[D 2pv]]*Table4[[#This Row],[Percent of votes in% In]]),Table4[[#This Row],[D 2pv]]*0.95)</f>
        <v>called</v>
      </c>
      <c r="O408" s="20" t="str">
        <f>IF(Table4[[#This Row],[D pct]]="called","called",(Table4[[#This Row],[D 2pv]]+$E$7))</f>
        <v>called</v>
      </c>
      <c r="P40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8" s="21" t="str">
        <f>IF(Table4[[#This Row],[D captured of remain]]="called","called",Table4[[#This Row],[D captured of remain]]+Table4[[#This Row],[D pct]])</f>
        <v>called</v>
      </c>
      <c r="R408" s="22" t="str">
        <f>IF(Table4[[#This Row],[Expected D]]=1,"D",IF(Table4[[#This Row],[Expected R]]=1,"R",IF(Table4[[#This Row],[D total]]&gt;=0.5,"D","R")))</f>
        <v>R</v>
      </c>
      <c r="S408" s="22"/>
      <c r="V408" s="4"/>
      <c r="W408" s="4"/>
    </row>
    <row r="409" spans="2:23" x14ac:dyDescent="0.35">
      <c r="B409" s="27">
        <v>400</v>
      </c>
      <c r="C409" s="2" t="s">
        <v>466</v>
      </c>
      <c r="D409" s="2" t="s">
        <v>284</v>
      </c>
      <c r="E409" s="4" t="s">
        <v>28</v>
      </c>
      <c r="F409" s="2" t="s">
        <v>575</v>
      </c>
      <c r="G409" s="4" t="s">
        <v>502</v>
      </c>
      <c r="H40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09" s="2" t="str">
        <f>IF(OR(LEFT(Table4[[#This Row],[win_prob]],1)="D",LEFT(Table4[[#This Row],[win_prob]],1)="R"),LEFT(Table4[[#This Row],[win_prob]],1),LEFT(Table4[[#This Row],[Category]],1))</f>
        <v>R</v>
      </c>
      <c r="J40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0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09" s="16" t="str">
        <f>RIGHT(Table4[[#This Row],[Margin]],LEN(Table4[[#This Row],[Margin]])-FIND("+",Table4[[#This Row],[Margin]]))</f>
        <v>38</v>
      </c>
      <c r="M409" s="20" t="str">
        <f>IF(Table4[[#This Row],[listedprob]]=1,"called",IF(LEFT(Table4[[#This Row],[Margin]],1)="D",(Table4[[#This Row],[Numeric Margin]]/2+50)/100,(-Table4[[#This Row],[Numeric Margin]]/2+50)/100))</f>
        <v>called</v>
      </c>
      <c r="N409" s="20" t="str">
        <f>IFERROR(IF(Table4[[#This Row],[D 2pv]]="called","called",Table4[[#This Row],[D 2pv]]*Table4[[#This Row],[Percent of votes in% In]]),Table4[[#This Row],[D 2pv]]*0.95)</f>
        <v>called</v>
      </c>
      <c r="O409" s="20" t="str">
        <f>IF(Table4[[#This Row],[D pct]]="called","called",(Table4[[#This Row],[D 2pv]]+$E$7))</f>
        <v>called</v>
      </c>
      <c r="P40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09" s="21" t="str">
        <f>IF(Table4[[#This Row],[D captured of remain]]="called","called",Table4[[#This Row],[D captured of remain]]+Table4[[#This Row],[D pct]])</f>
        <v>called</v>
      </c>
      <c r="R409" s="22" t="str">
        <f>IF(Table4[[#This Row],[Expected D]]=1,"D",IF(Table4[[#This Row],[Expected R]]=1,"R",IF(Table4[[#This Row],[D total]]&gt;=0.5,"D","R")))</f>
        <v>R</v>
      </c>
      <c r="S409" s="22"/>
      <c r="W409" s="4"/>
    </row>
    <row r="410" spans="2:23" x14ac:dyDescent="0.35">
      <c r="B410" s="27">
        <v>401</v>
      </c>
      <c r="C410" s="2" t="s">
        <v>467</v>
      </c>
      <c r="D410" s="2" t="s">
        <v>284</v>
      </c>
      <c r="E410" s="2" t="s">
        <v>28</v>
      </c>
      <c r="F410" s="2" t="s">
        <v>596</v>
      </c>
      <c r="G410" s="4" t="s">
        <v>502</v>
      </c>
      <c r="H41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0" s="2" t="str">
        <f>IF(OR(LEFT(Table4[[#This Row],[win_prob]],1)="D",LEFT(Table4[[#This Row],[win_prob]],1)="R"),LEFT(Table4[[#This Row],[win_prob]],1),LEFT(Table4[[#This Row],[Category]],1))</f>
        <v>R</v>
      </c>
      <c r="J41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0" s="16" t="str">
        <f>RIGHT(Table4[[#This Row],[Margin]],LEN(Table4[[#This Row],[Margin]])-FIND("+",Table4[[#This Row],[Margin]]))</f>
        <v>29</v>
      </c>
      <c r="M410" s="20" t="str">
        <f>IF(Table4[[#This Row],[listedprob]]=1,"called",IF(LEFT(Table4[[#This Row],[Margin]],1)="D",(Table4[[#This Row],[Numeric Margin]]/2+50)/100,(-Table4[[#This Row],[Numeric Margin]]/2+50)/100))</f>
        <v>called</v>
      </c>
      <c r="N410" s="20" t="str">
        <f>IFERROR(IF(Table4[[#This Row],[D 2pv]]="called","called",Table4[[#This Row],[D 2pv]]*Table4[[#This Row],[Percent of votes in% In]]),Table4[[#This Row],[D 2pv]]*0.95)</f>
        <v>called</v>
      </c>
      <c r="O410" s="20" t="str">
        <f>IF(Table4[[#This Row],[D pct]]="called","called",(Table4[[#This Row],[D 2pv]]+$E$7))</f>
        <v>called</v>
      </c>
      <c r="P41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0" s="21" t="str">
        <f>IF(Table4[[#This Row],[D captured of remain]]="called","called",Table4[[#This Row],[D captured of remain]]+Table4[[#This Row],[D pct]])</f>
        <v>called</v>
      </c>
      <c r="R410" s="22" t="str">
        <f>IF(Table4[[#This Row],[Expected D]]=1,"D",IF(Table4[[#This Row],[Expected R]]=1,"R",IF(Table4[[#This Row],[D total]]&gt;=0.5,"D","R")))</f>
        <v>R</v>
      </c>
      <c r="S410" s="22"/>
      <c r="V410" s="4"/>
      <c r="W410" s="4"/>
    </row>
    <row r="411" spans="2:23" x14ac:dyDescent="0.35">
      <c r="B411" s="27">
        <v>402</v>
      </c>
      <c r="C411" s="2" t="s">
        <v>468</v>
      </c>
      <c r="D411" s="2" t="s">
        <v>320</v>
      </c>
      <c r="E411" s="4">
        <v>0</v>
      </c>
      <c r="F411" s="2" t="s">
        <v>577</v>
      </c>
      <c r="G411" s="4" t="s">
        <v>502</v>
      </c>
      <c r="H41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1" s="2" t="str">
        <f>IF(OR(LEFT(Table4[[#This Row],[win_prob]],1)="D",LEFT(Table4[[#This Row],[win_prob]],1)="R"),LEFT(Table4[[#This Row],[win_prob]],1),LEFT(Table4[[#This Row],[Category]],1))</f>
        <v>R</v>
      </c>
      <c r="J41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1" s="16" t="e">
        <f>RIGHT(Table4[[#This Row],[Margin]],LEN(Table4[[#This Row],[Margin]])-FIND("+",Table4[[#This Row],[Margin]]))</f>
        <v>#VALUE!</v>
      </c>
      <c r="M411" s="20" t="str">
        <f>IF(Table4[[#This Row],[listedprob]]=1,"called",IF(LEFT(Table4[[#This Row],[Margin]],1)="D",(Table4[[#This Row],[Numeric Margin]]/2+50)/100,(-Table4[[#This Row],[Numeric Margin]]/2+50)/100))</f>
        <v>called</v>
      </c>
      <c r="N411" s="20" t="str">
        <f>IFERROR(IF(Table4[[#This Row],[D 2pv]]="called","called",Table4[[#This Row],[D 2pv]]*Table4[[#This Row],[Percent of votes in% In]]),Table4[[#This Row],[D 2pv]]*0.95)</f>
        <v>called</v>
      </c>
      <c r="O411" s="20" t="str">
        <f>IF(Table4[[#This Row],[D pct]]="called","called",(Table4[[#This Row],[D 2pv]]+$E$7))</f>
        <v>called</v>
      </c>
      <c r="P41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1" s="21" t="str">
        <f>IF(Table4[[#This Row],[D captured of remain]]="called","called",Table4[[#This Row],[D captured of remain]]+Table4[[#This Row],[D pct]])</f>
        <v>called</v>
      </c>
      <c r="R411" s="22" t="str">
        <f>IF(Table4[[#This Row],[Expected D]]=1,"D",IF(Table4[[#This Row],[Expected R]]=1,"R",IF(Table4[[#This Row],[D total]]&gt;=0.5,"D","R")))</f>
        <v>R</v>
      </c>
      <c r="S411" s="22"/>
      <c r="V411" s="4"/>
    </row>
    <row r="412" spans="2:23" x14ac:dyDescent="0.35">
      <c r="B412" s="27">
        <v>403</v>
      </c>
      <c r="C412" s="2" t="s">
        <v>469</v>
      </c>
      <c r="D412" s="2" t="s">
        <v>284</v>
      </c>
      <c r="E412" s="4" t="s">
        <v>28</v>
      </c>
      <c r="F412" s="2" t="s">
        <v>596</v>
      </c>
      <c r="G412" s="4" t="s">
        <v>502</v>
      </c>
      <c r="H41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2" s="2" t="str">
        <f>IF(OR(LEFT(Table4[[#This Row],[win_prob]],1)="D",LEFT(Table4[[#This Row],[win_prob]],1)="R"),LEFT(Table4[[#This Row],[win_prob]],1),LEFT(Table4[[#This Row],[Category]],1))</f>
        <v>R</v>
      </c>
      <c r="J41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2" s="16" t="str">
        <f>RIGHT(Table4[[#This Row],[Margin]],LEN(Table4[[#This Row],[Margin]])-FIND("+",Table4[[#This Row],[Margin]]))</f>
        <v>29</v>
      </c>
      <c r="M412" s="20" t="str">
        <f>IF(Table4[[#This Row],[listedprob]]=1,"called",IF(LEFT(Table4[[#This Row],[Margin]],1)="D",(Table4[[#This Row],[Numeric Margin]]/2+50)/100,(-Table4[[#This Row],[Numeric Margin]]/2+50)/100))</f>
        <v>called</v>
      </c>
      <c r="N412" s="20" t="str">
        <f>IFERROR(IF(Table4[[#This Row],[D 2pv]]="called","called",Table4[[#This Row],[D 2pv]]*Table4[[#This Row],[Percent of votes in% In]]),Table4[[#This Row],[D 2pv]]*0.95)</f>
        <v>called</v>
      </c>
      <c r="O412" s="20" t="str">
        <f>IF(Table4[[#This Row],[D pct]]="called","called",(Table4[[#This Row],[D 2pv]]+$E$7))</f>
        <v>called</v>
      </c>
      <c r="P41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2" s="21" t="str">
        <f>IF(Table4[[#This Row],[D captured of remain]]="called","called",Table4[[#This Row],[D captured of remain]]+Table4[[#This Row],[D pct]])</f>
        <v>called</v>
      </c>
      <c r="R412" s="22" t="str">
        <f>IF(Table4[[#This Row],[Expected D]]=1,"D",IF(Table4[[#This Row],[Expected R]]=1,"R",IF(Table4[[#This Row],[D total]]&gt;=0.5,"D","R")))</f>
        <v>R</v>
      </c>
      <c r="S412" s="22"/>
      <c r="V412" s="4"/>
      <c r="W412" s="4"/>
    </row>
    <row r="413" spans="2:23" x14ac:dyDescent="0.35">
      <c r="B413" s="27">
        <v>404</v>
      </c>
      <c r="C413" s="2" t="s">
        <v>470</v>
      </c>
      <c r="D413" s="2" t="s">
        <v>284</v>
      </c>
      <c r="E413" s="4" t="s">
        <v>28</v>
      </c>
      <c r="F413" s="2" t="s">
        <v>589</v>
      </c>
      <c r="G413" s="4" t="s">
        <v>502</v>
      </c>
      <c r="H41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3" s="2" t="str">
        <f>IF(OR(LEFT(Table4[[#This Row],[win_prob]],1)="D",LEFT(Table4[[#This Row],[win_prob]],1)="R"),LEFT(Table4[[#This Row],[win_prob]],1),LEFT(Table4[[#This Row],[Category]],1))</f>
        <v>R</v>
      </c>
      <c r="J41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3" s="16" t="str">
        <f>RIGHT(Table4[[#This Row],[Margin]],LEN(Table4[[#This Row],[Margin]])-FIND("+",Table4[[#This Row],[Margin]]))</f>
        <v>51</v>
      </c>
      <c r="M413" s="20" t="str">
        <f>IF(Table4[[#This Row],[listedprob]]=1,"called",IF(LEFT(Table4[[#This Row],[Margin]],1)="D",(Table4[[#This Row],[Numeric Margin]]/2+50)/100,(-Table4[[#This Row],[Numeric Margin]]/2+50)/100))</f>
        <v>called</v>
      </c>
      <c r="N413" s="20" t="str">
        <f>IFERROR(IF(Table4[[#This Row],[D 2pv]]="called","called",Table4[[#This Row],[D 2pv]]*Table4[[#This Row],[Percent of votes in% In]]),Table4[[#This Row],[D 2pv]]*0.95)</f>
        <v>called</v>
      </c>
      <c r="O413" s="20" t="str">
        <f>IF(Table4[[#This Row],[D pct]]="called","called",(Table4[[#This Row],[D 2pv]]+$E$7))</f>
        <v>called</v>
      </c>
      <c r="P41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3" s="21" t="str">
        <f>IF(Table4[[#This Row],[D captured of remain]]="called","called",Table4[[#This Row],[D captured of remain]]+Table4[[#This Row],[D pct]])</f>
        <v>called</v>
      </c>
      <c r="R413" s="22" t="str">
        <f>IF(Table4[[#This Row],[Expected D]]=1,"D",IF(Table4[[#This Row],[Expected R]]=1,"R",IF(Table4[[#This Row],[D total]]&gt;=0.5,"D","R")))</f>
        <v>R</v>
      </c>
      <c r="S413" s="22"/>
      <c r="V413" s="4"/>
      <c r="W413" s="4"/>
    </row>
    <row r="414" spans="2:23" x14ac:dyDescent="0.35">
      <c r="B414" s="27">
        <v>405</v>
      </c>
      <c r="C414" s="2" t="s">
        <v>471</v>
      </c>
      <c r="D414" s="2" t="s">
        <v>284</v>
      </c>
      <c r="E414" s="4" t="s">
        <v>28</v>
      </c>
      <c r="F414" s="2" t="s">
        <v>595</v>
      </c>
      <c r="G414" s="4" t="s">
        <v>502</v>
      </c>
      <c r="H41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4" s="2" t="str">
        <f>IF(OR(LEFT(Table4[[#This Row],[win_prob]],1)="D",LEFT(Table4[[#This Row],[win_prob]],1)="R"),LEFT(Table4[[#This Row],[win_prob]],1),LEFT(Table4[[#This Row],[Category]],1))</f>
        <v>R</v>
      </c>
      <c r="J41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4" s="16" t="str">
        <f>RIGHT(Table4[[#This Row],[Margin]],LEN(Table4[[#This Row],[Margin]])-FIND("+",Table4[[#This Row],[Margin]]))</f>
        <v>37</v>
      </c>
      <c r="M414" s="20" t="str">
        <f>IF(Table4[[#This Row],[listedprob]]=1,"called",IF(LEFT(Table4[[#This Row],[Margin]],1)="D",(Table4[[#This Row],[Numeric Margin]]/2+50)/100,(-Table4[[#This Row],[Numeric Margin]]/2+50)/100))</f>
        <v>called</v>
      </c>
      <c r="N414" s="20" t="str">
        <f>IFERROR(IF(Table4[[#This Row],[D 2pv]]="called","called",Table4[[#This Row],[D 2pv]]*Table4[[#This Row],[Percent of votes in% In]]),Table4[[#This Row],[D 2pv]]*0.95)</f>
        <v>called</v>
      </c>
      <c r="O414" s="20" t="str">
        <f>IF(Table4[[#This Row],[D pct]]="called","called",(Table4[[#This Row],[D 2pv]]+$E$7))</f>
        <v>called</v>
      </c>
      <c r="P41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4" s="21" t="str">
        <f>IF(Table4[[#This Row],[D captured of remain]]="called","called",Table4[[#This Row],[D captured of remain]]+Table4[[#This Row],[D pct]])</f>
        <v>called</v>
      </c>
      <c r="R414" s="22" t="str">
        <f>IF(Table4[[#This Row],[Expected D]]=1,"D",IF(Table4[[#This Row],[Expected R]]=1,"R",IF(Table4[[#This Row],[D total]]&gt;=0.5,"D","R")))</f>
        <v>R</v>
      </c>
      <c r="S414" s="22"/>
      <c r="V414" s="4"/>
    </row>
    <row r="415" spans="2:23" x14ac:dyDescent="0.35">
      <c r="B415" s="27">
        <v>406</v>
      </c>
      <c r="C415" s="2" t="s">
        <v>472</v>
      </c>
      <c r="D415" s="2" t="s">
        <v>284</v>
      </c>
      <c r="E415" s="4" t="s">
        <v>28</v>
      </c>
      <c r="F415" s="2" t="s">
        <v>599</v>
      </c>
      <c r="G415" s="4" t="s">
        <v>502</v>
      </c>
      <c r="H41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5" s="2" t="str">
        <f>IF(OR(LEFT(Table4[[#This Row],[win_prob]],1)="D",LEFT(Table4[[#This Row],[win_prob]],1)="R"),LEFT(Table4[[#This Row],[win_prob]],1),LEFT(Table4[[#This Row],[Category]],1))</f>
        <v>R</v>
      </c>
      <c r="J41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5" s="16" t="str">
        <f>RIGHT(Table4[[#This Row],[Margin]],LEN(Table4[[#This Row],[Margin]])-FIND("+",Table4[[#This Row],[Margin]]))</f>
        <v>33</v>
      </c>
      <c r="M415" s="20" t="str">
        <f>IF(Table4[[#This Row],[listedprob]]=1,"called",IF(LEFT(Table4[[#This Row],[Margin]],1)="D",(Table4[[#This Row],[Numeric Margin]]/2+50)/100,(-Table4[[#This Row],[Numeric Margin]]/2+50)/100))</f>
        <v>called</v>
      </c>
      <c r="N415" s="20" t="str">
        <f>IFERROR(IF(Table4[[#This Row],[D 2pv]]="called","called",Table4[[#This Row],[D 2pv]]*Table4[[#This Row],[Percent of votes in% In]]),Table4[[#This Row],[D 2pv]]*0.95)</f>
        <v>called</v>
      </c>
      <c r="O415" s="20" t="str">
        <f>IF(Table4[[#This Row],[D pct]]="called","called",(Table4[[#This Row],[D 2pv]]+$E$7))</f>
        <v>called</v>
      </c>
      <c r="P41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5" s="21" t="str">
        <f>IF(Table4[[#This Row],[D captured of remain]]="called","called",Table4[[#This Row],[D captured of remain]]+Table4[[#This Row],[D pct]])</f>
        <v>called</v>
      </c>
      <c r="R415" s="22" t="str">
        <f>IF(Table4[[#This Row],[Expected D]]=1,"D",IF(Table4[[#This Row],[Expected R]]=1,"R",IF(Table4[[#This Row],[D total]]&gt;=0.5,"D","R")))</f>
        <v>R</v>
      </c>
      <c r="S415" s="22"/>
      <c r="V415" s="4"/>
    </row>
    <row r="416" spans="2:23" x14ac:dyDescent="0.35">
      <c r="B416" s="27">
        <v>407</v>
      </c>
      <c r="C416" s="2" t="s">
        <v>473</v>
      </c>
      <c r="D416" s="2" t="s">
        <v>284</v>
      </c>
      <c r="E416" s="4" t="s">
        <v>28</v>
      </c>
      <c r="F416" s="2" t="s">
        <v>616</v>
      </c>
      <c r="G416" s="4" t="s">
        <v>502</v>
      </c>
      <c r="H41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6" s="2" t="str">
        <f>IF(OR(LEFT(Table4[[#This Row],[win_prob]],1)="D",LEFT(Table4[[#This Row],[win_prob]],1)="R"),LEFT(Table4[[#This Row],[win_prob]],1),LEFT(Table4[[#This Row],[Category]],1))</f>
        <v>R</v>
      </c>
      <c r="J41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6" s="16" t="str">
        <f>RIGHT(Table4[[#This Row],[Margin]],LEN(Table4[[#This Row],[Margin]])-FIND("+",Table4[[#This Row],[Margin]]))</f>
        <v>61</v>
      </c>
      <c r="M416" s="20" t="str">
        <f>IF(Table4[[#This Row],[listedprob]]=1,"called",IF(LEFT(Table4[[#This Row],[Margin]],1)="D",(Table4[[#This Row],[Numeric Margin]]/2+50)/100,(-Table4[[#This Row],[Numeric Margin]]/2+50)/100))</f>
        <v>called</v>
      </c>
      <c r="N416" s="20" t="str">
        <f>IFERROR(IF(Table4[[#This Row],[D 2pv]]="called","called",Table4[[#This Row],[D 2pv]]*Table4[[#This Row],[Percent of votes in% In]]),Table4[[#This Row],[D 2pv]]*0.95)</f>
        <v>called</v>
      </c>
      <c r="O416" s="20" t="str">
        <f>IF(Table4[[#This Row],[D pct]]="called","called",(Table4[[#This Row],[D 2pv]]+$E$7))</f>
        <v>called</v>
      </c>
      <c r="P41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6" s="21" t="str">
        <f>IF(Table4[[#This Row],[D captured of remain]]="called","called",Table4[[#This Row],[D captured of remain]]+Table4[[#This Row],[D pct]])</f>
        <v>called</v>
      </c>
      <c r="R416" s="22" t="str">
        <f>IF(Table4[[#This Row],[Expected D]]=1,"D",IF(Table4[[#This Row],[Expected R]]=1,"R",IF(Table4[[#This Row],[D total]]&gt;=0.5,"D","R")))</f>
        <v>R</v>
      </c>
      <c r="S416" s="22"/>
      <c r="V416" s="4"/>
    </row>
    <row r="417" spans="2:23" x14ac:dyDescent="0.35">
      <c r="B417" s="27">
        <v>408</v>
      </c>
      <c r="C417" s="2" t="s">
        <v>474</v>
      </c>
      <c r="D417" s="2" t="s">
        <v>284</v>
      </c>
      <c r="E417" s="4" t="s">
        <v>28</v>
      </c>
      <c r="F417" s="2" t="s">
        <v>587</v>
      </c>
      <c r="G417" s="4" t="s">
        <v>502</v>
      </c>
      <c r="H41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7" s="2" t="str">
        <f>IF(OR(LEFT(Table4[[#This Row],[win_prob]],1)="D",LEFT(Table4[[#This Row],[win_prob]],1)="R"),LEFT(Table4[[#This Row],[win_prob]],1),LEFT(Table4[[#This Row],[Category]],1))</f>
        <v>R</v>
      </c>
      <c r="J41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7" s="16" t="str">
        <f>RIGHT(Table4[[#This Row],[Margin]],LEN(Table4[[#This Row],[Margin]])-FIND("+",Table4[[#This Row],[Margin]]))</f>
        <v>26</v>
      </c>
      <c r="M417" s="20" t="str">
        <f>IF(Table4[[#This Row],[listedprob]]=1,"called",IF(LEFT(Table4[[#This Row],[Margin]],1)="D",(Table4[[#This Row],[Numeric Margin]]/2+50)/100,(-Table4[[#This Row],[Numeric Margin]]/2+50)/100))</f>
        <v>called</v>
      </c>
      <c r="N417" s="20" t="str">
        <f>IFERROR(IF(Table4[[#This Row],[D 2pv]]="called","called",Table4[[#This Row],[D 2pv]]*Table4[[#This Row],[Percent of votes in% In]]),Table4[[#This Row],[D 2pv]]*0.95)</f>
        <v>called</v>
      </c>
      <c r="O417" s="20" t="str">
        <f>IF(Table4[[#This Row],[D pct]]="called","called",(Table4[[#This Row],[D 2pv]]+$E$7))</f>
        <v>called</v>
      </c>
      <c r="P41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7" s="21" t="str">
        <f>IF(Table4[[#This Row],[D captured of remain]]="called","called",Table4[[#This Row],[D captured of remain]]+Table4[[#This Row],[D pct]])</f>
        <v>called</v>
      </c>
      <c r="R417" s="22" t="str">
        <f>IF(Table4[[#This Row],[Expected D]]=1,"D",IF(Table4[[#This Row],[Expected R]]=1,"R",IF(Table4[[#This Row],[D total]]&gt;=0.5,"D","R")))</f>
        <v>R</v>
      </c>
      <c r="S417" s="22"/>
      <c r="V417" s="4"/>
    </row>
    <row r="418" spans="2:23" x14ac:dyDescent="0.35">
      <c r="B418" s="27">
        <v>409</v>
      </c>
      <c r="C418" s="2" t="s">
        <v>475</v>
      </c>
      <c r="D418" s="2" t="s">
        <v>284</v>
      </c>
      <c r="E418" s="4" t="s">
        <v>28</v>
      </c>
      <c r="F418" s="2" t="s">
        <v>593</v>
      </c>
      <c r="G418" s="4" t="s">
        <v>502</v>
      </c>
      <c r="H41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8" s="2" t="str">
        <f>IF(OR(LEFT(Table4[[#This Row],[win_prob]],1)="D",LEFT(Table4[[#This Row],[win_prob]],1)="R"),LEFT(Table4[[#This Row],[win_prob]],1),LEFT(Table4[[#This Row],[Category]],1))</f>
        <v>R</v>
      </c>
      <c r="J41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8" s="16" t="str">
        <f>RIGHT(Table4[[#This Row],[Margin]],LEN(Table4[[#This Row],[Margin]])-FIND("+",Table4[[#This Row],[Margin]]))</f>
        <v>27</v>
      </c>
      <c r="M418" s="20" t="str">
        <f>IF(Table4[[#This Row],[listedprob]]=1,"called",IF(LEFT(Table4[[#This Row],[Margin]],1)="D",(Table4[[#This Row],[Numeric Margin]]/2+50)/100,(-Table4[[#This Row],[Numeric Margin]]/2+50)/100))</f>
        <v>called</v>
      </c>
      <c r="N418" s="20" t="str">
        <f>IFERROR(IF(Table4[[#This Row],[D 2pv]]="called","called",Table4[[#This Row],[D 2pv]]*Table4[[#This Row],[Percent of votes in% In]]),Table4[[#This Row],[D 2pv]]*0.95)</f>
        <v>called</v>
      </c>
      <c r="O418" s="20" t="str">
        <f>IF(Table4[[#This Row],[D pct]]="called","called",(Table4[[#This Row],[D 2pv]]+$E$7))</f>
        <v>called</v>
      </c>
      <c r="P41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8" s="21" t="str">
        <f>IF(Table4[[#This Row],[D captured of remain]]="called","called",Table4[[#This Row],[D captured of remain]]+Table4[[#This Row],[D pct]])</f>
        <v>called</v>
      </c>
      <c r="R418" s="22" t="str">
        <f>IF(Table4[[#This Row],[Expected D]]=1,"D",IF(Table4[[#This Row],[Expected R]]=1,"R",IF(Table4[[#This Row],[D total]]&gt;=0.5,"D","R")))</f>
        <v>R</v>
      </c>
      <c r="S418" s="22"/>
      <c r="V418" s="4"/>
    </row>
    <row r="419" spans="2:23" x14ac:dyDescent="0.35">
      <c r="B419" s="27">
        <v>410</v>
      </c>
      <c r="C419" s="2" t="s">
        <v>476</v>
      </c>
      <c r="D419" s="2" t="s">
        <v>284</v>
      </c>
      <c r="E419" s="4" t="s">
        <v>28</v>
      </c>
      <c r="F419" s="2" t="s">
        <v>562</v>
      </c>
      <c r="G419" s="4" t="s">
        <v>502</v>
      </c>
      <c r="H41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19" s="2" t="str">
        <f>IF(OR(LEFT(Table4[[#This Row],[win_prob]],1)="D",LEFT(Table4[[#This Row],[win_prob]],1)="R"),LEFT(Table4[[#This Row],[win_prob]],1),LEFT(Table4[[#This Row],[Category]],1))</f>
        <v>R</v>
      </c>
      <c r="J41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1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19" s="16" t="str">
        <f>RIGHT(Table4[[#This Row],[Margin]],LEN(Table4[[#This Row],[Margin]])-FIND("+",Table4[[#This Row],[Margin]]))</f>
        <v>17</v>
      </c>
      <c r="M419" s="20" t="str">
        <f>IF(Table4[[#This Row],[listedprob]]=1,"called",IF(LEFT(Table4[[#This Row],[Margin]],1)="D",(Table4[[#This Row],[Numeric Margin]]/2+50)/100,(-Table4[[#This Row],[Numeric Margin]]/2+50)/100))</f>
        <v>called</v>
      </c>
      <c r="N419" s="20" t="str">
        <f>IFERROR(IF(Table4[[#This Row],[D 2pv]]="called","called",Table4[[#This Row],[D 2pv]]*Table4[[#This Row],[Percent of votes in% In]]),Table4[[#This Row],[D 2pv]]*0.95)</f>
        <v>called</v>
      </c>
      <c r="O419" s="20" t="str">
        <f>IF(Table4[[#This Row],[D pct]]="called","called",(Table4[[#This Row],[D 2pv]]+$E$7))</f>
        <v>called</v>
      </c>
      <c r="P41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19" s="21" t="str">
        <f>IF(Table4[[#This Row],[D captured of remain]]="called","called",Table4[[#This Row],[D captured of remain]]+Table4[[#This Row],[D pct]])</f>
        <v>called</v>
      </c>
      <c r="R419" s="22" t="str">
        <f>IF(Table4[[#This Row],[Expected D]]=1,"D",IF(Table4[[#This Row],[Expected R]]=1,"R",IF(Table4[[#This Row],[D total]]&gt;=0.5,"D","R")))</f>
        <v>R</v>
      </c>
      <c r="S419" s="22"/>
      <c r="V419" s="4"/>
    </row>
    <row r="420" spans="2:23" x14ac:dyDescent="0.35">
      <c r="B420" s="27">
        <v>411</v>
      </c>
      <c r="C420" s="2" t="s">
        <v>477</v>
      </c>
      <c r="D420" s="2" t="s">
        <v>284</v>
      </c>
      <c r="E420" s="4" t="s">
        <v>28</v>
      </c>
      <c r="F420" s="2" t="s">
        <v>583</v>
      </c>
      <c r="G420" s="4" t="s">
        <v>502</v>
      </c>
      <c r="H42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0" s="2" t="str">
        <f>IF(OR(LEFT(Table4[[#This Row],[win_prob]],1)="D",LEFT(Table4[[#This Row],[win_prob]],1)="R"),LEFT(Table4[[#This Row],[win_prob]],1),LEFT(Table4[[#This Row],[Category]],1))</f>
        <v>R</v>
      </c>
      <c r="J42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0" s="16" t="str">
        <f>RIGHT(Table4[[#This Row],[Margin]],LEN(Table4[[#This Row],[Margin]])-FIND("+",Table4[[#This Row],[Margin]]))</f>
        <v>20</v>
      </c>
      <c r="M420" s="20" t="str">
        <f>IF(Table4[[#This Row],[listedprob]]=1,"called",IF(LEFT(Table4[[#This Row],[Margin]],1)="D",(Table4[[#This Row],[Numeric Margin]]/2+50)/100,(-Table4[[#This Row],[Numeric Margin]]/2+50)/100))</f>
        <v>called</v>
      </c>
      <c r="N420" s="20" t="str">
        <f>IFERROR(IF(Table4[[#This Row],[D 2pv]]="called","called",Table4[[#This Row],[D 2pv]]*Table4[[#This Row],[Percent of votes in% In]]),Table4[[#This Row],[D 2pv]]*0.95)</f>
        <v>called</v>
      </c>
      <c r="O420" s="20" t="str">
        <f>IF(Table4[[#This Row],[D pct]]="called","called",(Table4[[#This Row],[D 2pv]]+$E$7))</f>
        <v>called</v>
      </c>
      <c r="P42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0" s="21" t="str">
        <f>IF(Table4[[#This Row],[D captured of remain]]="called","called",Table4[[#This Row],[D captured of remain]]+Table4[[#This Row],[D pct]])</f>
        <v>called</v>
      </c>
      <c r="R420" s="22" t="str">
        <f>IF(Table4[[#This Row],[Expected D]]=1,"D",IF(Table4[[#This Row],[Expected R]]=1,"R",IF(Table4[[#This Row],[D total]]&gt;=0.5,"D","R")))</f>
        <v>R</v>
      </c>
      <c r="S420" s="22"/>
      <c r="V420" s="4"/>
    </row>
    <row r="421" spans="2:23" x14ac:dyDescent="0.35">
      <c r="B421" s="27">
        <v>412</v>
      </c>
      <c r="C421" s="2" t="s">
        <v>478</v>
      </c>
      <c r="D421" s="2" t="s">
        <v>320</v>
      </c>
      <c r="E421" s="4">
        <v>0</v>
      </c>
      <c r="F421" s="2" t="s">
        <v>577</v>
      </c>
      <c r="G421" s="4" t="s">
        <v>502</v>
      </c>
      <c r="H42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1" s="2" t="str">
        <f>IF(OR(LEFT(Table4[[#This Row],[win_prob]],1)="D",LEFT(Table4[[#This Row],[win_prob]],1)="R"),LEFT(Table4[[#This Row],[win_prob]],1),LEFT(Table4[[#This Row],[Category]],1))</f>
        <v>R</v>
      </c>
      <c r="J42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1" s="16" t="e">
        <f>RIGHT(Table4[[#This Row],[Margin]],LEN(Table4[[#This Row],[Margin]])-FIND("+",Table4[[#This Row],[Margin]]))</f>
        <v>#VALUE!</v>
      </c>
      <c r="M421" s="20" t="str">
        <f>IF(Table4[[#This Row],[listedprob]]=1,"called",IF(LEFT(Table4[[#This Row],[Margin]],1)="D",(Table4[[#This Row],[Numeric Margin]]/2+50)/100,(-Table4[[#This Row],[Numeric Margin]]/2+50)/100))</f>
        <v>called</v>
      </c>
      <c r="N421" s="20" t="str">
        <f>IFERROR(IF(Table4[[#This Row],[D 2pv]]="called","called",Table4[[#This Row],[D 2pv]]*Table4[[#This Row],[Percent of votes in% In]]),Table4[[#This Row],[D 2pv]]*0.95)</f>
        <v>called</v>
      </c>
      <c r="O421" s="20" t="str">
        <f>IF(Table4[[#This Row],[D pct]]="called","called",(Table4[[#This Row],[D 2pv]]+$E$7))</f>
        <v>called</v>
      </c>
      <c r="P42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1" s="21" t="str">
        <f>IF(Table4[[#This Row],[D captured of remain]]="called","called",Table4[[#This Row],[D captured of remain]]+Table4[[#This Row],[D pct]])</f>
        <v>called</v>
      </c>
      <c r="R421" s="22" t="str">
        <f>IF(Table4[[#This Row],[Expected D]]=1,"D",IF(Table4[[#This Row],[Expected R]]=1,"R",IF(Table4[[#This Row],[D total]]&gt;=0.5,"D","R")))</f>
        <v>R</v>
      </c>
      <c r="S421" s="22"/>
      <c r="V421" s="4"/>
    </row>
    <row r="422" spans="2:23" x14ac:dyDescent="0.35">
      <c r="B422" s="27">
        <v>413</v>
      </c>
      <c r="C422" s="2" t="s">
        <v>479</v>
      </c>
      <c r="D422" s="2" t="s">
        <v>284</v>
      </c>
      <c r="E422" s="4" t="s">
        <v>28</v>
      </c>
      <c r="F422" s="2" t="s">
        <v>608</v>
      </c>
      <c r="G422" s="4" t="s">
        <v>502</v>
      </c>
      <c r="H42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2" s="2" t="str">
        <f>IF(OR(LEFT(Table4[[#This Row],[win_prob]],1)="D",LEFT(Table4[[#This Row],[win_prob]],1)="R"),LEFT(Table4[[#This Row],[win_prob]],1),LEFT(Table4[[#This Row],[Category]],1))</f>
        <v>R</v>
      </c>
      <c r="J42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2" s="16" t="str">
        <f>RIGHT(Table4[[#This Row],[Margin]],LEN(Table4[[#This Row],[Margin]])-FIND("+",Table4[[#This Row],[Margin]]))</f>
        <v>39</v>
      </c>
      <c r="M422" s="20" t="str">
        <f>IF(Table4[[#This Row],[listedprob]]=1,"called",IF(LEFT(Table4[[#This Row],[Margin]],1)="D",(Table4[[#This Row],[Numeric Margin]]/2+50)/100,(-Table4[[#This Row],[Numeric Margin]]/2+50)/100))</f>
        <v>called</v>
      </c>
      <c r="N422" s="20" t="str">
        <f>IFERROR(IF(Table4[[#This Row],[D 2pv]]="called","called",Table4[[#This Row],[D 2pv]]*Table4[[#This Row],[Percent of votes in% In]]),Table4[[#This Row],[D 2pv]]*0.95)</f>
        <v>called</v>
      </c>
      <c r="O422" s="20" t="str">
        <f>IF(Table4[[#This Row],[D pct]]="called","called",(Table4[[#This Row],[D 2pv]]+$E$7))</f>
        <v>called</v>
      </c>
      <c r="P42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2" s="21" t="str">
        <f>IF(Table4[[#This Row],[D captured of remain]]="called","called",Table4[[#This Row],[D captured of remain]]+Table4[[#This Row],[D pct]])</f>
        <v>called</v>
      </c>
      <c r="R422" s="22" t="str">
        <f>IF(Table4[[#This Row],[Expected D]]=1,"D",IF(Table4[[#This Row],[Expected R]]=1,"R",IF(Table4[[#This Row],[D total]]&gt;=0.5,"D","R")))</f>
        <v>R</v>
      </c>
      <c r="S422" s="22"/>
      <c r="V422" s="4"/>
      <c r="W422" s="4"/>
    </row>
    <row r="423" spans="2:23" x14ac:dyDescent="0.35">
      <c r="B423" s="27">
        <v>414</v>
      </c>
      <c r="C423" s="2" t="s">
        <v>480</v>
      </c>
      <c r="D423" s="2" t="s">
        <v>284</v>
      </c>
      <c r="E423" s="4" t="s">
        <v>28</v>
      </c>
      <c r="F423" s="2" t="s">
        <v>596</v>
      </c>
      <c r="G423" s="4" t="s">
        <v>502</v>
      </c>
      <c r="H42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3" s="2" t="str">
        <f>IF(OR(LEFT(Table4[[#This Row],[win_prob]],1)="D",LEFT(Table4[[#This Row],[win_prob]],1)="R"),LEFT(Table4[[#This Row],[win_prob]],1),LEFT(Table4[[#This Row],[Category]],1))</f>
        <v>R</v>
      </c>
      <c r="J42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3" s="16" t="str">
        <f>RIGHT(Table4[[#This Row],[Margin]],LEN(Table4[[#This Row],[Margin]])-FIND("+",Table4[[#This Row],[Margin]]))</f>
        <v>29</v>
      </c>
      <c r="M423" s="20" t="str">
        <f>IF(Table4[[#This Row],[listedprob]]=1,"called",IF(LEFT(Table4[[#This Row],[Margin]],1)="D",(Table4[[#This Row],[Numeric Margin]]/2+50)/100,(-Table4[[#This Row],[Numeric Margin]]/2+50)/100))</f>
        <v>called</v>
      </c>
      <c r="N423" s="20" t="str">
        <f>IFERROR(IF(Table4[[#This Row],[D 2pv]]="called","called",Table4[[#This Row],[D 2pv]]*Table4[[#This Row],[Percent of votes in% In]]),Table4[[#This Row],[D 2pv]]*0.95)</f>
        <v>called</v>
      </c>
      <c r="O423" s="20" t="str">
        <f>IF(Table4[[#This Row],[D pct]]="called","called",(Table4[[#This Row],[D 2pv]]+$E$7))</f>
        <v>called</v>
      </c>
      <c r="P42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3" s="21" t="str">
        <f>IF(Table4[[#This Row],[D captured of remain]]="called","called",Table4[[#This Row],[D captured of remain]]+Table4[[#This Row],[D pct]])</f>
        <v>called</v>
      </c>
      <c r="R423" s="22" t="str">
        <f>IF(Table4[[#This Row],[Expected D]]=1,"D",IF(Table4[[#This Row],[Expected R]]=1,"R",IF(Table4[[#This Row],[D total]]&gt;=0.5,"D","R")))</f>
        <v>R</v>
      </c>
      <c r="S423" s="22"/>
      <c r="V423" s="4"/>
      <c r="W423" s="4"/>
    </row>
    <row r="424" spans="2:23" x14ac:dyDescent="0.35">
      <c r="B424" s="27">
        <v>415</v>
      </c>
      <c r="C424" s="2" t="s">
        <v>481</v>
      </c>
      <c r="D424" s="2" t="s">
        <v>320</v>
      </c>
      <c r="E424" s="4">
        <v>0</v>
      </c>
      <c r="F424" s="2" t="s">
        <v>577</v>
      </c>
      <c r="G424" s="4" t="s">
        <v>502</v>
      </c>
      <c r="H42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4" s="2" t="str">
        <f>IF(OR(LEFT(Table4[[#This Row],[win_prob]],1)="D",LEFT(Table4[[#This Row],[win_prob]],1)="R"),LEFT(Table4[[#This Row],[win_prob]],1),LEFT(Table4[[#This Row],[Category]],1))</f>
        <v>R</v>
      </c>
      <c r="J42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4" s="16" t="e">
        <f>RIGHT(Table4[[#This Row],[Margin]],LEN(Table4[[#This Row],[Margin]])-FIND("+",Table4[[#This Row],[Margin]]))</f>
        <v>#VALUE!</v>
      </c>
      <c r="M424" s="20" t="str">
        <f>IF(Table4[[#This Row],[listedprob]]=1,"called",IF(LEFT(Table4[[#This Row],[Margin]],1)="D",(Table4[[#This Row],[Numeric Margin]]/2+50)/100,(-Table4[[#This Row],[Numeric Margin]]/2+50)/100))</f>
        <v>called</v>
      </c>
      <c r="N424" s="20" t="str">
        <f>IFERROR(IF(Table4[[#This Row],[D 2pv]]="called","called",Table4[[#This Row],[D 2pv]]*Table4[[#This Row],[Percent of votes in% In]]),Table4[[#This Row],[D 2pv]]*0.95)</f>
        <v>called</v>
      </c>
      <c r="O424" s="20" t="str">
        <f>IF(Table4[[#This Row],[D pct]]="called","called",(Table4[[#This Row],[D 2pv]]+$E$7))</f>
        <v>called</v>
      </c>
      <c r="P42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4" s="21" t="str">
        <f>IF(Table4[[#This Row],[D captured of remain]]="called","called",Table4[[#This Row],[D captured of remain]]+Table4[[#This Row],[D pct]])</f>
        <v>called</v>
      </c>
      <c r="R424" s="22" t="str">
        <f>IF(Table4[[#This Row],[Expected D]]=1,"D",IF(Table4[[#This Row],[Expected R]]=1,"R",IF(Table4[[#This Row],[D total]]&gt;=0.5,"D","R")))</f>
        <v>R</v>
      </c>
      <c r="S424" s="22"/>
      <c r="V424" s="4"/>
    </row>
    <row r="425" spans="2:23" x14ac:dyDescent="0.35">
      <c r="B425" s="27">
        <v>416</v>
      </c>
      <c r="C425" s="2" t="s">
        <v>482</v>
      </c>
      <c r="D425" s="2" t="s">
        <v>284</v>
      </c>
      <c r="E425" s="4" t="s">
        <v>28</v>
      </c>
      <c r="F425" s="2" t="s">
        <v>608</v>
      </c>
      <c r="G425" s="4" t="s">
        <v>502</v>
      </c>
      <c r="H42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5" s="2" t="str">
        <f>IF(OR(LEFT(Table4[[#This Row],[win_prob]],1)="D",LEFT(Table4[[#This Row],[win_prob]],1)="R"),LEFT(Table4[[#This Row],[win_prob]],1),LEFT(Table4[[#This Row],[Category]],1))</f>
        <v>R</v>
      </c>
      <c r="J42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5" s="16" t="str">
        <f>RIGHT(Table4[[#This Row],[Margin]],LEN(Table4[[#This Row],[Margin]])-FIND("+",Table4[[#This Row],[Margin]]))</f>
        <v>39</v>
      </c>
      <c r="M425" s="20" t="str">
        <f>IF(Table4[[#This Row],[listedprob]]=1,"called",IF(LEFT(Table4[[#This Row],[Margin]],1)="D",(Table4[[#This Row],[Numeric Margin]]/2+50)/100,(-Table4[[#This Row],[Numeric Margin]]/2+50)/100))</f>
        <v>called</v>
      </c>
      <c r="N425" s="20" t="str">
        <f>IFERROR(IF(Table4[[#This Row],[D 2pv]]="called","called",Table4[[#This Row],[D 2pv]]*Table4[[#This Row],[Percent of votes in% In]]),Table4[[#This Row],[D 2pv]]*0.95)</f>
        <v>called</v>
      </c>
      <c r="O425" s="20" t="str">
        <f>IF(Table4[[#This Row],[D pct]]="called","called",(Table4[[#This Row],[D 2pv]]+$E$7))</f>
        <v>called</v>
      </c>
      <c r="P42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5" s="21" t="str">
        <f>IF(Table4[[#This Row],[D captured of remain]]="called","called",Table4[[#This Row],[D captured of remain]]+Table4[[#This Row],[D pct]])</f>
        <v>called</v>
      </c>
      <c r="R425" s="22" t="str">
        <f>IF(Table4[[#This Row],[Expected D]]=1,"D",IF(Table4[[#This Row],[Expected R]]=1,"R",IF(Table4[[#This Row],[D total]]&gt;=0.5,"D","R")))</f>
        <v>R</v>
      </c>
      <c r="S425" s="22"/>
      <c r="V425" s="4"/>
      <c r="W425" s="4"/>
    </row>
    <row r="426" spans="2:23" x14ac:dyDescent="0.35">
      <c r="B426" s="27">
        <v>417</v>
      </c>
      <c r="C426" s="2" t="s">
        <v>483</v>
      </c>
      <c r="D426" s="2" t="s">
        <v>284</v>
      </c>
      <c r="E426" s="4" t="s">
        <v>28</v>
      </c>
      <c r="F426" s="2" t="s">
        <v>591</v>
      </c>
      <c r="G426" s="4" t="s">
        <v>502</v>
      </c>
      <c r="H42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6" s="2" t="str">
        <f>IF(OR(LEFT(Table4[[#This Row],[win_prob]],1)="D",LEFT(Table4[[#This Row],[win_prob]],1)="R"),LEFT(Table4[[#This Row],[win_prob]],1),LEFT(Table4[[#This Row],[Category]],1))</f>
        <v>R</v>
      </c>
      <c r="J42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6" s="16" t="str">
        <f>RIGHT(Table4[[#This Row],[Margin]],LEN(Table4[[#This Row],[Margin]])-FIND("+",Table4[[#This Row],[Margin]]))</f>
        <v>28</v>
      </c>
      <c r="M426" s="20" t="str">
        <f>IF(Table4[[#This Row],[listedprob]]=1,"called",IF(LEFT(Table4[[#This Row],[Margin]],1)="D",(Table4[[#This Row],[Numeric Margin]]/2+50)/100,(-Table4[[#This Row],[Numeric Margin]]/2+50)/100))</f>
        <v>called</v>
      </c>
      <c r="N426" s="20" t="str">
        <f>IFERROR(IF(Table4[[#This Row],[D 2pv]]="called","called",Table4[[#This Row],[D 2pv]]*Table4[[#This Row],[Percent of votes in% In]]),Table4[[#This Row],[D 2pv]]*0.95)</f>
        <v>called</v>
      </c>
      <c r="O426" s="20" t="str">
        <f>IF(Table4[[#This Row],[D pct]]="called","called",(Table4[[#This Row],[D 2pv]]+$E$7))</f>
        <v>called</v>
      </c>
      <c r="P42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6" s="21" t="str">
        <f>IF(Table4[[#This Row],[D captured of remain]]="called","called",Table4[[#This Row],[D captured of remain]]+Table4[[#This Row],[D pct]])</f>
        <v>called</v>
      </c>
      <c r="R426" s="22" t="str">
        <f>IF(Table4[[#This Row],[Expected D]]=1,"D",IF(Table4[[#This Row],[Expected R]]=1,"R",IF(Table4[[#This Row],[D total]]&gt;=0.5,"D","R")))</f>
        <v>R</v>
      </c>
      <c r="S426" s="22"/>
      <c r="V426" s="4"/>
      <c r="W426" s="4"/>
    </row>
    <row r="427" spans="2:23" x14ac:dyDescent="0.35">
      <c r="B427" s="27">
        <v>418</v>
      </c>
      <c r="C427" s="2" t="s">
        <v>484</v>
      </c>
      <c r="D427" s="2" t="s">
        <v>284</v>
      </c>
      <c r="E427" s="4" t="s">
        <v>28</v>
      </c>
      <c r="F427" s="2" t="s">
        <v>600</v>
      </c>
      <c r="G427" s="4" t="s">
        <v>502</v>
      </c>
      <c r="H42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7" s="2" t="str">
        <f>IF(OR(LEFT(Table4[[#This Row],[win_prob]],1)="D",LEFT(Table4[[#This Row],[win_prob]],1)="R"),LEFT(Table4[[#This Row],[win_prob]],1),LEFT(Table4[[#This Row],[Category]],1))</f>
        <v>R</v>
      </c>
      <c r="J42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7" s="16" t="str">
        <f>RIGHT(Table4[[#This Row],[Margin]],LEN(Table4[[#This Row],[Margin]])-FIND("+",Table4[[#This Row],[Margin]]))</f>
        <v>34</v>
      </c>
      <c r="M427" s="20" t="str">
        <f>IF(Table4[[#This Row],[listedprob]]=1,"called",IF(LEFT(Table4[[#This Row],[Margin]],1)="D",(Table4[[#This Row],[Numeric Margin]]/2+50)/100,(-Table4[[#This Row],[Numeric Margin]]/2+50)/100))</f>
        <v>called</v>
      </c>
      <c r="N427" s="20" t="str">
        <f>IFERROR(IF(Table4[[#This Row],[D 2pv]]="called","called",Table4[[#This Row],[D 2pv]]*Table4[[#This Row],[Percent of votes in% In]]),Table4[[#This Row],[D 2pv]]*0.95)</f>
        <v>called</v>
      </c>
      <c r="O427" s="20" t="str">
        <f>IF(Table4[[#This Row],[D pct]]="called","called",(Table4[[#This Row],[D 2pv]]+$E$7))</f>
        <v>called</v>
      </c>
      <c r="P42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7" s="21" t="str">
        <f>IF(Table4[[#This Row],[D captured of remain]]="called","called",Table4[[#This Row],[D captured of remain]]+Table4[[#This Row],[D pct]])</f>
        <v>called</v>
      </c>
      <c r="R427" s="22" t="str">
        <f>IF(Table4[[#This Row],[Expected D]]=1,"D",IF(Table4[[#This Row],[Expected R]]=1,"R",IF(Table4[[#This Row],[D total]]&gt;=0.5,"D","R")))</f>
        <v>R</v>
      </c>
      <c r="S427" s="22"/>
      <c r="V427" s="4"/>
      <c r="W427" s="4"/>
    </row>
    <row r="428" spans="2:23" x14ac:dyDescent="0.35">
      <c r="B428" s="27">
        <v>419</v>
      </c>
      <c r="C428" s="2" t="s">
        <v>485</v>
      </c>
      <c r="D428" s="2" t="s">
        <v>284</v>
      </c>
      <c r="E428" s="4" t="s">
        <v>28</v>
      </c>
      <c r="F428" s="2" t="s">
        <v>587</v>
      </c>
      <c r="G428" s="4" t="s">
        <v>502</v>
      </c>
      <c r="H42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8" s="2" t="str">
        <f>IF(OR(LEFT(Table4[[#This Row],[win_prob]],1)="D",LEFT(Table4[[#This Row],[win_prob]],1)="R"),LEFT(Table4[[#This Row],[win_prob]],1),LEFT(Table4[[#This Row],[Category]],1))</f>
        <v>R</v>
      </c>
      <c r="J42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8" s="16" t="str">
        <f>RIGHT(Table4[[#This Row],[Margin]],LEN(Table4[[#This Row],[Margin]])-FIND("+",Table4[[#This Row],[Margin]]))</f>
        <v>26</v>
      </c>
      <c r="M428" s="20" t="str">
        <f>IF(Table4[[#This Row],[listedprob]]=1,"called",IF(LEFT(Table4[[#This Row],[Margin]],1)="D",(Table4[[#This Row],[Numeric Margin]]/2+50)/100,(-Table4[[#This Row],[Numeric Margin]]/2+50)/100))</f>
        <v>called</v>
      </c>
      <c r="N428" s="20" t="str">
        <f>IFERROR(IF(Table4[[#This Row],[D 2pv]]="called","called",Table4[[#This Row],[D 2pv]]*Table4[[#This Row],[Percent of votes in% In]]),Table4[[#This Row],[D 2pv]]*0.95)</f>
        <v>called</v>
      </c>
      <c r="O428" s="20" t="str">
        <f>IF(Table4[[#This Row],[D pct]]="called","called",(Table4[[#This Row],[D 2pv]]+$E$7))</f>
        <v>called</v>
      </c>
      <c r="P42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8" s="21" t="str">
        <f>IF(Table4[[#This Row],[D captured of remain]]="called","called",Table4[[#This Row],[D captured of remain]]+Table4[[#This Row],[D pct]])</f>
        <v>called</v>
      </c>
      <c r="R428" s="22" t="str">
        <f>IF(Table4[[#This Row],[Expected D]]=1,"D",IF(Table4[[#This Row],[Expected R]]=1,"R",IF(Table4[[#This Row],[D total]]&gt;=0.5,"D","R")))</f>
        <v>R</v>
      </c>
      <c r="S428" s="22"/>
      <c r="V428" s="4"/>
      <c r="W428" s="4"/>
    </row>
    <row r="429" spans="2:23" x14ac:dyDescent="0.35">
      <c r="B429" s="27">
        <v>420</v>
      </c>
      <c r="C429" s="2" t="s">
        <v>486</v>
      </c>
      <c r="D429" s="2" t="s">
        <v>284</v>
      </c>
      <c r="E429" s="4" t="s">
        <v>28</v>
      </c>
      <c r="F429" s="2" t="s">
        <v>584</v>
      </c>
      <c r="G429" s="4" t="s">
        <v>502</v>
      </c>
      <c r="H42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29" s="2" t="str">
        <f>IF(OR(LEFT(Table4[[#This Row],[win_prob]],1)="D",LEFT(Table4[[#This Row],[win_prob]],1)="R"),LEFT(Table4[[#This Row],[win_prob]],1),LEFT(Table4[[#This Row],[Category]],1))</f>
        <v>R</v>
      </c>
      <c r="J42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2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29" s="16" t="str">
        <f>RIGHT(Table4[[#This Row],[Margin]],LEN(Table4[[#This Row],[Margin]])-FIND("+",Table4[[#This Row],[Margin]]))</f>
        <v>35</v>
      </c>
      <c r="M429" s="20" t="str">
        <f>IF(Table4[[#This Row],[listedprob]]=1,"called",IF(LEFT(Table4[[#This Row],[Margin]],1)="D",(Table4[[#This Row],[Numeric Margin]]/2+50)/100,(-Table4[[#This Row],[Numeric Margin]]/2+50)/100))</f>
        <v>called</v>
      </c>
      <c r="N429" s="20" t="str">
        <f>IFERROR(IF(Table4[[#This Row],[D 2pv]]="called","called",Table4[[#This Row],[D 2pv]]*Table4[[#This Row],[Percent of votes in% In]]),Table4[[#This Row],[D 2pv]]*0.95)</f>
        <v>called</v>
      </c>
      <c r="O429" s="20" t="str">
        <f>IF(Table4[[#This Row],[D pct]]="called","called",(Table4[[#This Row],[D 2pv]]+$E$7))</f>
        <v>called</v>
      </c>
      <c r="P42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29" s="21" t="str">
        <f>IF(Table4[[#This Row],[D captured of remain]]="called","called",Table4[[#This Row],[D captured of remain]]+Table4[[#This Row],[D pct]])</f>
        <v>called</v>
      </c>
      <c r="R429" s="22" t="str">
        <f>IF(Table4[[#This Row],[Expected D]]=1,"D",IF(Table4[[#This Row],[Expected R]]=1,"R",IF(Table4[[#This Row],[D total]]&gt;=0.5,"D","R")))</f>
        <v>R</v>
      </c>
      <c r="S429" s="22"/>
      <c r="V429" s="4"/>
      <c r="W429" s="4"/>
    </row>
    <row r="430" spans="2:23" x14ac:dyDescent="0.35">
      <c r="B430" s="27">
        <v>421</v>
      </c>
      <c r="C430" s="2" t="s">
        <v>487</v>
      </c>
      <c r="D430" s="2" t="s">
        <v>284</v>
      </c>
      <c r="E430" s="4" t="s">
        <v>28</v>
      </c>
      <c r="F430" s="2" t="s">
        <v>596</v>
      </c>
      <c r="G430" s="4" t="s">
        <v>502</v>
      </c>
      <c r="H43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0" s="2" t="str">
        <f>IF(OR(LEFT(Table4[[#This Row],[win_prob]],1)="D",LEFT(Table4[[#This Row],[win_prob]],1)="R"),LEFT(Table4[[#This Row],[win_prob]],1),LEFT(Table4[[#This Row],[Category]],1))</f>
        <v>R</v>
      </c>
      <c r="J43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0" s="16" t="str">
        <f>RIGHT(Table4[[#This Row],[Margin]],LEN(Table4[[#This Row],[Margin]])-FIND("+",Table4[[#This Row],[Margin]]))</f>
        <v>29</v>
      </c>
      <c r="M430" s="20" t="str">
        <f>IF(Table4[[#This Row],[listedprob]]=1,"called",IF(LEFT(Table4[[#This Row],[Margin]],1)="D",(Table4[[#This Row],[Numeric Margin]]/2+50)/100,(-Table4[[#This Row],[Numeric Margin]]/2+50)/100))</f>
        <v>called</v>
      </c>
      <c r="N430" s="20" t="str">
        <f>IFERROR(IF(Table4[[#This Row],[D 2pv]]="called","called",Table4[[#This Row],[D 2pv]]*Table4[[#This Row],[Percent of votes in% In]]),Table4[[#This Row],[D 2pv]]*0.95)</f>
        <v>called</v>
      </c>
      <c r="O430" s="20" t="str">
        <f>IF(Table4[[#This Row],[D pct]]="called","called",(Table4[[#This Row],[D 2pv]]+$E$7))</f>
        <v>called</v>
      </c>
      <c r="P43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0" s="21" t="str">
        <f>IF(Table4[[#This Row],[D captured of remain]]="called","called",Table4[[#This Row],[D captured of remain]]+Table4[[#This Row],[D pct]])</f>
        <v>called</v>
      </c>
      <c r="R430" s="22" t="str">
        <f>IF(Table4[[#This Row],[Expected D]]=1,"D",IF(Table4[[#This Row],[Expected R]]=1,"R",IF(Table4[[#This Row],[D total]]&gt;=0.5,"D","R")))</f>
        <v>R</v>
      </c>
      <c r="S430" s="22"/>
      <c r="V430" s="4"/>
      <c r="W430" s="4"/>
    </row>
    <row r="431" spans="2:23" x14ac:dyDescent="0.35">
      <c r="B431" s="27">
        <v>422</v>
      </c>
      <c r="C431" s="2" t="s">
        <v>488</v>
      </c>
      <c r="D431" s="2" t="s">
        <v>284</v>
      </c>
      <c r="E431" s="4" t="s">
        <v>28</v>
      </c>
      <c r="F431" s="2" t="s">
        <v>569</v>
      </c>
      <c r="G431" s="4" t="s">
        <v>502</v>
      </c>
      <c r="H43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1" s="2" t="str">
        <f>IF(OR(LEFT(Table4[[#This Row],[win_prob]],1)="D",LEFT(Table4[[#This Row],[win_prob]],1)="R"),LEFT(Table4[[#This Row],[win_prob]],1),LEFT(Table4[[#This Row],[Category]],1))</f>
        <v>R</v>
      </c>
      <c r="J43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1" s="16" t="str">
        <f>RIGHT(Table4[[#This Row],[Margin]],LEN(Table4[[#This Row],[Margin]])-FIND("+",Table4[[#This Row],[Margin]]))</f>
        <v>14</v>
      </c>
      <c r="M431" s="20" t="str">
        <f>IF(Table4[[#This Row],[listedprob]]=1,"called",IF(LEFT(Table4[[#This Row],[Margin]],1)="D",(Table4[[#This Row],[Numeric Margin]]/2+50)/100,(-Table4[[#This Row],[Numeric Margin]]/2+50)/100))</f>
        <v>called</v>
      </c>
      <c r="N431" s="20" t="str">
        <f>IFERROR(IF(Table4[[#This Row],[D 2pv]]="called","called",Table4[[#This Row],[D 2pv]]*Table4[[#This Row],[Percent of votes in% In]]),Table4[[#This Row],[D 2pv]]*0.95)</f>
        <v>called</v>
      </c>
      <c r="O431" s="20" t="str">
        <f>IF(Table4[[#This Row],[D pct]]="called","called",(Table4[[#This Row],[D 2pv]]+$E$7))</f>
        <v>called</v>
      </c>
      <c r="P43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1" s="21" t="str">
        <f>IF(Table4[[#This Row],[D captured of remain]]="called","called",Table4[[#This Row],[D captured of remain]]+Table4[[#This Row],[D pct]])</f>
        <v>called</v>
      </c>
      <c r="R431" s="22" t="str">
        <f>IF(Table4[[#This Row],[Expected D]]=1,"D",IF(Table4[[#This Row],[Expected R]]=1,"R",IF(Table4[[#This Row],[D total]]&gt;=0.5,"D","R")))</f>
        <v>R</v>
      </c>
      <c r="S431" s="22"/>
      <c r="V431" s="4"/>
      <c r="W431" s="4"/>
    </row>
    <row r="432" spans="2:23" x14ac:dyDescent="0.35">
      <c r="B432" s="27">
        <v>423</v>
      </c>
      <c r="C432" s="2" t="s">
        <v>489</v>
      </c>
      <c r="D432" s="2" t="s">
        <v>284</v>
      </c>
      <c r="E432" s="4" t="s">
        <v>28</v>
      </c>
      <c r="F432" s="2" t="s">
        <v>234</v>
      </c>
      <c r="G432" s="4" t="s">
        <v>502</v>
      </c>
      <c r="H43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2" s="2" t="str">
        <f>IF(OR(LEFT(Table4[[#This Row],[win_prob]],1)="D",LEFT(Table4[[#This Row],[win_prob]],1)="R"),LEFT(Table4[[#This Row],[win_prob]],1),LEFT(Table4[[#This Row],[Category]],1))</f>
        <v>R</v>
      </c>
      <c r="J43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2" s="16" t="str">
        <f>RIGHT(Table4[[#This Row],[Margin]],LEN(Table4[[#This Row],[Margin]])-FIND("+",Table4[[#This Row],[Margin]]))</f>
        <v>15</v>
      </c>
      <c r="M432" s="20" t="str">
        <f>IF(Table4[[#This Row],[listedprob]]=1,"called",IF(LEFT(Table4[[#This Row],[Margin]],1)="D",(Table4[[#This Row],[Numeric Margin]]/2+50)/100,(-Table4[[#This Row],[Numeric Margin]]/2+50)/100))</f>
        <v>called</v>
      </c>
      <c r="N432" s="20" t="str">
        <f>IFERROR(IF(Table4[[#This Row],[D 2pv]]="called","called",Table4[[#This Row],[D 2pv]]*Table4[[#This Row],[Percent of votes in% In]]),Table4[[#This Row],[D 2pv]]*0.95)</f>
        <v>called</v>
      </c>
      <c r="O432" s="20" t="str">
        <f>IF(Table4[[#This Row],[D pct]]="called","called",(Table4[[#This Row],[D 2pv]]+$E$7))</f>
        <v>called</v>
      </c>
      <c r="P43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2" s="21" t="str">
        <f>IF(Table4[[#This Row],[D captured of remain]]="called","called",Table4[[#This Row],[D captured of remain]]+Table4[[#This Row],[D pct]])</f>
        <v>called</v>
      </c>
      <c r="R432" s="22" t="str">
        <f>IF(Table4[[#This Row],[Expected D]]=1,"D",IF(Table4[[#This Row],[Expected R]]=1,"R",IF(Table4[[#This Row],[D total]]&gt;=0.5,"D","R")))</f>
        <v>R</v>
      </c>
      <c r="S432" s="22"/>
      <c r="V432" s="4"/>
      <c r="W432" s="4"/>
    </row>
    <row r="433" spans="2:23" x14ac:dyDescent="0.35">
      <c r="B433" s="27">
        <v>424</v>
      </c>
      <c r="C433" s="2" t="s">
        <v>490</v>
      </c>
      <c r="D433" s="2" t="s">
        <v>284</v>
      </c>
      <c r="E433" s="4" t="s">
        <v>28</v>
      </c>
      <c r="F433" s="2" t="s">
        <v>596</v>
      </c>
      <c r="G433" s="4" t="s">
        <v>502</v>
      </c>
      <c r="H43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3" s="2" t="str">
        <f>IF(OR(LEFT(Table4[[#This Row],[win_prob]],1)="D",LEFT(Table4[[#This Row],[win_prob]],1)="R"),LEFT(Table4[[#This Row],[win_prob]],1),LEFT(Table4[[#This Row],[Category]],1))</f>
        <v>R</v>
      </c>
      <c r="J43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3" s="16" t="str">
        <f>RIGHT(Table4[[#This Row],[Margin]],LEN(Table4[[#This Row],[Margin]])-FIND("+",Table4[[#This Row],[Margin]]))</f>
        <v>29</v>
      </c>
      <c r="M433" s="20" t="str">
        <f>IF(Table4[[#This Row],[listedprob]]=1,"called",IF(LEFT(Table4[[#This Row],[Margin]],1)="D",(Table4[[#This Row],[Numeric Margin]]/2+50)/100,(-Table4[[#This Row],[Numeric Margin]]/2+50)/100))</f>
        <v>called</v>
      </c>
      <c r="N433" s="20" t="str">
        <f>IFERROR(IF(Table4[[#This Row],[D 2pv]]="called","called",Table4[[#This Row],[D 2pv]]*Table4[[#This Row],[Percent of votes in% In]]),Table4[[#This Row],[D 2pv]]*0.95)</f>
        <v>called</v>
      </c>
      <c r="O433" s="20" t="str">
        <f>IF(Table4[[#This Row],[D pct]]="called","called",(Table4[[#This Row],[D 2pv]]+$E$7))</f>
        <v>called</v>
      </c>
      <c r="P43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3" s="21" t="str">
        <f>IF(Table4[[#This Row],[D captured of remain]]="called","called",Table4[[#This Row],[D captured of remain]]+Table4[[#This Row],[D pct]])</f>
        <v>called</v>
      </c>
      <c r="R433" s="22" t="str">
        <f>IF(Table4[[#This Row],[Expected D]]=1,"D",IF(Table4[[#This Row],[Expected R]]=1,"R",IF(Table4[[#This Row],[D total]]&gt;=0.5,"D","R")))</f>
        <v>R</v>
      </c>
      <c r="S433" s="22"/>
      <c r="V433" s="4"/>
    </row>
    <row r="434" spans="2:23" x14ac:dyDescent="0.35">
      <c r="B434" s="27">
        <v>425</v>
      </c>
      <c r="C434" s="2" t="s">
        <v>491</v>
      </c>
      <c r="D434" s="2" t="s">
        <v>284</v>
      </c>
      <c r="E434" s="4" t="s">
        <v>28</v>
      </c>
      <c r="F434" s="2" t="s">
        <v>617</v>
      </c>
      <c r="G434" s="4" t="s">
        <v>502</v>
      </c>
      <c r="H43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4" s="2" t="str">
        <f>IF(OR(LEFT(Table4[[#This Row],[win_prob]],1)="D",LEFT(Table4[[#This Row],[win_prob]],1)="R"),LEFT(Table4[[#This Row],[win_prob]],1),LEFT(Table4[[#This Row],[Category]],1))</f>
        <v>R</v>
      </c>
      <c r="J43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4" s="16" t="str">
        <f>RIGHT(Table4[[#This Row],[Margin]],LEN(Table4[[#This Row],[Margin]])-FIND("+",Table4[[#This Row],[Margin]]))</f>
        <v>47</v>
      </c>
      <c r="M434" s="20" t="str">
        <f>IF(Table4[[#This Row],[listedprob]]=1,"called",IF(LEFT(Table4[[#This Row],[Margin]],1)="D",(Table4[[#This Row],[Numeric Margin]]/2+50)/100,(-Table4[[#This Row],[Numeric Margin]]/2+50)/100))</f>
        <v>called</v>
      </c>
      <c r="N434" s="20" t="str">
        <f>IFERROR(IF(Table4[[#This Row],[D 2pv]]="called","called",Table4[[#This Row],[D 2pv]]*Table4[[#This Row],[Percent of votes in% In]]),Table4[[#This Row],[D 2pv]]*0.95)</f>
        <v>called</v>
      </c>
      <c r="O434" s="20" t="str">
        <f>IF(Table4[[#This Row],[D pct]]="called","called",(Table4[[#This Row],[D 2pv]]+$E$7))</f>
        <v>called</v>
      </c>
      <c r="P43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4" s="21" t="str">
        <f>IF(Table4[[#This Row],[D captured of remain]]="called","called",Table4[[#This Row],[D captured of remain]]+Table4[[#This Row],[D pct]])</f>
        <v>called</v>
      </c>
      <c r="R434" s="22" t="str">
        <f>IF(Table4[[#This Row],[Expected D]]=1,"D",IF(Table4[[#This Row],[Expected R]]=1,"R",IF(Table4[[#This Row],[D total]]&gt;=0.5,"D","R")))</f>
        <v>R</v>
      </c>
      <c r="S434" s="22"/>
      <c r="V434" s="4"/>
    </row>
    <row r="435" spans="2:23" x14ac:dyDescent="0.35">
      <c r="B435" s="27">
        <v>426</v>
      </c>
      <c r="C435" s="2" t="s">
        <v>492</v>
      </c>
      <c r="D435" s="2" t="s">
        <v>284</v>
      </c>
      <c r="E435" s="4" t="s">
        <v>28</v>
      </c>
      <c r="F435" s="2" t="s">
        <v>586</v>
      </c>
      <c r="G435" s="4" t="s">
        <v>502</v>
      </c>
      <c r="H435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5" s="2" t="str">
        <f>IF(OR(LEFT(Table4[[#This Row],[win_prob]],1)="D",LEFT(Table4[[#This Row],[win_prob]],1)="R"),LEFT(Table4[[#This Row],[win_prob]],1),LEFT(Table4[[#This Row],[Category]],1))</f>
        <v>R</v>
      </c>
      <c r="J435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5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5" s="16" t="str">
        <f>RIGHT(Table4[[#This Row],[Margin]],LEN(Table4[[#This Row],[Margin]])-FIND("+",Table4[[#This Row],[Margin]]))</f>
        <v>36</v>
      </c>
      <c r="M435" s="20" t="str">
        <f>IF(Table4[[#This Row],[listedprob]]=1,"called",IF(LEFT(Table4[[#This Row],[Margin]],1)="D",(Table4[[#This Row],[Numeric Margin]]/2+50)/100,(-Table4[[#This Row],[Numeric Margin]]/2+50)/100))</f>
        <v>called</v>
      </c>
      <c r="N435" s="20" t="str">
        <f>IFERROR(IF(Table4[[#This Row],[D 2pv]]="called","called",Table4[[#This Row],[D 2pv]]*Table4[[#This Row],[Percent of votes in% In]]),Table4[[#This Row],[D 2pv]]*0.95)</f>
        <v>called</v>
      </c>
      <c r="O435" s="20" t="str">
        <f>IF(Table4[[#This Row],[D pct]]="called","called",(Table4[[#This Row],[D 2pv]]+$E$7))</f>
        <v>called</v>
      </c>
      <c r="P435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5" s="21" t="str">
        <f>IF(Table4[[#This Row],[D captured of remain]]="called","called",Table4[[#This Row],[D captured of remain]]+Table4[[#This Row],[D pct]])</f>
        <v>called</v>
      </c>
      <c r="R435" s="22" t="str">
        <f>IF(Table4[[#This Row],[Expected D]]=1,"D",IF(Table4[[#This Row],[Expected R]]=1,"R",IF(Table4[[#This Row],[D total]]&gt;=0.5,"D","R")))</f>
        <v>R</v>
      </c>
      <c r="S435" s="22"/>
      <c r="V435" s="4"/>
    </row>
    <row r="436" spans="2:23" x14ac:dyDescent="0.35">
      <c r="B436" s="27">
        <v>427</v>
      </c>
      <c r="C436" s="2" t="s">
        <v>493</v>
      </c>
      <c r="D436" s="2" t="s">
        <v>284</v>
      </c>
      <c r="E436" s="4">
        <v>0.91</v>
      </c>
      <c r="F436" s="2" t="s">
        <v>582</v>
      </c>
      <c r="G436" s="4" t="s">
        <v>502</v>
      </c>
      <c r="H436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6" s="2" t="str">
        <f>IF(OR(LEFT(Table4[[#This Row],[win_prob]],1)="D",LEFT(Table4[[#This Row],[win_prob]],1)="R"),LEFT(Table4[[#This Row],[win_prob]],1),LEFT(Table4[[#This Row],[Category]],1))</f>
        <v>R</v>
      </c>
      <c r="J436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6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6" s="16" t="str">
        <f>RIGHT(Table4[[#This Row],[Margin]],LEN(Table4[[#This Row],[Margin]])-FIND("+",Table4[[#This Row],[Margin]]))</f>
        <v>19</v>
      </c>
      <c r="M436" s="20" t="str">
        <f>IF(Table4[[#This Row],[listedprob]]=1,"called",IF(LEFT(Table4[[#This Row],[Margin]],1)="D",(Table4[[#This Row],[Numeric Margin]]/2+50)/100,(-Table4[[#This Row],[Numeric Margin]]/2+50)/100))</f>
        <v>called</v>
      </c>
      <c r="N436" s="20" t="str">
        <f>IFERROR(IF(Table4[[#This Row],[D 2pv]]="called","called",Table4[[#This Row],[D 2pv]]*Table4[[#This Row],[Percent of votes in% In]]),Table4[[#This Row],[D 2pv]]*0.95)</f>
        <v>called</v>
      </c>
      <c r="O436" s="20" t="str">
        <f>IF(Table4[[#This Row],[D pct]]="called","called",(Table4[[#This Row],[D 2pv]]+$E$7))</f>
        <v>called</v>
      </c>
      <c r="P436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6" s="21" t="str">
        <f>IF(Table4[[#This Row],[D captured of remain]]="called","called",Table4[[#This Row],[D captured of remain]]+Table4[[#This Row],[D pct]])</f>
        <v>called</v>
      </c>
      <c r="R436" s="22" t="str">
        <f>IF(Table4[[#This Row],[Expected D]]=1,"D",IF(Table4[[#This Row],[Expected R]]=1,"R",IF(Table4[[#This Row],[D total]]&gt;=0.5,"D","R")))</f>
        <v>R</v>
      </c>
      <c r="S436" s="22"/>
      <c r="V436" s="4"/>
      <c r="W436" s="4"/>
    </row>
    <row r="437" spans="2:23" x14ac:dyDescent="0.35">
      <c r="B437" s="27">
        <v>428</v>
      </c>
      <c r="C437" s="2" t="s">
        <v>494</v>
      </c>
      <c r="D437" s="2" t="s">
        <v>284</v>
      </c>
      <c r="E437" s="4" t="s">
        <v>28</v>
      </c>
      <c r="F437" s="2" t="s">
        <v>575</v>
      </c>
      <c r="G437" s="4" t="s">
        <v>502</v>
      </c>
      <c r="H437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7" s="2" t="str">
        <f>IF(OR(LEFT(Table4[[#This Row],[win_prob]],1)="D",LEFT(Table4[[#This Row],[win_prob]],1)="R"),LEFT(Table4[[#This Row],[win_prob]],1),LEFT(Table4[[#This Row],[Category]],1))</f>
        <v>R</v>
      </c>
      <c r="J437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7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7" s="16" t="str">
        <f>RIGHT(Table4[[#This Row],[Margin]],LEN(Table4[[#This Row],[Margin]])-FIND("+",Table4[[#This Row],[Margin]]))</f>
        <v>38</v>
      </c>
      <c r="M437" s="20" t="str">
        <f>IF(Table4[[#This Row],[listedprob]]=1,"called",IF(LEFT(Table4[[#This Row],[Margin]],1)="D",(Table4[[#This Row],[Numeric Margin]]/2+50)/100,(-Table4[[#This Row],[Numeric Margin]]/2+50)/100))</f>
        <v>called</v>
      </c>
      <c r="N437" s="20" t="str">
        <f>IFERROR(IF(Table4[[#This Row],[D 2pv]]="called","called",Table4[[#This Row],[D 2pv]]*Table4[[#This Row],[Percent of votes in% In]]),Table4[[#This Row],[D 2pv]]*0.95)</f>
        <v>called</v>
      </c>
      <c r="O437" s="20" t="str">
        <f>IF(Table4[[#This Row],[D pct]]="called","called",(Table4[[#This Row],[D 2pv]]+$E$7))</f>
        <v>called</v>
      </c>
      <c r="P437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7" s="21" t="str">
        <f>IF(Table4[[#This Row],[D captured of remain]]="called","called",Table4[[#This Row],[D captured of remain]]+Table4[[#This Row],[D pct]])</f>
        <v>called</v>
      </c>
      <c r="R437" s="22" t="str">
        <f>IF(Table4[[#This Row],[Expected D]]=1,"D",IF(Table4[[#This Row],[Expected R]]=1,"R",IF(Table4[[#This Row],[D total]]&gt;=0.5,"D","R")))</f>
        <v>R</v>
      </c>
      <c r="S437" s="22"/>
      <c r="V437" s="4"/>
      <c r="W437" s="4"/>
    </row>
    <row r="438" spans="2:23" x14ac:dyDescent="0.35">
      <c r="B438" s="27">
        <v>429</v>
      </c>
      <c r="C438" s="2" t="s">
        <v>495</v>
      </c>
      <c r="D438" s="2" t="s">
        <v>284</v>
      </c>
      <c r="E438" s="4" t="s">
        <v>28</v>
      </c>
      <c r="F438" s="2" t="s">
        <v>580</v>
      </c>
      <c r="G438" s="4" t="s">
        <v>502</v>
      </c>
      <c r="H438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8" s="2" t="str">
        <f>IF(OR(LEFT(Table4[[#This Row],[win_prob]],1)="D",LEFT(Table4[[#This Row],[win_prob]],1)="R"),LEFT(Table4[[#This Row],[win_prob]],1),LEFT(Table4[[#This Row],[Category]],1))</f>
        <v>R</v>
      </c>
      <c r="J438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8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8" s="16" t="str">
        <f>RIGHT(Table4[[#This Row],[Margin]],LEN(Table4[[#This Row],[Margin]])-FIND("+",Table4[[#This Row],[Margin]]))</f>
        <v>31</v>
      </c>
      <c r="M438" s="20" t="str">
        <f>IF(Table4[[#This Row],[listedprob]]=1,"called",IF(LEFT(Table4[[#This Row],[Margin]],1)="D",(Table4[[#This Row],[Numeric Margin]]/2+50)/100,(-Table4[[#This Row],[Numeric Margin]]/2+50)/100))</f>
        <v>called</v>
      </c>
      <c r="N438" s="20" t="str">
        <f>IFERROR(IF(Table4[[#This Row],[D 2pv]]="called","called",Table4[[#This Row],[D 2pv]]*Table4[[#This Row],[Percent of votes in% In]]),Table4[[#This Row],[D 2pv]]*0.95)</f>
        <v>called</v>
      </c>
      <c r="O438" s="20" t="str">
        <f>IF(Table4[[#This Row],[D pct]]="called","called",(Table4[[#This Row],[D 2pv]]+$E$7))</f>
        <v>called</v>
      </c>
      <c r="P438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8" s="21" t="str">
        <f>IF(Table4[[#This Row],[D captured of remain]]="called","called",Table4[[#This Row],[D captured of remain]]+Table4[[#This Row],[D pct]])</f>
        <v>called</v>
      </c>
      <c r="R438" s="22" t="str">
        <f>IF(Table4[[#This Row],[Expected D]]=1,"D",IF(Table4[[#This Row],[Expected R]]=1,"R",IF(Table4[[#This Row],[D total]]&gt;=0.5,"D","R")))</f>
        <v>R</v>
      </c>
      <c r="S438" s="22"/>
      <c r="W438" s="4"/>
    </row>
    <row r="439" spans="2:23" x14ac:dyDescent="0.35">
      <c r="B439" s="27">
        <v>430</v>
      </c>
      <c r="C439" s="2" t="s">
        <v>496</v>
      </c>
      <c r="D439" s="2" t="s">
        <v>284</v>
      </c>
      <c r="E439" s="2" t="s">
        <v>28</v>
      </c>
      <c r="F439" s="2" t="s">
        <v>570</v>
      </c>
      <c r="G439" s="4" t="s">
        <v>502</v>
      </c>
      <c r="H439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39" s="2" t="str">
        <f>IF(OR(LEFT(Table4[[#This Row],[win_prob]],1)="D",LEFT(Table4[[#This Row],[win_prob]],1)="R"),LEFT(Table4[[#This Row],[win_prob]],1),LEFT(Table4[[#This Row],[Category]],1))</f>
        <v>R</v>
      </c>
      <c r="J439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39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39" s="16" t="str">
        <f>RIGHT(Table4[[#This Row],[Margin]],LEN(Table4[[#This Row],[Margin]])-FIND("+",Table4[[#This Row],[Margin]]))</f>
        <v>9</v>
      </c>
      <c r="M439" s="20" t="str">
        <f>IF(Table4[[#This Row],[listedprob]]=1,"called",IF(LEFT(Table4[[#This Row],[Margin]],1)="D",(Table4[[#This Row],[Numeric Margin]]/2+50)/100,(-Table4[[#This Row],[Numeric Margin]]/2+50)/100))</f>
        <v>called</v>
      </c>
      <c r="N439" s="20" t="str">
        <f>IFERROR(IF(Table4[[#This Row],[D 2pv]]="called","called",Table4[[#This Row],[D 2pv]]*Table4[[#This Row],[Percent of votes in% In]]),Table4[[#This Row],[D 2pv]]*0.95)</f>
        <v>called</v>
      </c>
      <c r="O439" s="20" t="str">
        <f>IF(Table4[[#This Row],[D pct]]="called","called",(Table4[[#This Row],[D 2pv]]+$E$7))</f>
        <v>called</v>
      </c>
      <c r="P439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39" s="21" t="str">
        <f>IF(Table4[[#This Row],[D captured of remain]]="called","called",Table4[[#This Row],[D captured of remain]]+Table4[[#This Row],[D pct]])</f>
        <v>called</v>
      </c>
      <c r="R439" s="22" t="str">
        <f>IF(Table4[[#This Row],[Expected D]]=1,"D",IF(Table4[[#This Row],[Expected R]]=1,"R",IF(Table4[[#This Row],[D total]]&gt;=0.5,"D","R")))</f>
        <v>R</v>
      </c>
      <c r="S439" s="22"/>
    </row>
    <row r="440" spans="2:23" x14ac:dyDescent="0.35">
      <c r="B440" s="27">
        <v>431</v>
      </c>
      <c r="C440" s="2" t="s">
        <v>497</v>
      </c>
      <c r="D440" s="2" t="s">
        <v>284</v>
      </c>
      <c r="E440" s="2" t="s">
        <v>28</v>
      </c>
      <c r="F440" s="2" t="s">
        <v>596</v>
      </c>
      <c r="G440" s="4" t="s">
        <v>502</v>
      </c>
      <c r="H440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40" s="2" t="str">
        <f>IF(OR(LEFT(Table4[[#This Row],[win_prob]],1)="D",LEFT(Table4[[#This Row],[win_prob]],1)="R"),LEFT(Table4[[#This Row],[win_prob]],1),LEFT(Table4[[#This Row],[Category]],1))</f>
        <v>R</v>
      </c>
      <c r="J440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40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40" s="16" t="str">
        <f>RIGHT(Table4[[#This Row],[Margin]],LEN(Table4[[#This Row],[Margin]])-FIND("+",Table4[[#This Row],[Margin]]))</f>
        <v>29</v>
      </c>
      <c r="M440" s="20" t="str">
        <f>IF(Table4[[#This Row],[listedprob]]=1,"called",IF(LEFT(Table4[[#This Row],[Margin]],1)="D",(Table4[[#This Row],[Numeric Margin]]/2+50)/100,(-Table4[[#This Row],[Numeric Margin]]/2+50)/100))</f>
        <v>called</v>
      </c>
      <c r="N440" s="20" t="str">
        <f>IFERROR(IF(Table4[[#This Row],[D 2pv]]="called","called",Table4[[#This Row],[D 2pv]]*Table4[[#This Row],[Percent of votes in% In]]),Table4[[#This Row],[D 2pv]]*0.95)</f>
        <v>called</v>
      </c>
      <c r="O440" s="20" t="str">
        <f>IF(Table4[[#This Row],[D pct]]="called","called",(Table4[[#This Row],[D 2pv]]+$E$7))</f>
        <v>called</v>
      </c>
      <c r="P440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40" s="21" t="str">
        <f>IF(Table4[[#This Row],[D captured of remain]]="called","called",Table4[[#This Row],[D captured of remain]]+Table4[[#This Row],[D pct]])</f>
        <v>called</v>
      </c>
      <c r="R440" s="22" t="str">
        <f>IF(Table4[[#This Row],[Expected D]]=1,"D",IF(Table4[[#This Row],[Expected R]]=1,"R",IF(Table4[[#This Row],[D total]]&gt;=0.5,"D","R")))</f>
        <v>R</v>
      </c>
      <c r="S440" s="22"/>
      <c r="V440" s="4"/>
    </row>
    <row r="441" spans="2:23" x14ac:dyDescent="0.35">
      <c r="B441" s="27">
        <v>432</v>
      </c>
      <c r="C441" s="2" t="s">
        <v>498</v>
      </c>
      <c r="D441" s="2" t="s">
        <v>320</v>
      </c>
      <c r="E441" s="4">
        <v>0</v>
      </c>
      <c r="F441" s="2" t="s">
        <v>577</v>
      </c>
      <c r="G441" s="4" t="s">
        <v>502</v>
      </c>
      <c r="H441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41" s="2" t="str">
        <f>IF(OR(LEFT(Table4[[#This Row],[win_prob]],1)="D",LEFT(Table4[[#This Row],[win_prob]],1)="R"),LEFT(Table4[[#This Row],[win_prob]],1),LEFT(Table4[[#This Row],[Category]],1))</f>
        <v>R</v>
      </c>
      <c r="J441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41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41" s="16" t="e">
        <f>RIGHT(Table4[[#This Row],[Margin]],LEN(Table4[[#This Row],[Margin]])-FIND("+",Table4[[#This Row],[Margin]]))</f>
        <v>#VALUE!</v>
      </c>
      <c r="M441" s="20" t="str">
        <f>IF(Table4[[#This Row],[listedprob]]=1,"called",IF(LEFT(Table4[[#This Row],[Margin]],1)="D",(Table4[[#This Row],[Numeric Margin]]/2+50)/100,(-Table4[[#This Row],[Numeric Margin]]/2+50)/100))</f>
        <v>called</v>
      </c>
      <c r="N441" s="20" t="str">
        <f>IFERROR(IF(Table4[[#This Row],[D 2pv]]="called","called",Table4[[#This Row],[D 2pv]]*Table4[[#This Row],[Percent of votes in% In]]),Table4[[#This Row],[D 2pv]]*0.95)</f>
        <v>called</v>
      </c>
      <c r="O441" s="20" t="str">
        <f>IF(Table4[[#This Row],[D pct]]="called","called",(Table4[[#This Row],[D 2pv]]+$E$7))</f>
        <v>called</v>
      </c>
      <c r="P441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41" s="21" t="str">
        <f>IF(Table4[[#This Row],[D captured of remain]]="called","called",Table4[[#This Row],[D captured of remain]]+Table4[[#This Row],[D pct]])</f>
        <v>called</v>
      </c>
      <c r="R441" s="22" t="str">
        <f>IF(Table4[[#This Row],[Expected D]]=1,"D",IF(Table4[[#This Row],[Expected R]]=1,"R",IF(Table4[[#This Row],[D total]]&gt;=0.5,"D","R")))</f>
        <v>R</v>
      </c>
      <c r="S441" s="22"/>
    </row>
    <row r="442" spans="2:23" x14ac:dyDescent="0.35">
      <c r="B442" s="27">
        <v>433</v>
      </c>
      <c r="C442" s="2" t="s">
        <v>499</v>
      </c>
      <c r="D442" s="2" t="s">
        <v>284</v>
      </c>
      <c r="E442" s="2" t="s">
        <v>28</v>
      </c>
      <c r="F442" s="2" t="s">
        <v>567</v>
      </c>
      <c r="G442" s="4" t="s">
        <v>502</v>
      </c>
      <c r="H442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42" s="2" t="str">
        <f>IF(OR(LEFT(Table4[[#This Row],[win_prob]],1)="D",LEFT(Table4[[#This Row],[win_prob]],1)="R"),LEFT(Table4[[#This Row],[win_prob]],1),LEFT(Table4[[#This Row],[Category]],1))</f>
        <v>R</v>
      </c>
      <c r="J442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42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42" s="16" t="str">
        <f>RIGHT(Table4[[#This Row],[Margin]],LEN(Table4[[#This Row],[Margin]])-FIND("+",Table4[[#This Row],[Margin]]))</f>
        <v>24</v>
      </c>
      <c r="M442" s="20" t="str">
        <f>IF(Table4[[#This Row],[listedprob]]=1,"called",IF(LEFT(Table4[[#This Row],[Margin]],1)="D",(Table4[[#This Row],[Numeric Margin]]/2+50)/100,(-Table4[[#This Row],[Numeric Margin]]/2+50)/100))</f>
        <v>called</v>
      </c>
      <c r="N442" s="20" t="str">
        <f>IFERROR(IF(Table4[[#This Row],[D 2pv]]="called","called",Table4[[#This Row],[D 2pv]]*Table4[[#This Row],[Percent of votes in% In]]),Table4[[#This Row],[D 2pv]]*0.95)</f>
        <v>called</v>
      </c>
      <c r="O442" s="20" t="str">
        <f>IF(Table4[[#This Row],[D pct]]="called","called",(Table4[[#This Row],[D 2pv]]+$E$7))</f>
        <v>called</v>
      </c>
      <c r="P442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42" s="21" t="str">
        <f>IF(Table4[[#This Row],[D captured of remain]]="called","called",Table4[[#This Row],[D captured of remain]]+Table4[[#This Row],[D pct]])</f>
        <v>called</v>
      </c>
      <c r="R442" s="22" t="str">
        <f>IF(Table4[[#This Row],[Expected D]]=1,"D",IF(Table4[[#This Row],[Expected R]]=1,"R",IF(Table4[[#This Row],[D total]]&gt;=0.5,"D","R")))</f>
        <v>R</v>
      </c>
      <c r="S442" s="22"/>
      <c r="W442" s="4"/>
    </row>
    <row r="443" spans="2:23" x14ac:dyDescent="0.35">
      <c r="B443" s="27">
        <v>434</v>
      </c>
      <c r="C443" s="2" t="s">
        <v>500</v>
      </c>
      <c r="D443" s="2" t="s">
        <v>284</v>
      </c>
      <c r="E443" s="2" t="s">
        <v>28</v>
      </c>
      <c r="F443" s="2" t="s">
        <v>618</v>
      </c>
      <c r="G443" s="4" t="s">
        <v>502</v>
      </c>
      <c r="H443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43" s="2" t="str">
        <f>IF(OR(LEFT(Table4[[#This Row],[win_prob]],1)="D",LEFT(Table4[[#This Row],[win_prob]],1)="R"),LEFT(Table4[[#This Row],[win_prob]],1),LEFT(Table4[[#This Row],[Category]],1))</f>
        <v>R</v>
      </c>
      <c r="J443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43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43" s="16" t="str">
        <f>RIGHT(Table4[[#This Row],[Margin]],LEN(Table4[[#This Row],[Margin]])-FIND("+",Table4[[#This Row],[Margin]]))</f>
        <v>57</v>
      </c>
      <c r="M443" s="20" t="str">
        <f>IF(Table4[[#This Row],[listedprob]]=1,"called",IF(LEFT(Table4[[#This Row],[Margin]],1)="D",(Table4[[#This Row],[Numeric Margin]]/2+50)/100,(-Table4[[#This Row],[Numeric Margin]]/2+50)/100))</f>
        <v>called</v>
      </c>
      <c r="N443" s="20" t="str">
        <f>IFERROR(IF(Table4[[#This Row],[D 2pv]]="called","called",Table4[[#This Row],[D 2pv]]*Table4[[#This Row],[Percent of votes in% In]]),Table4[[#This Row],[D 2pv]]*0.95)</f>
        <v>called</v>
      </c>
      <c r="O443" s="20" t="str">
        <f>IF(Table4[[#This Row],[D pct]]="called","called",(Table4[[#This Row],[D 2pv]]+$E$7))</f>
        <v>called</v>
      </c>
      <c r="P443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43" s="21" t="str">
        <f>IF(Table4[[#This Row],[D captured of remain]]="called","called",Table4[[#This Row],[D captured of remain]]+Table4[[#This Row],[D pct]])</f>
        <v>called</v>
      </c>
      <c r="R443" s="22" t="str">
        <f>IF(Table4[[#This Row],[Expected D]]=1,"D",IF(Table4[[#This Row],[Expected R]]=1,"R",IF(Table4[[#This Row],[D total]]&gt;=0.5,"D","R")))</f>
        <v>R</v>
      </c>
      <c r="S443" s="22"/>
      <c r="V443" s="4"/>
      <c r="W443" s="4"/>
    </row>
    <row r="444" spans="2:23" x14ac:dyDescent="0.35">
      <c r="B444" s="27">
        <v>435</v>
      </c>
      <c r="C444" s="2" t="s">
        <v>501</v>
      </c>
      <c r="D444" s="2" t="s">
        <v>284</v>
      </c>
      <c r="E444" s="4">
        <v>1</v>
      </c>
      <c r="F444" s="2" t="s">
        <v>581</v>
      </c>
      <c r="G444" s="4" t="s">
        <v>502</v>
      </c>
      <c r="H444" s="16">
        <f>IFERROR(IF(OR(Table4[[#This Row],[win_prob]]="Dem.",Table4[[#This Row],[win_prob]]="Rep."),1,IF(Table4[[#This Row],[win_prob]]="—",IF(RIGHT(Table4[[#This Row],[Category]],4)="Easy",0.95,IF(RIGHT(Table4[[#This Row],[Category]],6)="Narrow",0.75,"get later")),IF(FIND("Unc.",Table4[[#This Row],[win_prob]])&gt;0,1,"actual p"))),MID(Table4[[#This Row],[win_prob]],LEN(Table4[[#This Row],[win_prob]])-2,2)/100)</f>
        <v>1</v>
      </c>
      <c r="I444" s="2" t="str">
        <f>IF(OR(LEFT(Table4[[#This Row],[win_prob]],1)="D",LEFT(Table4[[#This Row],[win_prob]],1)="R"),LEFT(Table4[[#This Row],[win_prob]],1),LEFT(Table4[[#This Row],[Category]],1))</f>
        <v>R</v>
      </c>
      <c r="J444" s="2">
        <f>IFERROR(IF(INDEX(Table5[Call],MATCH(Table4[[#This Row],[District]],Table5[Confirmed Calls (other outlets)],0))="D",1,"not here"),IF(Table4[[#This Row],[Favored]]="D",Table4[[#This Row],[listedprob]],1-Table4[[#This Row],[listedprob]]))</f>
        <v>0</v>
      </c>
      <c r="K444" s="16">
        <f>IFERROR(IF(INDEX(Table5[Call],MATCH(Table4[[#This Row],[District]],Table5[Confirmed Calls (other outlets)],0))="R",1,"not here"),IF(Table4[[#This Row],[Favored]]="R",Table4[[#This Row],[listedprob]],1-Table4[[#This Row],[listedprob]]))</f>
        <v>1</v>
      </c>
      <c r="L444" s="16" t="str">
        <f>RIGHT(Table4[[#This Row],[Margin]],LEN(Table4[[#This Row],[Margin]])-FIND("+",Table4[[#This Row],[Margin]]))</f>
        <v>45</v>
      </c>
      <c r="M444" s="20" t="str">
        <f>IF(Table4[[#This Row],[listedprob]]=1,"called",IF(LEFT(Table4[[#This Row],[Margin]],1)="D",(Table4[[#This Row],[Numeric Margin]]/2+50)/100,(-Table4[[#This Row],[Numeric Margin]]/2+50)/100))</f>
        <v>called</v>
      </c>
      <c r="N444" s="20" t="str">
        <f>IFERROR(IF(Table4[[#This Row],[D 2pv]]="called","called",Table4[[#This Row],[D 2pv]]*Table4[[#This Row],[Percent of votes in% In]]),Table4[[#This Row],[D 2pv]]*0.95)</f>
        <v>called</v>
      </c>
      <c r="O444" s="20" t="str">
        <f>IF(Table4[[#This Row],[D pct]]="called","called",(Table4[[#This Row],[D 2pv]]+$E$7))</f>
        <v>called</v>
      </c>
      <c r="P444" s="20" t="str">
        <f>IFERROR(IF(Table4[[#This Row],[D remaining pct]]="called","called",Table4[[#This Row],[D remaining pct]]*(1-Table4[[#This Row],[Percent of votes in% In]])),Table4[[#This Row],[D remaining pct]]*0.05)</f>
        <v>called</v>
      </c>
      <c r="Q444" s="21" t="str">
        <f>IF(Table4[[#This Row],[D captured of remain]]="called","called",Table4[[#This Row],[D captured of remain]]+Table4[[#This Row],[D pct]])</f>
        <v>called</v>
      </c>
      <c r="R444" s="22" t="str">
        <f>IF(Table4[[#This Row],[Expected D]]=1,"D",IF(Table4[[#This Row],[Expected R]]=1,"R",IF(Table4[[#This Row],[D total]]&gt;=0.5,"D","R")))</f>
        <v>R</v>
      </c>
      <c r="S444" s="22"/>
    </row>
  </sheetData>
  <mergeCells count="5">
    <mergeCell ref="F7:G7"/>
    <mergeCell ref="D6:G6"/>
    <mergeCell ref="F3:G3"/>
    <mergeCell ref="F4:G4"/>
    <mergeCell ref="D2:G2"/>
  </mergeCells>
  <conditionalFormatting sqref="E7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pane ySplit="1" topLeftCell="A109" activePane="bottomLeft" state="frozen"/>
      <selection pane="bottomLeft" activeCell="A151" sqref="A151"/>
    </sheetView>
  </sheetViews>
  <sheetFormatPr defaultRowHeight="14.5" x14ac:dyDescent="0.35"/>
  <sheetData>
    <row r="1" spans="1:4" x14ac:dyDescent="0.35">
      <c r="B1" s="1">
        <f>COUNTIF(A:A,"a")/COUNTA(A:A)</f>
        <v>0.24</v>
      </c>
      <c r="C1" s="1">
        <f>_xlfn.BETA.INV(0.025,COUNTIF(A:A,"a"),COUNTIF(A:A,"t"))</f>
        <v>0.1753177905991225</v>
      </c>
      <c r="D1" s="1">
        <f>_xlfn.BETA.INV(0.975,COUNTIF(A:A,"a"),COUNTIF(A:A,"t"))</f>
        <v>0.31124666803117951</v>
      </c>
    </row>
    <row r="2" spans="1:4" x14ac:dyDescent="0.35">
      <c r="A2" t="s">
        <v>648</v>
      </c>
    </row>
    <row r="3" spans="1:4" x14ac:dyDescent="0.35">
      <c r="A3" t="s">
        <v>649</v>
      </c>
    </row>
    <row r="4" spans="1:4" x14ac:dyDescent="0.35">
      <c r="A4" t="s">
        <v>648</v>
      </c>
    </row>
    <row r="5" spans="1:4" x14ac:dyDescent="0.35">
      <c r="A5" t="s">
        <v>648</v>
      </c>
    </row>
    <row r="6" spans="1:4" x14ac:dyDescent="0.35">
      <c r="A6" t="s">
        <v>648</v>
      </c>
    </row>
    <row r="7" spans="1:4" x14ac:dyDescent="0.35">
      <c r="A7" t="s">
        <v>648</v>
      </c>
    </row>
    <row r="8" spans="1:4" x14ac:dyDescent="0.35">
      <c r="A8" t="s">
        <v>649</v>
      </c>
    </row>
    <row r="9" spans="1:4" x14ac:dyDescent="0.35">
      <c r="A9" t="s">
        <v>648</v>
      </c>
    </row>
    <row r="10" spans="1:4" x14ac:dyDescent="0.35">
      <c r="A10" t="s">
        <v>648</v>
      </c>
    </row>
    <row r="11" spans="1:4" x14ac:dyDescent="0.35">
      <c r="A11" t="s">
        <v>649</v>
      </c>
    </row>
    <row r="12" spans="1:4" x14ac:dyDescent="0.35">
      <c r="A12" t="s">
        <v>648</v>
      </c>
    </row>
    <row r="13" spans="1:4" x14ac:dyDescent="0.35">
      <c r="A13" t="s">
        <v>648</v>
      </c>
    </row>
    <row r="14" spans="1:4" x14ac:dyDescent="0.35">
      <c r="A14" t="s">
        <v>648</v>
      </c>
    </row>
    <row r="15" spans="1:4" x14ac:dyDescent="0.35">
      <c r="A15" t="s">
        <v>648</v>
      </c>
    </row>
    <row r="16" spans="1:4" x14ac:dyDescent="0.35">
      <c r="A16" t="s">
        <v>649</v>
      </c>
    </row>
    <row r="17" spans="1:1" x14ac:dyDescent="0.35">
      <c r="A17" t="s">
        <v>648</v>
      </c>
    </row>
    <row r="18" spans="1:1" x14ac:dyDescent="0.35">
      <c r="A18" t="s">
        <v>648</v>
      </c>
    </row>
    <row r="19" spans="1:1" x14ac:dyDescent="0.35">
      <c r="A19" t="s">
        <v>648</v>
      </c>
    </row>
    <row r="20" spans="1:1" x14ac:dyDescent="0.35">
      <c r="A20" t="s">
        <v>648</v>
      </c>
    </row>
    <row r="21" spans="1:1" x14ac:dyDescent="0.35">
      <c r="A21" t="s">
        <v>649</v>
      </c>
    </row>
    <row r="22" spans="1:1" x14ac:dyDescent="0.35">
      <c r="A22" t="s">
        <v>648</v>
      </c>
    </row>
    <row r="23" spans="1:1" x14ac:dyDescent="0.35">
      <c r="A23" t="s">
        <v>648</v>
      </c>
    </row>
    <row r="24" spans="1:1" x14ac:dyDescent="0.35">
      <c r="A24" t="s">
        <v>648</v>
      </c>
    </row>
    <row r="25" spans="1:1" x14ac:dyDescent="0.35">
      <c r="A25" t="s">
        <v>648</v>
      </c>
    </row>
    <row r="26" spans="1:1" x14ac:dyDescent="0.35">
      <c r="A26" t="s">
        <v>649</v>
      </c>
    </row>
    <row r="27" spans="1:1" x14ac:dyDescent="0.35">
      <c r="A27" t="s">
        <v>648</v>
      </c>
    </row>
    <row r="28" spans="1:1" x14ac:dyDescent="0.35">
      <c r="A28" t="s">
        <v>648</v>
      </c>
    </row>
    <row r="29" spans="1:1" x14ac:dyDescent="0.35">
      <c r="A29" t="s">
        <v>649</v>
      </c>
    </row>
    <row r="30" spans="1:1" x14ac:dyDescent="0.35">
      <c r="A30" t="s">
        <v>648</v>
      </c>
    </row>
    <row r="31" spans="1:1" x14ac:dyDescent="0.35">
      <c r="A31" t="s">
        <v>648</v>
      </c>
    </row>
    <row r="32" spans="1:1" x14ac:dyDescent="0.35">
      <c r="A32" t="s">
        <v>648</v>
      </c>
    </row>
    <row r="33" spans="1:1" x14ac:dyDescent="0.35">
      <c r="A33" t="s">
        <v>648</v>
      </c>
    </row>
    <row r="34" spans="1:1" x14ac:dyDescent="0.35">
      <c r="A34" t="s">
        <v>649</v>
      </c>
    </row>
    <row r="35" spans="1:1" x14ac:dyDescent="0.35">
      <c r="A35" t="s">
        <v>648</v>
      </c>
    </row>
    <row r="36" spans="1:1" x14ac:dyDescent="0.35">
      <c r="A36" t="s">
        <v>648</v>
      </c>
    </row>
    <row r="37" spans="1:1" x14ac:dyDescent="0.35">
      <c r="A37" t="s">
        <v>649</v>
      </c>
    </row>
    <row r="38" spans="1:1" x14ac:dyDescent="0.35">
      <c r="A38" t="s">
        <v>648</v>
      </c>
    </row>
    <row r="39" spans="1:1" x14ac:dyDescent="0.35">
      <c r="A39" t="s">
        <v>648</v>
      </c>
    </row>
    <row r="40" spans="1:1" x14ac:dyDescent="0.35">
      <c r="A40" t="s">
        <v>649</v>
      </c>
    </row>
    <row r="41" spans="1:1" x14ac:dyDescent="0.35">
      <c r="A41" t="s">
        <v>648</v>
      </c>
    </row>
    <row r="42" spans="1:1" x14ac:dyDescent="0.35">
      <c r="A42" t="s">
        <v>648</v>
      </c>
    </row>
    <row r="43" spans="1:1" x14ac:dyDescent="0.35">
      <c r="A43" t="s">
        <v>648</v>
      </c>
    </row>
    <row r="44" spans="1:1" x14ac:dyDescent="0.35">
      <c r="A44" t="s">
        <v>649</v>
      </c>
    </row>
    <row r="45" spans="1:1" x14ac:dyDescent="0.35">
      <c r="A45" t="s">
        <v>648</v>
      </c>
    </row>
    <row r="46" spans="1:1" x14ac:dyDescent="0.35">
      <c r="A46" t="s">
        <v>648</v>
      </c>
    </row>
    <row r="47" spans="1:1" x14ac:dyDescent="0.35">
      <c r="A47" t="s">
        <v>648</v>
      </c>
    </row>
    <row r="48" spans="1:1" x14ac:dyDescent="0.35">
      <c r="A48" t="s">
        <v>649</v>
      </c>
    </row>
    <row r="49" spans="1:1" x14ac:dyDescent="0.35">
      <c r="A49" t="s">
        <v>648</v>
      </c>
    </row>
    <row r="50" spans="1:1" x14ac:dyDescent="0.35">
      <c r="A50" t="s">
        <v>648</v>
      </c>
    </row>
    <row r="51" spans="1:1" x14ac:dyDescent="0.35">
      <c r="A51" t="s">
        <v>648</v>
      </c>
    </row>
    <row r="52" spans="1:1" x14ac:dyDescent="0.35">
      <c r="A52" t="s">
        <v>649</v>
      </c>
    </row>
    <row r="53" spans="1:1" x14ac:dyDescent="0.35">
      <c r="A53" t="s">
        <v>648</v>
      </c>
    </row>
    <row r="54" spans="1:1" x14ac:dyDescent="0.35">
      <c r="A54" t="s">
        <v>648</v>
      </c>
    </row>
    <row r="55" spans="1:1" x14ac:dyDescent="0.35">
      <c r="A55" t="s">
        <v>648</v>
      </c>
    </row>
    <row r="56" spans="1:1" x14ac:dyDescent="0.35">
      <c r="A56" t="s">
        <v>648</v>
      </c>
    </row>
    <row r="57" spans="1:1" x14ac:dyDescent="0.35">
      <c r="A57" t="s">
        <v>649</v>
      </c>
    </row>
    <row r="58" spans="1:1" x14ac:dyDescent="0.35">
      <c r="A58" t="s">
        <v>648</v>
      </c>
    </row>
    <row r="59" spans="1:1" x14ac:dyDescent="0.35">
      <c r="A59" t="s">
        <v>648</v>
      </c>
    </row>
    <row r="60" spans="1:1" x14ac:dyDescent="0.35">
      <c r="A60" t="s">
        <v>648</v>
      </c>
    </row>
    <row r="61" spans="1:1" x14ac:dyDescent="0.35">
      <c r="A61" t="s">
        <v>648</v>
      </c>
    </row>
    <row r="62" spans="1:1" x14ac:dyDescent="0.35">
      <c r="A62" t="s">
        <v>649</v>
      </c>
    </row>
    <row r="63" spans="1:1" x14ac:dyDescent="0.35">
      <c r="A63" t="s">
        <v>648</v>
      </c>
    </row>
    <row r="64" spans="1:1" x14ac:dyDescent="0.35">
      <c r="A64" t="s">
        <v>648</v>
      </c>
    </row>
    <row r="65" spans="1:1" x14ac:dyDescent="0.35">
      <c r="A65" t="s">
        <v>648</v>
      </c>
    </row>
    <row r="66" spans="1:1" x14ac:dyDescent="0.35">
      <c r="A66" t="s">
        <v>648</v>
      </c>
    </row>
    <row r="67" spans="1:1" x14ac:dyDescent="0.35">
      <c r="A67" t="s">
        <v>649</v>
      </c>
    </row>
    <row r="68" spans="1:1" x14ac:dyDescent="0.35">
      <c r="A68" t="s">
        <v>648</v>
      </c>
    </row>
    <row r="69" spans="1:1" x14ac:dyDescent="0.35">
      <c r="A69" t="s">
        <v>648</v>
      </c>
    </row>
    <row r="70" spans="1:1" x14ac:dyDescent="0.35">
      <c r="A70" t="s">
        <v>648</v>
      </c>
    </row>
    <row r="71" spans="1:1" x14ac:dyDescent="0.35">
      <c r="A71" t="s">
        <v>649</v>
      </c>
    </row>
    <row r="72" spans="1:1" x14ac:dyDescent="0.35">
      <c r="A72" t="s">
        <v>648</v>
      </c>
    </row>
    <row r="73" spans="1:1" x14ac:dyDescent="0.35">
      <c r="A73" t="s">
        <v>648</v>
      </c>
    </row>
    <row r="74" spans="1:1" x14ac:dyDescent="0.35">
      <c r="A74" t="s">
        <v>648</v>
      </c>
    </row>
    <row r="75" spans="1:1" x14ac:dyDescent="0.35">
      <c r="A75" t="s">
        <v>649</v>
      </c>
    </row>
    <row r="76" spans="1:1" x14ac:dyDescent="0.35">
      <c r="A76" t="s">
        <v>648</v>
      </c>
    </row>
    <row r="77" spans="1:1" x14ac:dyDescent="0.35">
      <c r="A77" t="s">
        <v>648</v>
      </c>
    </row>
    <row r="78" spans="1:1" x14ac:dyDescent="0.35">
      <c r="A78" t="s">
        <v>649</v>
      </c>
    </row>
    <row r="79" spans="1:1" x14ac:dyDescent="0.35">
      <c r="A79" t="s">
        <v>648</v>
      </c>
    </row>
    <row r="80" spans="1:1" x14ac:dyDescent="0.35">
      <c r="A80" t="s">
        <v>648</v>
      </c>
    </row>
    <row r="81" spans="1:1" x14ac:dyDescent="0.35">
      <c r="A81" t="s">
        <v>649</v>
      </c>
    </row>
    <row r="82" spans="1:1" x14ac:dyDescent="0.35">
      <c r="A82" t="s">
        <v>648</v>
      </c>
    </row>
    <row r="83" spans="1:1" x14ac:dyDescent="0.35">
      <c r="A83" t="s">
        <v>648</v>
      </c>
    </row>
    <row r="84" spans="1:1" x14ac:dyDescent="0.35">
      <c r="A84" t="s">
        <v>648</v>
      </c>
    </row>
    <row r="85" spans="1:1" x14ac:dyDescent="0.35">
      <c r="A85" t="s">
        <v>649</v>
      </c>
    </row>
    <row r="86" spans="1:1" x14ac:dyDescent="0.35">
      <c r="A86" t="s">
        <v>648</v>
      </c>
    </row>
    <row r="87" spans="1:1" x14ac:dyDescent="0.35">
      <c r="A87" t="s">
        <v>648</v>
      </c>
    </row>
    <row r="88" spans="1:1" x14ac:dyDescent="0.35">
      <c r="A88" t="s">
        <v>649</v>
      </c>
    </row>
    <row r="89" spans="1:1" x14ac:dyDescent="0.35">
      <c r="A89" t="s">
        <v>648</v>
      </c>
    </row>
    <row r="90" spans="1:1" x14ac:dyDescent="0.35">
      <c r="A90" t="s">
        <v>648</v>
      </c>
    </row>
    <row r="91" spans="1:1" x14ac:dyDescent="0.35">
      <c r="A91" t="s">
        <v>648</v>
      </c>
    </row>
    <row r="92" spans="1:1" x14ac:dyDescent="0.35">
      <c r="A92" t="s">
        <v>648</v>
      </c>
    </row>
    <row r="93" spans="1:1" x14ac:dyDescent="0.35">
      <c r="A93" t="s">
        <v>648</v>
      </c>
    </row>
    <row r="94" spans="1:1" x14ac:dyDescent="0.35">
      <c r="A94" t="s">
        <v>649</v>
      </c>
    </row>
    <row r="95" spans="1:1" x14ac:dyDescent="0.35">
      <c r="A95" t="s">
        <v>648</v>
      </c>
    </row>
    <row r="96" spans="1:1" x14ac:dyDescent="0.35">
      <c r="A96" t="s">
        <v>648</v>
      </c>
    </row>
    <row r="97" spans="1:1" x14ac:dyDescent="0.35">
      <c r="A97" t="s">
        <v>648</v>
      </c>
    </row>
    <row r="98" spans="1:1" x14ac:dyDescent="0.35">
      <c r="A98" t="s">
        <v>648</v>
      </c>
    </row>
    <row r="99" spans="1:1" x14ac:dyDescent="0.35">
      <c r="A99" t="s">
        <v>649</v>
      </c>
    </row>
    <row r="100" spans="1:1" x14ac:dyDescent="0.35">
      <c r="A100" t="s">
        <v>648</v>
      </c>
    </row>
    <row r="101" spans="1:1" x14ac:dyDescent="0.35">
      <c r="A101" t="s">
        <v>648</v>
      </c>
    </row>
    <row r="102" spans="1:1" x14ac:dyDescent="0.35">
      <c r="A102" t="s">
        <v>648</v>
      </c>
    </row>
    <row r="103" spans="1:1" x14ac:dyDescent="0.35">
      <c r="A103" t="s">
        <v>648</v>
      </c>
    </row>
    <row r="104" spans="1:1" x14ac:dyDescent="0.35">
      <c r="A104" t="s">
        <v>648</v>
      </c>
    </row>
    <row r="105" spans="1:1" x14ac:dyDescent="0.35">
      <c r="A105" t="s">
        <v>649</v>
      </c>
    </row>
    <row r="106" spans="1:1" x14ac:dyDescent="0.35">
      <c r="A106" t="s">
        <v>648</v>
      </c>
    </row>
    <row r="107" spans="1:1" x14ac:dyDescent="0.35">
      <c r="A107" t="s">
        <v>648</v>
      </c>
    </row>
    <row r="108" spans="1:1" x14ac:dyDescent="0.35">
      <c r="A108" t="s">
        <v>649</v>
      </c>
    </row>
    <row r="109" spans="1:1" x14ac:dyDescent="0.35">
      <c r="A109" t="s">
        <v>648</v>
      </c>
    </row>
    <row r="110" spans="1:1" x14ac:dyDescent="0.35">
      <c r="A110" t="s">
        <v>648</v>
      </c>
    </row>
    <row r="111" spans="1:1" x14ac:dyDescent="0.35">
      <c r="A111" t="s">
        <v>648</v>
      </c>
    </row>
    <row r="112" spans="1:1" x14ac:dyDescent="0.35">
      <c r="A112" t="s">
        <v>649</v>
      </c>
    </row>
    <row r="113" spans="1:1" x14ac:dyDescent="0.35">
      <c r="A113" t="s">
        <v>648</v>
      </c>
    </row>
    <row r="114" spans="1:1" x14ac:dyDescent="0.35">
      <c r="A114" t="s">
        <v>648</v>
      </c>
    </row>
    <row r="115" spans="1:1" x14ac:dyDescent="0.35">
      <c r="A115" t="s">
        <v>649</v>
      </c>
    </row>
    <row r="116" spans="1:1" x14ac:dyDescent="0.35">
      <c r="A116" t="s">
        <v>648</v>
      </c>
    </row>
    <row r="117" spans="1:1" x14ac:dyDescent="0.35">
      <c r="A117" t="s">
        <v>648</v>
      </c>
    </row>
    <row r="118" spans="1:1" x14ac:dyDescent="0.35">
      <c r="A118" t="s">
        <v>649</v>
      </c>
    </row>
    <row r="119" spans="1:1" x14ac:dyDescent="0.35">
      <c r="A119" t="s">
        <v>648</v>
      </c>
    </row>
    <row r="120" spans="1:1" x14ac:dyDescent="0.35">
      <c r="A120" t="s">
        <v>648</v>
      </c>
    </row>
    <row r="121" spans="1:1" x14ac:dyDescent="0.35">
      <c r="A121" t="s">
        <v>649</v>
      </c>
    </row>
    <row r="122" spans="1:1" x14ac:dyDescent="0.35">
      <c r="A122" t="s">
        <v>648</v>
      </c>
    </row>
    <row r="123" spans="1:1" x14ac:dyDescent="0.35">
      <c r="A123" t="s">
        <v>648</v>
      </c>
    </row>
    <row r="124" spans="1:1" x14ac:dyDescent="0.35">
      <c r="A124" t="s">
        <v>648</v>
      </c>
    </row>
    <row r="125" spans="1:1" x14ac:dyDescent="0.35">
      <c r="A125" t="s">
        <v>648</v>
      </c>
    </row>
    <row r="126" spans="1:1" x14ac:dyDescent="0.35">
      <c r="A126" t="s">
        <v>649</v>
      </c>
    </row>
    <row r="127" spans="1:1" x14ac:dyDescent="0.35">
      <c r="A127" t="s">
        <v>648</v>
      </c>
    </row>
    <row r="128" spans="1:1" x14ac:dyDescent="0.35">
      <c r="A128" t="s">
        <v>648</v>
      </c>
    </row>
    <row r="129" spans="1:1" x14ac:dyDescent="0.35">
      <c r="A129" t="s">
        <v>648</v>
      </c>
    </row>
    <row r="130" spans="1:1" x14ac:dyDescent="0.35">
      <c r="A130" t="s">
        <v>648</v>
      </c>
    </row>
    <row r="131" spans="1:1" x14ac:dyDescent="0.35">
      <c r="A131" t="s">
        <v>648</v>
      </c>
    </row>
    <row r="132" spans="1:1" x14ac:dyDescent="0.35">
      <c r="A132" t="s">
        <v>649</v>
      </c>
    </row>
    <row r="133" spans="1:1" x14ac:dyDescent="0.35">
      <c r="A133" t="s">
        <v>648</v>
      </c>
    </row>
    <row r="134" spans="1:1" x14ac:dyDescent="0.35">
      <c r="A134" t="s">
        <v>648</v>
      </c>
    </row>
    <row r="135" spans="1:1" x14ac:dyDescent="0.35">
      <c r="A135" t="s">
        <v>648</v>
      </c>
    </row>
    <row r="136" spans="1:1" x14ac:dyDescent="0.35">
      <c r="A136" t="s">
        <v>648</v>
      </c>
    </row>
    <row r="137" spans="1:1" x14ac:dyDescent="0.35">
      <c r="A137" t="s">
        <v>649</v>
      </c>
    </row>
    <row r="138" spans="1:1" x14ac:dyDescent="0.35">
      <c r="A138" t="s">
        <v>648</v>
      </c>
    </row>
    <row r="139" spans="1:1" x14ac:dyDescent="0.35">
      <c r="A139" t="s">
        <v>648</v>
      </c>
    </row>
    <row r="140" spans="1:1" x14ac:dyDescent="0.35">
      <c r="A140" t="s">
        <v>649</v>
      </c>
    </row>
    <row r="141" spans="1:1" x14ac:dyDescent="0.35">
      <c r="A141" t="s">
        <v>648</v>
      </c>
    </row>
    <row r="142" spans="1:1" x14ac:dyDescent="0.35">
      <c r="A142" t="s">
        <v>648</v>
      </c>
    </row>
    <row r="143" spans="1:1" x14ac:dyDescent="0.35">
      <c r="A143" t="s">
        <v>648</v>
      </c>
    </row>
    <row r="144" spans="1:1" x14ac:dyDescent="0.35">
      <c r="A144" t="s">
        <v>648</v>
      </c>
    </row>
    <row r="145" spans="1:1" x14ac:dyDescent="0.35">
      <c r="A145" t="s">
        <v>649</v>
      </c>
    </row>
    <row r="146" spans="1:1" x14ac:dyDescent="0.35">
      <c r="A146" t="s">
        <v>648</v>
      </c>
    </row>
    <row r="147" spans="1:1" x14ac:dyDescent="0.35">
      <c r="A147" t="s">
        <v>648</v>
      </c>
    </row>
    <row r="148" spans="1:1" x14ac:dyDescent="0.35">
      <c r="A148" t="s">
        <v>648</v>
      </c>
    </row>
    <row r="149" spans="1:1" x14ac:dyDescent="0.35">
      <c r="A149" t="s">
        <v>648</v>
      </c>
    </row>
    <row r="150" spans="1:1" x14ac:dyDescent="0.35">
      <c r="A150" t="s">
        <v>649</v>
      </c>
    </row>
    <row r="151" spans="1:1" x14ac:dyDescent="0.35">
      <c r="A15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 GOV</vt:lpstr>
      <vt:lpstr>House</vt:lpstr>
      <vt:lpstr>Sheet3</vt:lpstr>
    </vt:vector>
  </TitlesOfParts>
  <Company>MHHS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Mark</dc:creator>
  <cp:lastModifiedBy>Rieke, Mark</cp:lastModifiedBy>
  <dcterms:created xsi:type="dcterms:W3CDTF">2022-11-09T14:41:00Z</dcterms:created>
  <dcterms:modified xsi:type="dcterms:W3CDTF">2022-11-18T22:30:02Z</dcterms:modified>
</cp:coreProperties>
</file>