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64204\Desktop\master\raw-data\"/>
    </mc:Choice>
  </mc:AlternateContent>
  <xr:revisionPtr revIDLastSave="0" documentId="13_ncr:1_{DEDA8462-3492-4C64-8E50-97E616E9B7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4" i="1"/>
  <c r="F31" i="1"/>
  <c r="F28" i="1"/>
  <c r="F33" i="1"/>
  <c r="F30" i="1"/>
  <c r="F27" i="1"/>
  <c r="F32" i="1"/>
  <c r="F29" i="1"/>
  <c r="F26" i="1"/>
  <c r="E34" i="1"/>
  <c r="E31" i="1"/>
  <c r="E33" i="1"/>
  <c r="E30" i="1"/>
  <c r="E28" i="1"/>
  <c r="E27" i="1"/>
  <c r="E42" i="1"/>
  <c r="E41" i="1"/>
  <c r="E40" i="1"/>
  <c r="B34" i="1"/>
  <c r="B44" i="1" s="1"/>
  <c r="B33" i="1"/>
  <c r="B43" i="1" s="1"/>
  <c r="B32" i="1"/>
  <c r="B31" i="1"/>
  <c r="B41" i="1" s="1"/>
  <c r="B30" i="1"/>
  <c r="B40" i="1" s="1"/>
  <c r="B29" i="1"/>
  <c r="E37" i="1" s="1"/>
  <c r="B28" i="1"/>
  <c r="B27" i="1"/>
  <c r="E38" i="1"/>
  <c r="L20" i="1"/>
  <c r="L19" i="1"/>
  <c r="L18" i="1"/>
  <c r="M20" i="1"/>
  <c r="M19" i="1"/>
  <c r="M18" i="1"/>
  <c r="L17" i="1"/>
  <c r="L16" i="1"/>
  <c r="L15" i="1"/>
  <c r="M17" i="1"/>
  <c r="M16" i="1"/>
  <c r="M15" i="1"/>
  <c r="E20" i="1"/>
  <c r="E19" i="1"/>
  <c r="E18" i="1"/>
  <c r="F20" i="1"/>
  <c r="F19" i="1"/>
  <c r="F18" i="1"/>
  <c r="E17" i="1"/>
  <c r="E16" i="1"/>
  <c r="E15" i="1"/>
  <c r="F17" i="1"/>
  <c r="F16" i="1"/>
  <c r="C37" i="1"/>
  <c r="C38" i="1"/>
  <c r="C39" i="1"/>
  <c r="C40" i="1"/>
  <c r="C41" i="1"/>
  <c r="C42" i="1"/>
  <c r="C43" i="1"/>
  <c r="C44" i="1"/>
  <c r="C36" i="1"/>
  <c r="B37" i="1"/>
  <c r="B38" i="1"/>
  <c r="B39" i="1"/>
  <c r="B42" i="1"/>
  <c r="B36" i="1"/>
  <c r="C34" i="1"/>
  <c r="C33" i="1"/>
  <c r="C32" i="1"/>
  <c r="C29" i="1"/>
  <c r="C31" i="1"/>
  <c r="C30" i="1"/>
  <c r="C28" i="1"/>
  <c r="C27" i="1"/>
  <c r="C26" i="1"/>
  <c r="B26" i="1"/>
  <c r="M12" i="1"/>
  <c r="M9" i="1"/>
  <c r="M6" i="1"/>
  <c r="M11" i="1"/>
  <c r="M8" i="1"/>
  <c r="M5" i="1"/>
  <c r="M10" i="1"/>
  <c r="M7" i="1"/>
  <c r="M4" i="1"/>
  <c r="L12" i="1"/>
  <c r="L9" i="1"/>
  <c r="L6" i="1"/>
  <c r="L11" i="1"/>
  <c r="L8" i="1"/>
  <c r="L4" i="1"/>
  <c r="L5" i="1"/>
  <c r="L7" i="1"/>
  <c r="L10" i="1"/>
  <c r="J15" i="1"/>
  <c r="J16" i="1"/>
  <c r="J17" i="1"/>
  <c r="J18" i="1"/>
  <c r="J19" i="1"/>
  <c r="J20" i="1"/>
  <c r="J21" i="1"/>
  <c r="J22" i="1"/>
  <c r="J14" i="1"/>
  <c r="I15" i="1"/>
  <c r="I16" i="1"/>
  <c r="I17" i="1"/>
  <c r="I18" i="1"/>
  <c r="I19" i="1"/>
  <c r="I20" i="1"/>
  <c r="I21" i="1"/>
  <c r="I22" i="1"/>
  <c r="I14" i="1"/>
  <c r="J12" i="1"/>
  <c r="J11" i="1"/>
  <c r="J10" i="1"/>
  <c r="J9" i="1"/>
  <c r="J8" i="1"/>
  <c r="J7" i="1"/>
  <c r="J6" i="1"/>
  <c r="J5" i="1"/>
  <c r="J4" i="1"/>
  <c r="I12" i="1"/>
  <c r="I11" i="1"/>
  <c r="I10" i="1"/>
  <c r="I9" i="1"/>
  <c r="I8" i="1"/>
  <c r="I7" i="1"/>
  <c r="I6" i="1"/>
  <c r="I5" i="1"/>
  <c r="I4" i="1"/>
  <c r="F12" i="1"/>
  <c r="F9" i="1"/>
  <c r="F6" i="1"/>
  <c r="F8" i="1"/>
  <c r="F5" i="1"/>
  <c r="F10" i="1"/>
  <c r="F7" i="1"/>
  <c r="F4" i="1"/>
  <c r="E12" i="1"/>
  <c r="E6" i="1"/>
  <c r="E9" i="1"/>
  <c r="E11" i="1"/>
  <c r="E8" i="1"/>
  <c r="E5" i="1"/>
  <c r="B4" i="1"/>
  <c r="B14" i="1" s="1"/>
  <c r="C12" i="1"/>
  <c r="C22" i="1" s="1"/>
  <c r="C11" i="1"/>
  <c r="C21" i="1" s="1"/>
  <c r="C9" i="1"/>
  <c r="C19" i="1" s="1"/>
  <c r="C8" i="1"/>
  <c r="C18" i="1" s="1"/>
  <c r="C6" i="1"/>
  <c r="C16" i="1" s="1"/>
  <c r="C5" i="1"/>
  <c r="C15" i="1" s="1"/>
  <c r="B11" i="1"/>
  <c r="B21" i="1" s="1"/>
  <c r="B12" i="1"/>
  <c r="B22" i="1" s="1"/>
  <c r="B8" i="1"/>
  <c r="B18" i="1" s="1"/>
  <c r="B9" i="1"/>
  <c r="B19" i="1" s="1"/>
  <c r="B5" i="1"/>
  <c r="B15" i="1" s="1"/>
  <c r="B6" i="1"/>
  <c r="B16" i="1" s="1"/>
  <c r="C10" i="1"/>
  <c r="C20" i="1" s="1"/>
  <c r="C7" i="1"/>
  <c r="C17" i="1" s="1"/>
  <c r="C4" i="1"/>
  <c r="C14" i="1" s="1"/>
  <c r="B10" i="1"/>
  <c r="B20" i="1" s="1"/>
  <c r="B7" i="1"/>
  <c r="B17" i="1" s="1"/>
  <c r="E39" i="1" l="1"/>
</calcChain>
</file>

<file path=xl/sharedStrings.xml><?xml version="1.0" encoding="utf-8"?>
<sst xmlns="http://schemas.openxmlformats.org/spreadsheetml/2006/main" count="126" uniqueCount="32">
  <si>
    <t>Std. inoculum (CFU/mL)</t>
  </si>
  <si>
    <t>Std. CFU extract (CFU/mL)</t>
  </si>
  <si>
    <t>#1 (1:1)</t>
  </si>
  <si>
    <t>#2 (1:10)</t>
  </si>
  <si>
    <t>#3 (1:100)</t>
  </si>
  <si>
    <t>#1 (1:10)</t>
  </si>
  <si>
    <t>#1 (1:100)</t>
  </si>
  <si>
    <t>#2 (1:1)</t>
  </si>
  <si>
    <t>#2 (1:100)</t>
  </si>
  <si>
    <t>#3 (1:1)</t>
  </si>
  <si>
    <t>#3 (1:10)</t>
  </si>
  <si>
    <t>Actual inoculum (CFU)</t>
  </si>
  <si>
    <t>&lt; 10</t>
  </si>
  <si>
    <t>317 pilot</t>
  </si>
  <si>
    <t>X</t>
  </si>
  <si>
    <t>446 pilot</t>
  </si>
  <si>
    <t>323 pilot</t>
  </si>
  <si>
    <t>In (CFU/mL)</t>
  </si>
  <si>
    <t>Out (CFU/mL)</t>
  </si>
  <si>
    <t>75 1:1</t>
  </si>
  <si>
    <t>75 1:10</t>
  </si>
  <si>
    <t>75 1:100</t>
  </si>
  <si>
    <t>317 1:1</t>
  </si>
  <si>
    <t>317 1:10</t>
  </si>
  <si>
    <t>317 1:100</t>
  </si>
  <si>
    <t>&lt;10</t>
  </si>
  <si>
    <t>446 1:1</t>
  </si>
  <si>
    <t>446 1:10</t>
  </si>
  <si>
    <t>446 1:100</t>
  </si>
  <si>
    <t>323 1:1</t>
  </si>
  <si>
    <t>323 1:10</t>
  </si>
  <si>
    <t>323 1:100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</si>
</sst>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0" borderId="2" xfId="0" applyBorder="1"/>
    <xf numFmtId="0" fontId="0" fillId="2" borderId="3" xfId="0" applyFill="1" applyBorder="1"/>
    <xf numFmtId="0" fontId="0" fillId="3" borderId="4" xfId="0" applyFill="1" applyBorder="1"/>
    <xf numFmtId="11" fontId="0" fillId="2" borderId="5" xfId="0" applyNumberFormat="1" applyFill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1" fontId="0" fillId="2" borderId="0" xfId="0" applyNumberFormat="1" applyFill="1" applyBorder="1"/>
    <xf numFmtId="11" fontId="0" fillId="2" borderId="9" xfId="0" applyNumberFormat="1" applyFill="1" applyBorder="1"/>
    <xf numFmtId="11" fontId="0" fillId="2" borderId="10" xfId="0" applyNumberFormat="1" applyFill="1" applyBorder="1"/>
    <xf numFmtId="11" fontId="0" fillId="2" borderId="11" xfId="0" applyNumberFormat="1" applyFill="1" applyBorder="1"/>
    <xf numFmtId="11" fontId="0" fillId="2" borderId="12" xfId="0" applyNumberFormat="1" applyFill="1" applyBorder="1"/>
    <xf numFmtId="11" fontId="0" fillId="3" borderId="5" xfId="0" applyNumberFormat="1" applyFill="1" applyBorder="1"/>
    <xf numFmtId="11" fontId="0" fillId="3" borderId="6" xfId="0" applyNumberFormat="1" applyFill="1" applyBorder="1"/>
    <xf numFmtId="11" fontId="0" fillId="3" borderId="7" xfId="0" applyNumberFormat="1" applyFill="1" applyBorder="1"/>
    <xf numFmtId="11" fontId="0" fillId="3" borderId="8" xfId="0" applyNumberFormat="1" applyFill="1" applyBorder="1"/>
    <xf numFmtId="11" fontId="0" fillId="3" borderId="0" xfId="0" applyNumberFormat="1" applyFill="1" applyBorder="1"/>
    <xf numFmtId="11" fontId="0" fillId="3" borderId="9" xfId="0" applyNumberFormat="1" applyFill="1" applyBorder="1"/>
    <xf numFmtId="11" fontId="0" fillId="3" borderId="10" xfId="0" applyNumberFormat="1" applyFill="1" applyBorder="1"/>
    <xf numFmtId="11" fontId="0" fillId="3" borderId="11" xfId="0" applyNumberFormat="1" applyFill="1" applyBorder="1"/>
    <xf numFmtId="11" fontId="0" fillId="3" borderId="12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"/>
  <sheetViews>
    <sheetView tabSelected="1" topLeftCell="A16" workbookViewId="0">
      <selection activeCell="F43" sqref="F43"/>
    </sheetView>
  </sheetViews>
  <sheetFormatPr defaultRowHeight="15" x14ac:dyDescent="0.25"/>
  <cols>
    <col min="1" max="1" width="22.28515625" customWidth="1"/>
    <col min="2" max="2" width="12" customWidth="1"/>
    <col min="3" max="3" width="15.85546875" customWidth="1"/>
    <col min="4" max="4" width="23.42578125" customWidth="1"/>
    <col min="5" max="5" width="14" customWidth="1"/>
    <col min="6" max="6" width="14.140625" customWidth="1"/>
    <col min="8" max="8" width="24" customWidth="1"/>
    <col min="9" max="9" width="12.5703125" customWidth="1"/>
    <col min="10" max="10" width="14.140625" customWidth="1"/>
    <col min="11" max="11" width="24.140625" customWidth="1"/>
    <col min="12" max="12" width="13.42578125" customWidth="1"/>
    <col min="13" max="13" width="12.140625" customWidth="1"/>
  </cols>
  <sheetData>
    <row r="2" spans="1:13" x14ac:dyDescent="0.25">
      <c r="A2" t="s">
        <v>13</v>
      </c>
      <c r="H2" t="s">
        <v>15</v>
      </c>
    </row>
    <row r="3" spans="1:13" x14ac:dyDescent="0.25">
      <c r="A3" s="7" t="s">
        <v>0</v>
      </c>
      <c r="B3" s="8">
        <v>75</v>
      </c>
      <c r="C3" s="9">
        <v>317</v>
      </c>
      <c r="D3" s="7" t="s">
        <v>1</v>
      </c>
      <c r="E3" s="8">
        <v>75</v>
      </c>
      <c r="F3" s="9">
        <v>317</v>
      </c>
      <c r="H3" s="7" t="s">
        <v>0</v>
      </c>
      <c r="I3" s="8">
        <v>75</v>
      </c>
      <c r="J3" s="9">
        <v>446</v>
      </c>
      <c r="K3" s="7" t="s">
        <v>1</v>
      </c>
      <c r="L3" s="8">
        <v>75</v>
      </c>
      <c r="M3" s="9">
        <v>446</v>
      </c>
    </row>
    <row r="4" spans="1:13" x14ac:dyDescent="0.25">
      <c r="A4" s="1" t="s">
        <v>2</v>
      </c>
      <c r="B4" s="2">
        <f>AVERAGE( (1.5), (0.96) ) * 10^9</f>
        <v>1230000000</v>
      </c>
      <c r="C4" s="2">
        <f>AVERAGE( (0.9), (0.17), (0.12) ) * 10^9</f>
        <v>396666666.66666669</v>
      </c>
      <c r="D4" s="1" t="s">
        <v>2</v>
      </c>
      <c r="E4" s="2" t="s">
        <v>12</v>
      </c>
      <c r="F4" s="2">
        <f xml:space="preserve"> AVERAGE( (0.2), (0.62) ) * 10^9</f>
        <v>410000000.00000006</v>
      </c>
      <c r="H4" s="1" t="s">
        <v>2</v>
      </c>
      <c r="I4" s="2">
        <f xml:space="preserve"> AVERAGE( (0.4), (0.4) ) *10^9</f>
        <v>400000000</v>
      </c>
      <c r="J4" s="2">
        <f xml:space="preserve"> AVERAGE( (0.5), (0.39) ) *10^9</f>
        <v>445000000</v>
      </c>
      <c r="K4" s="1" t="s">
        <v>2</v>
      </c>
      <c r="L4" s="2">
        <f xml:space="preserve"> AVERAGE( 0.1, 0.09, 0.129 ) * 10^9</f>
        <v>106333333.33333333</v>
      </c>
      <c r="M4" s="2">
        <f xml:space="preserve"> AVERAGE( 0.2, 0.17, 0.088 ) * 10^9</f>
        <v>152666666.66666666</v>
      </c>
    </row>
    <row r="5" spans="1:13" x14ac:dyDescent="0.25">
      <c r="A5" s="3" t="s">
        <v>5</v>
      </c>
      <c r="B5" s="4">
        <f t="shared" ref="B5:B6" si="0">AVERAGE( (1.5), (0.96) ) * 10^9</f>
        <v>1230000000</v>
      </c>
      <c r="C5" s="4">
        <f>AVERAGE( (0.9), (0.17), (0.12) ) * 10^8</f>
        <v>39666666.666666664</v>
      </c>
      <c r="D5" s="3" t="s">
        <v>5</v>
      </c>
      <c r="E5" s="4">
        <f xml:space="preserve"> 7 *10^5</f>
        <v>700000</v>
      </c>
      <c r="F5" s="4">
        <f xml:space="preserve"> AVERAGE( (0.7), (0.59) ) * 10^9</f>
        <v>645000000</v>
      </c>
      <c r="H5" s="3" t="s">
        <v>5</v>
      </c>
      <c r="I5" s="4">
        <f xml:space="preserve"> AVERAGE( (0.4), (0.4) ) *10^9</f>
        <v>400000000</v>
      </c>
      <c r="J5" s="4">
        <f xml:space="preserve"> AVERAGE( (0.5), (0.39) ) *10^8</f>
        <v>44500000</v>
      </c>
      <c r="K5" s="3" t="s">
        <v>5</v>
      </c>
      <c r="L5" s="4">
        <f xml:space="preserve"> AVERAGE( 0.3, 0.48, 0.274 ) * 10^9</f>
        <v>351333333.33333331</v>
      </c>
      <c r="M5" s="4">
        <f xml:space="preserve"> AVERAGE( 0.01, 0.032, 0.0203 ) * 10^9</f>
        <v>20766666.666666664</v>
      </c>
    </row>
    <row r="6" spans="1:13" x14ac:dyDescent="0.25">
      <c r="A6" s="5" t="s">
        <v>6</v>
      </c>
      <c r="B6" s="6">
        <f t="shared" si="0"/>
        <v>1230000000</v>
      </c>
      <c r="C6" s="6">
        <f>AVERAGE( (0.9), (0.17), (0.12) ) * 10^7</f>
        <v>3966666.6666666665</v>
      </c>
      <c r="D6" s="5" t="s">
        <v>6</v>
      </c>
      <c r="E6" s="6">
        <f xml:space="preserve"> AVERAGE( (1.2), (1.54) ) * 10^8</f>
        <v>137000000</v>
      </c>
      <c r="F6" s="6">
        <f xml:space="preserve"> AVERAGE( (0.5), (0.26) ) * 10^9</f>
        <v>380000000</v>
      </c>
      <c r="H6" s="5" t="s">
        <v>6</v>
      </c>
      <c r="I6" s="6">
        <f xml:space="preserve"> AVERAGE( (0.4), (0.4) ) *10^9</f>
        <v>400000000</v>
      </c>
      <c r="J6" s="6">
        <f xml:space="preserve"> AVERAGE( (0.5), (0.39) ) *10^7</f>
        <v>4450000</v>
      </c>
      <c r="K6" s="5" t="s">
        <v>6</v>
      </c>
      <c r="L6" s="6">
        <f xml:space="preserve"> AVERAGE( 0.6, 0.81 ) * 10^9</f>
        <v>705000000.00000012</v>
      </c>
      <c r="M6" s="6">
        <f xml:space="preserve"> AVERAGE( 2, 2.7 ) * 10^6</f>
        <v>2350000</v>
      </c>
    </row>
    <row r="7" spans="1:13" x14ac:dyDescent="0.25">
      <c r="A7" s="1" t="s">
        <v>7</v>
      </c>
      <c r="B7" s="2">
        <f>AVERAGE( (1.6), (1.25) ) * 10^9</f>
        <v>1425000000</v>
      </c>
      <c r="C7" s="2">
        <f>AVERAGE( (1.5), (0.29) ) * 10^9</f>
        <v>895000000</v>
      </c>
      <c r="D7" s="1" t="s">
        <v>7</v>
      </c>
      <c r="E7" s="2" t="s">
        <v>12</v>
      </c>
      <c r="F7" s="2">
        <f xml:space="preserve"> AVERAGE( (1.1), (1.44) ) * 10^9</f>
        <v>1270000000</v>
      </c>
      <c r="H7" s="1" t="s">
        <v>7</v>
      </c>
      <c r="I7" s="2">
        <f>AVERAGE( (0.1), (0.2), (0.219) ) * 10^9</f>
        <v>173000000</v>
      </c>
      <c r="J7" s="2">
        <f xml:space="preserve"> AVERAGE( (0.1), (0.38) ) *10^9</f>
        <v>240000000</v>
      </c>
      <c r="K7" s="1" t="s">
        <v>7</v>
      </c>
      <c r="L7" s="2">
        <f xml:space="preserve"> AVERAGE( 0.1, 0.06, 0.082 ) * 10^9</f>
        <v>80666666.666666672</v>
      </c>
      <c r="M7" s="2">
        <f xml:space="preserve"> AVERAGE( 0.07, 0.051 ) * 10^9</f>
        <v>60500000</v>
      </c>
    </row>
    <row r="8" spans="1:13" x14ac:dyDescent="0.25">
      <c r="A8" s="3" t="s">
        <v>3</v>
      </c>
      <c r="B8" s="4">
        <f t="shared" ref="B8:B9" si="1">AVERAGE( (1.6), (1.25) ) * 10^9</f>
        <v>1425000000</v>
      </c>
      <c r="C8" s="4">
        <f>AVERAGE( (1.5), (0.29) ) * 10^8</f>
        <v>89500000</v>
      </c>
      <c r="D8" s="3" t="s">
        <v>3</v>
      </c>
      <c r="E8" s="4">
        <f xml:space="preserve"> 4 * 10^5</f>
        <v>400000</v>
      </c>
      <c r="F8" s="4">
        <f xml:space="preserve"> AVERAGE( (1.1), (0.72) ) * 10^9</f>
        <v>910000000</v>
      </c>
      <c r="H8" s="3" t="s">
        <v>3</v>
      </c>
      <c r="I8" s="4">
        <f>AVERAGE( (0.1), (0.2), (0.219) ) * 10^9</f>
        <v>173000000</v>
      </c>
      <c r="J8" s="4">
        <f xml:space="preserve"> AVERAGE( (0.1), (0.38) ) *10^8</f>
        <v>24000000</v>
      </c>
      <c r="K8" s="3" t="s">
        <v>3</v>
      </c>
      <c r="L8" s="4">
        <f xml:space="preserve"> AVERAGE( 0.7, 0.19, 0.24 ) * 10^9</f>
        <v>376666666.66666663</v>
      </c>
      <c r="M8" s="4">
        <f xml:space="preserve"> AVERAGE( 0.02, 0.017, 0.0108 ) * 10^9</f>
        <v>15933333.333333338</v>
      </c>
    </row>
    <row r="9" spans="1:13" x14ac:dyDescent="0.25">
      <c r="A9" s="5" t="s">
        <v>8</v>
      </c>
      <c r="B9" s="6">
        <f t="shared" si="1"/>
        <v>1425000000</v>
      </c>
      <c r="C9" s="6">
        <f>AVERAGE( (1.5), (0.29) ) * 10^7</f>
        <v>8950000</v>
      </c>
      <c r="D9" s="5" t="s">
        <v>8</v>
      </c>
      <c r="E9" s="6">
        <f xml:space="preserve"> AVERAGE( (1), (0.6), (0.074) ) * 10^8</f>
        <v>55800000.000000007</v>
      </c>
      <c r="F9" s="6">
        <f xml:space="preserve"> AVERAGE( (1.2), (0.91) ) * 10^9</f>
        <v>1054999999.9999999</v>
      </c>
      <c r="H9" s="5" t="s">
        <v>8</v>
      </c>
      <c r="I9" s="6">
        <f>AVERAGE( (0.1), (0.2), (0.219) ) * 10^9</f>
        <v>173000000</v>
      </c>
      <c r="J9" s="6">
        <f xml:space="preserve"> AVERAGE( (0.1), (0.38) ) *10^7</f>
        <v>2400000</v>
      </c>
      <c r="K9" s="5" t="s">
        <v>8</v>
      </c>
      <c r="L9" s="6">
        <f xml:space="preserve"> AVERAGE( 0.2, 0.11, 0.094 ) * 10^9</f>
        <v>134666666.66666669</v>
      </c>
      <c r="M9" s="6">
        <f>5*10^5</f>
        <v>500000</v>
      </c>
    </row>
    <row r="10" spans="1:13" x14ac:dyDescent="0.25">
      <c r="A10" s="1" t="s">
        <v>9</v>
      </c>
      <c r="B10" s="2">
        <f>AVERAGE( (0.8), (0.96) ) * 10^9</f>
        <v>880000000</v>
      </c>
      <c r="C10" s="2">
        <f>AVERAGE( (0.8), (0.1), (0.088 ) ) * 10^9</f>
        <v>329333333.33333331</v>
      </c>
      <c r="D10" s="1" t="s">
        <v>9</v>
      </c>
      <c r="E10" s="2" t="s">
        <v>12</v>
      </c>
      <c r="F10" s="2">
        <f xml:space="preserve"> AVERAGE( (0.9), (1.28) ) * 10^9</f>
        <v>1090000000</v>
      </c>
      <c r="H10" s="1" t="s">
        <v>9</v>
      </c>
      <c r="I10" s="2">
        <f>AVERAGE( (0.4), (0.5) ) * 10^9</f>
        <v>450000000</v>
      </c>
      <c r="J10" s="2">
        <f xml:space="preserve"> AVERAGE( (0.2), (0.53) ) *10^9</f>
        <v>365000000</v>
      </c>
      <c r="K10" s="1" t="s">
        <v>9</v>
      </c>
      <c r="L10" s="2">
        <f xml:space="preserve"> AVERAGE( 0.05, 0.083 ) * 10^9</f>
        <v>66500000</v>
      </c>
      <c r="M10" s="2">
        <f xml:space="preserve"> AVERAGE( 0.04, 0.031 ) * 10^9</f>
        <v>35500000.000000007</v>
      </c>
    </row>
    <row r="11" spans="1:13" x14ac:dyDescent="0.25">
      <c r="A11" s="3" t="s">
        <v>10</v>
      </c>
      <c r="B11" s="4">
        <f t="shared" ref="B11:B12" si="2">AVERAGE( (0.8), (0.96) ) * 10^9</f>
        <v>880000000</v>
      </c>
      <c r="C11" s="4">
        <f>AVERAGE( (0.8), (0.1), (0.088 ) ) * 10^8</f>
        <v>32933333.333333332</v>
      </c>
      <c r="D11" s="3" t="s">
        <v>10</v>
      </c>
      <c r="E11" s="4">
        <f xml:space="preserve"> 3.25 * 10^7</f>
        <v>32500000</v>
      </c>
      <c r="F11" s="4" t="s">
        <v>14</v>
      </c>
      <c r="H11" s="3" t="s">
        <v>10</v>
      </c>
      <c r="I11" s="4">
        <f>AVERAGE( (0.4), (0.5) ) * 10^9</f>
        <v>450000000</v>
      </c>
      <c r="J11" s="4">
        <f xml:space="preserve"> AVERAGE( (0.2), (0.53) ) *10^8</f>
        <v>36500000</v>
      </c>
      <c r="K11" s="3" t="s">
        <v>10</v>
      </c>
      <c r="L11" s="4">
        <f xml:space="preserve"> AVERAGE( 0.3, 0.26, 0.283 ) * 10^9</f>
        <v>281000000</v>
      </c>
      <c r="M11" s="4">
        <f xml:space="preserve"> AVERAGE( 0.002, 0.0058 ) * 10^9</f>
        <v>3900000</v>
      </c>
    </row>
    <row r="12" spans="1:13" x14ac:dyDescent="0.25">
      <c r="A12" s="5" t="s">
        <v>4</v>
      </c>
      <c r="B12" s="6">
        <f t="shared" si="2"/>
        <v>880000000</v>
      </c>
      <c r="C12" s="6">
        <f>AVERAGE( (0.8), (0.1), (0.088 ) ) * 10^7</f>
        <v>3293333.333333333</v>
      </c>
      <c r="D12" s="5" t="s">
        <v>4</v>
      </c>
      <c r="E12" s="6">
        <f xml:space="preserve"> AVERAGE( (3), (0.6) ) * 10^8</f>
        <v>180000000</v>
      </c>
      <c r="F12" s="6">
        <f xml:space="preserve"> AVERAGE( (0.2), (0.21) ) * 10^9</f>
        <v>205000000.00000003</v>
      </c>
      <c r="H12" s="5" t="s">
        <v>4</v>
      </c>
      <c r="I12" s="6">
        <f>AVERAGE( (0.4), (0.5) ) * 10^9</f>
        <v>450000000</v>
      </c>
      <c r="J12" s="6">
        <f xml:space="preserve"> AVERAGE( (0.2), (0.53) ) *10^7</f>
        <v>3650000</v>
      </c>
      <c r="K12" s="5" t="s">
        <v>4</v>
      </c>
      <c r="L12" s="6">
        <f xml:space="preserve"> AVERAGE( 0.4, 0.27 ) * 10^9</f>
        <v>335000000</v>
      </c>
      <c r="M12" s="6">
        <f>4*10^5</f>
        <v>400000</v>
      </c>
    </row>
    <row r="13" spans="1:13" x14ac:dyDescent="0.25">
      <c r="A13" s="7" t="s">
        <v>11</v>
      </c>
      <c r="B13" s="8">
        <v>75</v>
      </c>
      <c r="C13" s="9">
        <v>317</v>
      </c>
      <c r="H13" s="7" t="s">
        <v>11</v>
      </c>
      <c r="I13" s="8">
        <v>75</v>
      </c>
      <c r="J13" s="9">
        <v>446</v>
      </c>
    </row>
    <row r="14" spans="1:13" x14ac:dyDescent="0.25">
      <c r="A14" s="1" t="s">
        <v>2</v>
      </c>
      <c r="B14" s="2">
        <f xml:space="preserve"> B4 / 10000</f>
        <v>123000</v>
      </c>
      <c r="C14" s="2">
        <f xml:space="preserve"> C4 / 10000</f>
        <v>39666.666666666672</v>
      </c>
      <c r="E14" s="28" t="s">
        <v>17</v>
      </c>
      <c r="F14" s="28" t="s">
        <v>18</v>
      </c>
      <c r="H14" s="1" t="s">
        <v>2</v>
      </c>
      <c r="I14" s="2">
        <f>I4 / 10000</f>
        <v>40000</v>
      </c>
      <c r="J14" s="2">
        <f xml:space="preserve"> J4 / 10000</f>
        <v>44500</v>
      </c>
      <c r="L14" s="28" t="s">
        <v>17</v>
      </c>
      <c r="M14" s="28" t="s">
        <v>18</v>
      </c>
    </row>
    <row r="15" spans="1:13" x14ac:dyDescent="0.25">
      <c r="A15" s="3" t="s">
        <v>5</v>
      </c>
      <c r="B15" s="4">
        <f t="shared" ref="B15:C22" si="3" xml:space="preserve"> B5 / 10000</f>
        <v>123000</v>
      </c>
      <c r="C15" s="4">
        <f t="shared" si="3"/>
        <v>3966.6666666666665</v>
      </c>
      <c r="D15" s="10" t="s">
        <v>19</v>
      </c>
      <c r="E15" s="11">
        <f>AVERAGE(B4,B7,B10)</f>
        <v>1178333333.3333333</v>
      </c>
      <c r="F15" s="12" t="s">
        <v>25</v>
      </c>
      <c r="H15" s="3" t="s">
        <v>5</v>
      </c>
      <c r="I15" s="4">
        <f t="shared" ref="I15:I22" si="4">I5 / 10000</f>
        <v>40000</v>
      </c>
      <c r="J15" s="4">
        <f t="shared" ref="J15:J22" si="5" xml:space="preserve"> J5 / 10000</f>
        <v>4450</v>
      </c>
      <c r="K15" s="10" t="s">
        <v>19</v>
      </c>
      <c r="L15" s="11">
        <f>AVERAGE(I4,I7,I10)</f>
        <v>341000000</v>
      </c>
      <c r="M15" s="12">
        <f>AVERAGE( L4,L7,L10 )</f>
        <v>84500000</v>
      </c>
    </row>
    <row r="16" spans="1:13" x14ac:dyDescent="0.25">
      <c r="A16" s="5" t="s">
        <v>6</v>
      </c>
      <c r="B16" s="6">
        <f t="shared" si="3"/>
        <v>123000</v>
      </c>
      <c r="C16" s="6">
        <f t="shared" si="3"/>
        <v>396.66666666666663</v>
      </c>
      <c r="D16" s="13" t="s">
        <v>20</v>
      </c>
      <c r="E16" s="14">
        <f xml:space="preserve"> AVERAGE( B5,B8,B11 )</f>
        <v>1178333333.3333333</v>
      </c>
      <c r="F16" s="15">
        <f xml:space="preserve"> AVERAGE( E5,E8,E11 )</f>
        <v>11200000</v>
      </c>
      <c r="H16" s="5" t="s">
        <v>6</v>
      </c>
      <c r="I16" s="6">
        <f t="shared" si="4"/>
        <v>40000</v>
      </c>
      <c r="J16" s="6">
        <f t="shared" si="5"/>
        <v>445</v>
      </c>
      <c r="K16" s="13" t="s">
        <v>20</v>
      </c>
      <c r="L16" s="14">
        <f>AVERAGE( I5,I8,I11 )</f>
        <v>341000000</v>
      </c>
      <c r="M16" s="15">
        <f>AVERAGE(L5,L8,L11)</f>
        <v>336333333.33333331</v>
      </c>
    </row>
    <row r="17" spans="1:13" x14ac:dyDescent="0.25">
      <c r="A17" s="1" t="s">
        <v>7</v>
      </c>
      <c r="B17" s="2">
        <f t="shared" si="3"/>
        <v>142500</v>
      </c>
      <c r="C17" s="2">
        <f t="shared" si="3"/>
        <v>89500</v>
      </c>
      <c r="D17" s="16" t="s">
        <v>21</v>
      </c>
      <c r="E17" s="17">
        <f xml:space="preserve"> AVERAGE( B6,B9,B12 )</f>
        <v>1178333333.3333333</v>
      </c>
      <c r="F17" s="18">
        <f>AVERAGE(E6,E9,E12)</f>
        <v>124266666.66666667</v>
      </c>
      <c r="H17" s="1" t="s">
        <v>7</v>
      </c>
      <c r="I17" s="2">
        <f t="shared" si="4"/>
        <v>17300</v>
      </c>
      <c r="J17" s="2">
        <f t="shared" si="5"/>
        <v>24000</v>
      </c>
      <c r="K17" s="16" t="s">
        <v>21</v>
      </c>
      <c r="L17" s="17">
        <f>AVERAGE( I6,I9,I12 )</f>
        <v>341000000</v>
      </c>
      <c r="M17" s="18">
        <f>AVERAGE(L6,L9,L12)</f>
        <v>391555555.55555558</v>
      </c>
    </row>
    <row r="18" spans="1:13" x14ac:dyDescent="0.25">
      <c r="A18" s="3" t="s">
        <v>3</v>
      </c>
      <c r="B18" s="4">
        <f t="shared" si="3"/>
        <v>142500</v>
      </c>
      <c r="C18" s="4">
        <f t="shared" si="3"/>
        <v>8950</v>
      </c>
      <c r="D18" s="19" t="s">
        <v>22</v>
      </c>
      <c r="E18" s="20">
        <f xml:space="preserve"> AVERAGE( C4,C7,C10 )</f>
        <v>540333333.33333337</v>
      </c>
      <c r="F18" s="21">
        <f>AVERAGE( F4,F7,F10 )</f>
        <v>923333333.33333337</v>
      </c>
      <c r="H18" s="3" t="s">
        <v>3</v>
      </c>
      <c r="I18" s="4">
        <f t="shared" si="4"/>
        <v>17300</v>
      </c>
      <c r="J18" s="4">
        <f t="shared" si="5"/>
        <v>2400</v>
      </c>
      <c r="K18" s="19" t="s">
        <v>26</v>
      </c>
      <c r="L18" s="20">
        <f>AVERAGE( J4,J7,J10 )</f>
        <v>350000000</v>
      </c>
      <c r="M18" s="21">
        <f>AVERAGE( M4,M7,M10 )</f>
        <v>82888888.888888881</v>
      </c>
    </row>
    <row r="19" spans="1:13" x14ac:dyDescent="0.25">
      <c r="A19" s="5" t="s">
        <v>8</v>
      </c>
      <c r="B19" s="6">
        <f t="shared" si="3"/>
        <v>142500</v>
      </c>
      <c r="C19" s="6">
        <f t="shared" si="3"/>
        <v>895</v>
      </c>
      <c r="D19" s="22" t="s">
        <v>23</v>
      </c>
      <c r="E19" s="23">
        <f xml:space="preserve"> AVERAGE( C5,C8,C11 )</f>
        <v>54033333.333333336</v>
      </c>
      <c r="F19" s="24">
        <f xml:space="preserve"> AVERAGE( F5,F8 )</f>
        <v>777500000</v>
      </c>
      <c r="H19" s="5" t="s">
        <v>8</v>
      </c>
      <c r="I19" s="6">
        <f t="shared" si="4"/>
        <v>17300</v>
      </c>
      <c r="J19" s="6">
        <f t="shared" si="5"/>
        <v>240</v>
      </c>
      <c r="K19" s="22" t="s">
        <v>27</v>
      </c>
      <c r="L19" s="23">
        <f xml:space="preserve"> AVERAGE( J5,J8,J11 )</f>
        <v>35000000</v>
      </c>
      <c r="M19" s="24">
        <f>AVERAGE( M5,M8,M11 )</f>
        <v>13533333.333333334</v>
      </c>
    </row>
    <row r="20" spans="1:13" x14ac:dyDescent="0.25">
      <c r="A20" s="1" t="s">
        <v>9</v>
      </c>
      <c r="B20" s="2">
        <f t="shared" si="3"/>
        <v>88000</v>
      </c>
      <c r="C20" s="2">
        <f t="shared" si="3"/>
        <v>32933.333333333328</v>
      </c>
      <c r="D20" s="25" t="s">
        <v>24</v>
      </c>
      <c r="E20" s="26">
        <f xml:space="preserve"> AVERAGE( C6,C9,C12 )</f>
        <v>5403333.333333333</v>
      </c>
      <c r="F20" s="27">
        <f xml:space="preserve"> AVERAGE( F6,F9,F12 )</f>
        <v>546666666.66666663</v>
      </c>
      <c r="H20" s="1" t="s">
        <v>9</v>
      </c>
      <c r="I20" s="2">
        <f t="shared" si="4"/>
        <v>45000</v>
      </c>
      <c r="J20" s="2">
        <f t="shared" si="5"/>
        <v>36500</v>
      </c>
      <c r="K20" s="25" t="s">
        <v>28</v>
      </c>
      <c r="L20" s="26">
        <f>AVERAGE( J6,J9,J12 )</f>
        <v>3500000</v>
      </c>
      <c r="M20" s="27">
        <f>AVERAGE(M6,M9,M12)</f>
        <v>1083333.3333333333</v>
      </c>
    </row>
    <row r="21" spans="1:13" x14ac:dyDescent="0.25">
      <c r="A21" s="3" t="s">
        <v>10</v>
      </c>
      <c r="B21" s="4">
        <f t="shared" si="3"/>
        <v>88000</v>
      </c>
      <c r="C21" s="4">
        <f t="shared" si="3"/>
        <v>3293.333333333333</v>
      </c>
      <c r="H21" s="3" t="s">
        <v>10</v>
      </c>
      <c r="I21" s="4">
        <f t="shared" si="4"/>
        <v>45000</v>
      </c>
      <c r="J21" s="4">
        <f t="shared" si="5"/>
        <v>3650</v>
      </c>
    </row>
    <row r="22" spans="1:13" x14ac:dyDescent="0.25">
      <c r="A22" s="5" t="s">
        <v>4</v>
      </c>
      <c r="B22" s="6">
        <f t="shared" si="3"/>
        <v>88000</v>
      </c>
      <c r="C22" s="6">
        <f t="shared" si="3"/>
        <v>329.33333333333331</v>
      </c>
      <c r="H22" s="5" t="s">
        <v>4</v>
      </c>
      <c r="I22" s="6">
        <f t="shared" si="4"/>
        <v>45000</v>
      </c>
      <c r="J22" s="6">
        <f t="shared" si="5"/>
        <v>365</v>
      </c>
    </row>
    <row r="24" spans="1:13" x14ac:dyDescent="0.25">
      <c r="A24" t="s">
        <v>16</v>
      </c>
    </row>
    <row r="25" spans="1:13" x14ac:dyDescent="0.25">
      <c r="A25" s="7" t="s">
        <v>0</v>
      </c>
      <c r="B25" s="8">
        <v>75</v>
      </c>
      <c r="C25" s="9">
        <v>317</v>
      </c>
      <c r="D25" s="7" t="s">
        <v>1</v>
      </c>
      <c r="E25" s="8">
        <v>75</v>
      </c>
      <c r="F25" s="9">
        <v>317</v>
      </c>
    </row>
    <row r="26" spans="1:13" x14ac:dyDescent="0.25">
      <c r="A26" s="1" t="s">
        <v>2</v>
      </c>
      <c r="B26" s="2">
        <f xml:space="preserve"> AVERAGE( 0.2, 0.18, 0.207 ) * 10^9</f>
        <v>195666666.66666666</v>
      </c>
      <c r="C26" s="2">
        <f xml:space="preserve"> AVERAGE( 0.3, 0.43 ) * 10^9</f>
        <v>365000000</v>
      </c>
      <c r="D26" s="1" t="s">
        <v>2</v>
      </c>
      <c r="E26" s="2" t="s">
        <v>25</v>
      </c>
      <c r="F26" s="2">
        <f xml:space="preserve"> AVERAGE( 1.2, 0.255 ) * 10^9</f>
        <v>727500000</v>
      </c>
    </row>
    <row r="27" spans="1:13" x14ac:dyDescent="0.25">
      <c r="A27" s="3" t="s">
        <v>5</v>
      </c>
      <c r="B27" s="4">
        <f xml:space="preserve"> AVERAGE( 0.2, 0.18, 0.207 ) * 10^9</f>
        <v>195666666.66666666</v>
      </c>
      <c r="C27" s="4">
        <f xml:space="preserve"> AVERAGE( 0.3, 0.43 ) * 10^8</f>
        <v>36500000</v>
      </c>
      <c r="D27" s="3" t="s">
        <v>5</v>
      </c>
      <c r="E27" s="4">
        <f>AVERAGE( 0.02, 0.018 ) * 10^9</f>
        <v>19000000</v>
      </c>
      <c r="F27" s="4">
        <f>AVERAGE( 0.2, 0.19, 0.157 ) * 10^9</f>
        <v>182333333.33333334</v>
      </c>
    </row>
    <row r="28" spans="1:13" x14ac:dyDescent="0.25">
      <c r="A28" s="5" t="s">
        <v>6</v>
      </c>
      <c r="B28" s="6">
        <f xml:space="preserve"> AVERAGE( 0.2, 0.18, 0.207 ) * 10^9</f>
        <v>195666666.66666666</v>
      </c>
      <c r="C28" s="6">
        <f xml:space="preserve"> AVERAGE( 0.3, 0.43 ) * 10^7</f>
        <v>3650000</v>
      </c>
      <c r="D28" s="5" t="s">
        <v>6</v>
      </c>
      <c r="E28" s="6">
        <f xml:space="preserve"> AVERAGE( 0.02, 0.049) * 10^9</f>
        <v>34500000</v>
      </c>
      <c r="F28" s="6">
        <f>AVERAGE( 0.1, 0.09, 0.093) * 10^9</f>
        <v>94333333.333333343</v>
      </c>
    </row>
    <row r="29" spans="1:13" x14ac:dyDescent="0.25">
      <c r="A29" s="1" t="s">
        <v>7</v>
      </c>
      <c r="B29" s="2">
        <f xml:space="preserve"> AVERAGE( 0.5, 0.41 ) * 10^9</f>
        <v>454999999.99999994</v>
      </c>
      <c r="C29" s="2">
        <f xml:space="preserve"> AVERAGE( 0.9, 0.41 ) * 10^9</f>
        <v>655000000</v>
      </c>
      <c r="D29" s="1" t="s">
        <v>7</v>
      </c>
      <c r="E29" s="2" t="s">
        <v>25</v>
      </c>
      <c r="F29" s="2">
        <f>AVERAGE( 0.4, 0.27, 0.192 ) * 10^9</f>
        <v>287333333.33333337</v>
      </c>
    </row>
    <row r="30" spans="1:13" x14ac:dyDescent="0.25">
      <c r="A30" s="3" t="s">
        <v>3</v>
      </c>
      <c r="B30" s="4">
        <f xml:space="preserve"> AVERAGE( 0.5, 0.41 ) * 10^9</f>
        <v>454999999.99999994</v>
      </c>
      <c r="C30" s="4">
        <f xml:space="preserve"> AVERAGE( 0.9, 0.41 ) * 10^8</f>
        <v>65500000</v>
      </c>
      <c r="D30" s="3" t="s">
        <v>3</v>
      </c>
      <c r="E30" s="4">
        <f>AVERAGE( 0.1, 0.12, 0.05) * 10^9</f>
        <v>90000000.000000015</v>
      </c>
      <c r="F30" s="4">
        <f xml:space="preserve"> AVERAGE( 0.3, 0.21, 0.16 ) * 10^9</f>
        <v>223333333.33333334</v>
      </c>
    </row>
    <row r="31" spans="1:13" x14ac:dyDescent="0.25">
      <c r="A31" s="5" t="s">
        <v>8</v>
      </c>
      <c r="B31" s="6">
        <f xml:space="preserve"> AVERAGE( 0.5, 0.41 ) * 10^9</f>
        <v>454999999.99999994</v>
      </c>
      <c r="C31" s="6">
        <f xml:space="preserve"> AVERAGE( 0.9, 0.41 ) * 10^7</f>
        <v>6550000</v>
      </c>
      <c r="D31" s="5" t="s">
        <v>8</v>
      </c>
      <c r="E31" s="6">
        <f>AVERAGE( 0.1, 0.37, 0.343 ) * 10^9</f>
        <v>270999999.99999994</v>
      </c>
      <c r="F31" s="6">
        <f>AVERAGE( 0.1, 0.21, 0.185 ) * 10^9</f>
        <v>165000000</v>
      </c>
    </row>
    <row r="32" spans="1:13" x14ac:dyDescent="0.25">
      <c r="A32" s="1" t="s">
        <v>9</v>
      </c>
      <c r="B32" s="2">
        <f xml:space="preserve"> AVERAGE( 0.3, 0.43 ) * 10^9</f>
        <v>365000000</v>
      </c>
      <c r="C32" s="2">
        <f xml:space="preserve"> AVERAGE( 0.7, 0.53 ) * 10^9</f>
        <v>615000000</v>
      </c>
      <c r="D32" s="1" t="s">
        <v>9</v>
      </c>
      <c r="E32" s="2" t="s">
        <v>25</v>
      </c>
      <c r="F32" s="2">
        <f xml:space="preserve"> AVERAGE( 0.4, 0.37, 0.277) * 10^9</f>
        <v>349000000.00000006</v>
      </c>
    </row>
    <row r="33" spans="1:6" x14ac:dyDescent="0.25">
      <c r="A33" s="3" t="s">
        <v>10</v>
      </c>
      <c r="B33" s="4">
        <f xml:space="preserve"> AVERAGE( 0.3, 0.43 ) * 10^9</f>
        <v>365000000</v>
      </c>
      <c r="C33" s="4">
        <f xml:space="preserve"> AVERAGE( 0.7, 0.53 ) * 10^8</f>
        <v>61500000</v>
      </c>
      <c r="D33" s="3" t="s">
        <v>10</v>
      </c>
      <c r="E33" s="4">
        <f>AVERAGE(  0.08, 0.106 ) * 10^9</f>
        <v>93000000</v>
      </c>
      <c r="F33" s="4">
        <f>AVERAGE( 0.5, 0.21 ) * 10^9</f>
        <v>355000000</v>
      </c>
    </row>
    <row r="34" spans="1:6" x14ac:dyDescent="0.25">
      <c r="A34" s="5" t="s">
        <v>4</v>
      </c>
      <c r="B34" s="6">
        <f xml:space="preserve"> AVERAGE( 0.3, 0.43 ) * 10^9</f>
        <v>365000000</v>
      </c>
      <c r="C34" s="6">
        <f xml:space="preserve"> AVERAGE( 0.7, 0.53 ) * 10^7</f>
        <v>6150000</v>
      </c>
      <c r="D34" s="5" t="s">
        <v>4</v>
      </c>
      <c r="E34" s="6">
        <f xml:space="preserve"> AVERAGE( 0.1, 0.13, 0.123) * 10^9</f>
        <v>117666666.66666666</v>
      </c>
      <c r="F34" s="6">
        <f xml:space="preserve"> AVERAGE( 0.1, 0.05, 0.062) * 10^9</f>
        <v>70666666.666666672</v>
      </c>
    </row>
    <row r="35" spans="1:6" x14ac:dyDescent="0.25">
      <c r="A35" s="7" t="s">
        <v>11</v>
      </c>
      <c r="B35" s="8">
        <v>75</v>
      </c>
      <c r="C35" s="9">
        <v>317</v>
      </c>
    </row>
    <row r="36" spans="1:6" x14ac:dyDescent="0.25">
      <c r="A36" s="1" t="s">
        <v>2</v>
      </c>
      <c r="B36" s="2">
        <f>B26 / 10000</f>
        <v>19566.666666666664</v>
      </c>
      <c r="C36" s="2">
        <f xml:space="preserve"> C26 / 10000</f>
        <v>36500</v>
      </c>
      <c r="E36" s="28" t="s">
        <v>17</v>
      </c>
      <c r="F36" s="28" t="s">
        <v>18</v>
      </c>
    </row>
    <row r="37" spans="1:6" x14ac:dyDescent="0.25">
      <c r="A37" s="3" t="s">
        <v>5</v>
      </c>
      <c r="B37" s="4">
        <f t="shared" ref="B37:B44" si="6">B27 / 10000</f>
        <v>19566.666666666664</v>
      </c>
      <c r="C37" s="4">
        <f t="shared" ref="C37:C44" si="7" xml:space="preserve"> C27 / 10000</f>
        <v>3650</v>
      </c>
      <c r="D37" s="10" t="s">
        <v>19</v>
      </c>
      <c r="E37" s="11">
        <f xml:space="preserve"> AVERAGE( B26,B29,B32 )</f>
        <v>338555555.55555552</v>
      </c>
      <c r="F37" s="12" t="s">
        <v>25</v>
      </c>
    </row>
    <row r="38" spans="1:6" x14ac:dyDescent="0.25">
      <c r="A38" s="5" t="s">
        <v>6</v>
      </c>
      <c r="B38" s="6">
        <f t="shared" si="6"/>
        <v>19566.666666666664</v>
      </c>
      <c r="C38" s="6">
        <f t="shared" si="7"/>
        <v>365</v>
      </c>
      <c r="D38" s="13" t="s">
        <v>20</v>
      </c>
      <c r="E38" s="14">
        <f xml:space="preserve"> AVERAGE( B27,B30,B33 )</f>
        <v>338555555.55555552</v>
      </c>
      <c r="F38" s="15">
        <f>AVERAGE( E27,E30,E33 )</f>
        <v>67333333.333333328</v>
      </c>
    </row>
    <row r="39" spans="1:6" x14ac:dyDescent="0.25">
      <c r="A39" s="1" t="s">
        <v>7</v>
      </c>
      <c r="B39" s="2">
        <f t="shared" si="6"/>
        <v>45499.999999999993</v>
      </c>
      <c r="C39" s="2">
        <f t="shared" si="7"/>
        <v>65500</v>
      </c>
      <c r="D39" s="16" t="s">
        <v>21</v>
      </c>
      <c r="E39" s="17">
        <f xml:space="preserve"> AVERAGE( B28,B31,B34)</f>
        <v>338555555.55555552</v>
      </c>
      <c r="F39" s="18">
        <f>AVERAGE( E28,E31,E34 )</f>
        <v>141055555.55555555</v>
      </c>
    </row>
    <row r="40" spans="1:6" x14ac:dyDescent="0.25">
      <c r="A40" s="3" t="s">
        <v>3</v>
      </c>
      <c r="B40" s="4">
        <f t="shared" si="6"/>
        <v>45499.999999999993</v>
      </c>
      <c r="C40" s="4">
        <f t="shared" si="7"/>
        <v>6550</v>
      </c>
      <c r="D40" s="19" t="s">
        <v>29</v>
      </c>
      <c r="E40" s="20">
        <f>AVERAGE( C26,C29,C32 )</f>
        <v>545000000</v>
      </c>
      <c r="F40" s="21">
        <f>AVERAGE( F26,F29,F32 )</f>
        <v>454611111.11111116</v>
      </c>
    </row>
    <row r="41" spans="1:6" x14ac:dyDescent="0.25">
      <c r="A41" s="5" t="s">
        <v>8</v>
      </c>
      <c r="B41" s="6">
        <f t="shared" si="6"/>
        <v>45499.999999999993</v>
      </c>
      <c r="C41" s="6">
        <f t="shared" si="7"/>
        <v>655</v>
      </c>
      <c r="D41" s="22" t="s">
        <v>30</v>
      </c>
      <c r="E41" s="23">
        <f>AVERAGE( C27,C30,C33)</f>
        <v>54500000</v>
      </c>
      <c r="F41" s="24">
        <f>AVERAGE( F27,F30,F33 )</f>
        <v>253555555.55555558</v>
      </c>
    </row>
    <row r="42" spans="1:6" x14ac:dyDescent="0.25">
      <c r="A42" s="1" t="s">
        <v>9</v>
      </c>
      <c r="B42" s="2">
        <f t="shared" si="6"/>
        <v>36500</v>
      </c>
      <c r="C42" s="2">
        <f t="shared" si="7"/>
        <v>61500</v>
      </c>
      <c r="D42" s="25" t="s">
        <v>31</v>
      </c>
      <c r="E42" s="26">
        <f>AVERAGE( C28,C31,C34 )</f>
        <v>5450000</v>
      </c>
      <c r="F42" s="27">
        <f>AVERAGE( F28,F31,F34 )</f>
        <v>110000000</v>
      </c>
    </row>
    <row r="43" spans="1:6" x14ac:dyDescent="0.25">
      <c r="A43" s="3" t="s">
        <v>10</v>
      </c>
      <c r="B43" s="4">
        <f t="shared" si="6"/>
        <v>36500</v>
      </c>
      <c r="C43" s="4">
        <f t="shared" si="7"/>
        <v>6150</v>
      </c>
    </row>
    <row r="44" spans="1:6" x14ac:dyDescent="0.25">
      <c r="A44" s="5" t="s">
        <v>4</v>
      </c>
      <c r="B44" s="6">
        <f t="shared" si="6"/>
        <v>36500</v>
      </c>
      <c r="C44" s="6">
        <f t="shared" si="7"/>
        <v>615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Lemzin</dc:creator>
  <cp:lastModifiedBy>Mark Nicholas Lemzin-Abdrashitov</cp:lastModifiedBy>
  <dcterms:created xsi:type="dcterms:W3CDTF">2015-06-05T18:17:20Z</dcterms:created>
  <dcterms:modified xsi:type="dcterms:W3CDTF">2025-04-14T23:35:17Z</dcterms:modified>
</cp:coreProperties>
</file>