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lin.gaudi\Downloads\03 - Proposals-selected\"/>
    </mc:Choice>
  </mc:AlternateContent>
  <xr:revisionPtr revIDLastSave="0" documentId="13_ncr:1_{426183B4-B54F-4600-AB03-ABE3987AFF7D}" xr6:coauthVersionLast="47" xr6:coauthVersionMax="47" xr10:uidLastSave="{00000000-0000-0000-0000-000000000000}"/>
  <bookViews>
    <workbookView xWindow="28680" yWindow="-45" windowWidth="29040" windowHeight="15840" tabRatio="786" xr2:uid="{00000000-000D-0000-FFFF-FFFF00000000}"/>
  </bookViews>
  <sheets>
    <sheet name="Bid Summary" sheetId="3" r:id="rId1"/>
    <sheet name="Prevailing Wage" sheetId="39" r:id="rId2"/>
    <sheet name="Bid Schedule" sheetId="1" r:id="rId3"/>
    <sheet name="Bid Bond" sheetId="38" r:id="rId4"/>
    <sheet name="Bid Item 1" sheetId="2" r:id="rId5"/>
    <sheet name="2" sheetId="4" r:id="rId6"/>
    <sheet name="3" sheetId="5" r:id="rId7"/>
    <sheet name="4" sheetId="6" r:id="rId8"/>
    <sheet name="5" sheetId="7" r:id="rId9"/>
    <sheet name="6" sheetId="8" r:id="rId10"/>
    <sheet name="7" sheetId="9" r:id="rId11"/>
    <sheet name="8" sheetId="10" r:id="rId12"/>
    <sheet name="9" sheetId="11" r:id="rId13"/>
    <sheet name="10" sheetId="12" r:id="rId14"/>
    <sheet name="11" sheetId="13" r:id="rId15"/>
    <sheet name="12" sheetId="14" r:id="rId16"/>
    <sheet name="13" sheetId="15" r:id="rId17"/>
    <sheet name="14" sheetId="16" r:id="rId18"/>
    <sheet name="15" sheetId="17" r:id="rId19"/>
    <sheet name="16" sheetId="18" r:id="rId20"/>
    <sheet name="17" sheetId="19" r:id="rId21"/>
    <sheet name="18" sheetId="20" r:id="rId22"/>
    <sheet name="19" sheetId="21" r:id="rId23"/>
    <sheet name="20" sheetId="40" r:id="rId24"/>
    <sheet name="21" sheetId="41" r:id="rId25"/>
    <sheet name="22" sheetId="22" r:id="rId26"/>
    <sheet name="23" sheetId="23" r:id="rId27"/>
    <sheet name="24" sheetId="24" r:id="rId28"/>
    <sheet name="25" sheetId="25" r:id="rId29"/>
    <sheet name="26" sheetId="26" r:id="rId30"/>
    <sheet name="27" sheetId="27" r:id="rId31"/>
    <sheet name="28" sheetId="28" r:id="rId32"/>
    <sheet name="29" sheetId="29" r:id="rId33"/>
    <sheet name="30" sheetId="30" r:id="rId34"/>
    <sheet name="31" sheetId="31" r:id="rId35"/>
    <sheet name="32" sheetId="32" r:id="rId36"/>
    <sheet name="33" sheetId="33" r:id="rId37"/>
    <sheet name="34" sheetId="34" r:id="rId38"/>
    <sheet name="35" sheetId="35" r:id="rId39"/>
    <sheet name="36" sheetId="36" r:id="rId40"/>
    <sheet name="Sheet1" sheetId="42" r:id="rId4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0" i="3" l="1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" i="3"/>
  <c r="D6" i="23"/>
  <c r="F18" i="7"/>
  <c r="D44" i="15" l="1"/>
  <c r="J28" i="24" l="1"/>
  <c r="J27" i="2"/>
  <c r="D6" i="15" l="1"/>
  <c r="J17" i="22" l="1"/>
  <c r="J18" i="22"/>
  <c r="J19" i="22"/>
  <c r="J20" i="22"/>
  <c r="J21" i="22"/>
  <c r="J22" i="22"/>
  <c r="J23" i="22"/>
  <c r="J24" i="22"/>
  <c r="D37" i="34"/>
  <c r="D37" i="35"/>
  <c r="D44" i="35"/>
  <c r="D44" i="34"/>
  <c r="D44" i="33"/>
  <c r="D45" i="28"/>
  <c r="D8" i="13"/>
  <c r="D7" i="13"/>
  <c r="D48" i="13" s="1"/>
  <c r="J44" i="13"/>
  <c r="D39" i="28"/>
  <c r="D40" i="28"/>
  <c r="D38" i="28"/>
  <c r="D45" i="26"/>
  <c r="D8" i="26"/>
  <c r="J41" i="26"/>
  <c r="D55" i="24"/>
  <c r="J55" i="24" s="1"/>
  <c r="J54" i="24" s="1"/>
  <c r="D51" i="24"/>
  <c r="D50" i="24"/>
  <c r="J50" i="24" s="1"/>
  <c r="I235" i="1" s="1"/>
  <c r="D49" i="24"/>
  <c r="J48" i="24"/>
  <c r="D50" i="23"/>
  <c r="D46" i="23"/>
  <c r="D45" i="23"/>
  <c r="D44" i="23"/>
  <c r="D47" i="22"/>
  <c r="D46" i="22"/>
  <c r="D45" i="22"/>
  <c r="D45" i="41"/>
  <c r="J45" i="41" s="1"/>
  <c r="D42" i="41"/>
  <c r="J42" i="41" s="1"/>
  <c r="I206" i="1" s="1"/>
  <c r="D41" i="41"/>
  <c r="D40" i="41"/>
  <c r="J40" i="41" s="1"/>
  <c r="D39" i="41"/>
  <c r="J39" i="41" s="1"/>
  <c r="D45" i="40"/>
  <c r="D39" i="40"/>
  <c r="J39" i="40" s="1"/>
  <c r="D42" i="40"/>
  <c r="D41" i="40"/>
  <c r="D40" i="40"/>
  <c r="J40" i="40" s="1"/>
  <c r="D37" i="20"/>
  <c r="D37" i="21"/>
  <c r="D44" i="21"/>
  <c r="D44" i="20"/>
  <c r="D37" i="19"/>
  <c r="D44" i="19"/>
  <c r="D44" i="18"/>
  <c r="D39" i="18"/>
  <c r="D38" i="18"/>
  <c r="D37" i="18"/>
  <c r="D44" i="17"/>
  <c r="D39" i="17"/>
  <c r="D38" i="17"/>
  <c r="D37" i="17"/>
  <c r="D39" i="16"/>
  <c r="D38" i="16"/>
  <c r="D37" i="16"/>
  <c r="D44" i="16"/>
  <c r="J44" i="15"/>
  <c r="D45" i="14"/>
  <c r="M15" i="14"/>
  <c r="J41" i="13"/>
  <c r="J42" i="13"/>
  <c r="J43" i="13"/>
  <c r="D44" i="12"/>
  <c r="D44" i="11"/>
  <c r="D39" i="11"/>
  <c r="D38" i="11"/>
  <c r="D37" i="11"/>
  <c r="D44" i="10"/>
  <c r="D39" i="10"/>
  <c r="D38" i="10"/>
  <c r="D37" i="10"/>
  <c r="D48" i="9"/>
  <c r="D43" i="9"/>
  <c r="D42" i="9"/>
  <c r="D41" i="9"/>
  <c r="D48" i="8"/>
  <c r="D43" i="8"/>
  <c r="D42" i="8"/>
  <c r="D41" i="8"/>
  <c r="D42" i="4"/>
  <c r="J42" i="4" s="1"/>
  <c r="D48" i="5"/>
  <c r="J48" i="5" s="1"/>
  <c r="D43" i="7"/>
  <c r="D42" i="7"/>
  <c r="D41" i="7"/>
  <c r="D48" i="7"/>
  <c r="D47" i="6"/>
  <c r="D41" i="6"/>
  <c r="J41" i="6" s="1"/>
  <c r="D40" i="6"/>
  <c r="J42" i="6"/>
  <c r="D53" i="5"/>
  <c r="D47" i="5"/>
  <c r="D46" i="5"/>
  <c r="J46" i="5" s="1"/>
  <c r="D47" i="2"/>
  <c r="J47" i="2" s="1"/>
  <c r="D41" i="4"/>
  <c r="J41" i="4" s="1"/>
  <c r="D48" i="2"/>
  <c r="J48" i="2" s="1"/>
  <c r="D40" i="4"/>
  <c r="D46" i="2"/>
  <c r="D47" i="4"/>
  <c r="D53" i="2"/>
  <c r="D8" i="14"/>
  <c r="J38" i="10"/>
  <c r="J42" i="7"/>
  <c r="J31" i="26"/>
  <c r="D6" i="30"/>
  <c r="D6" i="26"/>
  <c r="J56" i="24"/>
  <c r="J53" i="24"/>
  <c r="J52" i="24"/>
  <c r="J51" i="24"/>
  <c r="J49" i="24"/>
  <c r="D6" i="41"/>
  <c r="D6" i="17"/>
  <c r="J32" i="5"/>
  <c r="J47" i="5"/>
  <c r="J43" i="7"/>
  <c r="J43" i="8"/>
  <c r="J42" i="8"/>
  <c r="J43" i="9"/>
  <c r="J42" i="9"/>
  <c r="J39" i="10"/>
  <c r="J30" i="15"/>
  <c r="J32" i="15"/>
  <c r="J33" i="15"/>
  <c r="J39" i="15"/>
  <c r="J38" i="15"/>
  <c r="J37" i="15"/>
  <c r="D6" i="14"/>
  <c r="N9" i="9"/>
  <c r="J54" i="6"/>
  <c r="J21" i="6"/>
  <c r="J21" i="5"/>
  <c r="J20" i="5"/>
  <c r="J22" i="5"/>
  <c r="D6" i="36"/>
  <c r="I343" i="1"/>
  <c r="I340" i="1"/>
  <c r="I339" i="1"/>
  <c r="J340" i="1"/>
  <c r="C336" i="1"/>
  <c r="I334" i="1"/>
  <c r="I331" i="1"/>
  <c r="I330" i="1"/>
  <c r="I325" i="1"/>
  <c r="I322" i="1"/>
  <c r="I321" i="1"/>
  <c r="I307" i="1"/>
  <c r="I306" i="1"/>
  <c r="I305" i="1"/>
  <c r="I304" i="1"/>
  <c r="I298" i="1"/>
  <c r="I297" i="1"/>
  <c r="I296" i="1"/>
  <c r="I295" i="1"/>
  <c r="I289" i="1"/>
  <c r="I287" i="1"/>
  <c r="I286" i="1"/>
  <c r="I280" i="1"/>
  <c r="I278" i="1"/>
  <c r="I277" i="1"/>
  <c r="I271" i="1"/>
  <c r="I268" i="1"/>
  <c r="H265" i="1"/>
  <c r="H266" i="1"/>
  <c r="F266" i="1" s="1"/>
  <c r="H267" i="1"/>
  <c r="F267" i="1" s="1"/>
  <c r="H268" i="1"/>
  <c r="F268" i="1" s="1"/>
  <c r="H269" i="1"/>
  <c r="F269" i="1" s="1"/>
  <c r="H270" i="1"/>
  <c r="F270" i="1" s="1"/>
  <c r="H271" i="1"/>
  <c r="F271" i="1" s="1"/>
  <c r="I262" i="1"/>
  <c r="I261" i="1"/>
  <c r="I260" i="1"/>
  <c r="I258" i="1"/>
  <c r="I257" i="1"/>
  <c r="I240" i="1"/>
  <c r="I244" i="1"/>
  <c r="I232" i="1"/>
  <c r="I231" i="1"/>
  <c r="I222" i="1"/>
  <c r="I217" i="1"/>
  <c r="I216" i="1"/>
  <c r="I213" i="1"/>
  <c r="I208" i="1"/>
  <c r="I207" i="1"/>
  <c r="I205" i="1"/>
  <c r="I204" i="1"/>
  <c r="I199" i="1"/>
  <c r="I198" i="1"/>
  <c r="I197" i="1"/>
  <c r="I196" i="1"/>
  <c r="J343" i="1"/>
  <c r="H343" i="1"/>
  <c r="F343" i="1" s="1"/>
  <c r="H342" i="1"/>
  <c r="F342" i="1" s="1"/>
  <c r="H341" i="1"/>
  <c r="F341" i="1" s="1"/>
  <c r="H340" i="1"/>
  <c r="F340" i="1" s="1"/>
  <c r="J339" i="1"/>
  <c r="H339" i="1"/>
  <c r="F339" i="1" s="1"/>
  <c r="H338" i="1"/>
  <c r="F338" i="1" s="1"/>
  <c r="H337" i="1"/>
  <c r="C327" i="1"/>
  <c r="C318" i="1"/>
  <c r="C309" i="1"/>
  <c r="C300" i="1"/>
  <c r="C291" i="1"/>
  <c r="C282" i="1"/>
  <c r="C273" i="1"/>
  <c r="C264" i="1"/>
  <c r="C255" i="1"/>
  <c r="C246" i="1"/>
  <c r="C237" i="1"/>
  <c r="C228" i="1"/>
  <c r="C219" i="1"/>
  <c r="C210" i="1"/>
  <c r="C201" i="1"/>
  <c r="C192" i="1"/>
  <c r="J20" i="24"/>
  <c r="J21" i="24"/>
  <c r="J22" i="24"/>
  <c r="J23" i="24"/>
  <c r="J24" i="24"/>
  <c r="J25" i="24"/>
  <c r="J26" i="24"/>
  <c r="J27" i="24"/>
  <c r="J20" i="23"/>
  <c r="J21" i="23"/>
  <c r="J22" i="23"/>
  <c r="J23" i="23"/>
  <c r="J24" i="23"/>
  <c r="J20" i="41"/>
  <c r="J18" i="40"/>
  <c r="J57" i="41"/>
  <c r="J56" i="41"/>
  <c r="J55" i="41"/>
  <c r="J54" i="41"/>
  <c r="J53" i="41"/>
  <c r="J52" i="41"/>
  <c r="J50" i="41"/>
  <c r="J49" i="41"/>
  <c r="J48" i="41"/>
  <c r="J47" i="41"/>
  <c r="J46" i="41"/>
  <c r="J43" i="41"/>
  <c r="J41" i="41"/>
  <c r="J38" i="41"/>
  <c r="J36" i="41"/>
  <c r="J35" i="41"/>
  <c r="J34" i="41"/>
  <c r="J33" i="41"/>
  <c r="J32" i="41"/>
  <c r="J30" i="41" s="1"/>
  <c r="J31" i="41"/>
  <c r="J29" i="41"/>
  <c r="J28" i="41"/>
  <c r="J27" i="41"/>
  <c r="J26" i="41"/>
  <c r="J25" i="41"/>
  <c r="J24" i="41"/>
  <c r="J22" i="41"/>
  <c r="J21" i="41"/>
  <c r="J19" i="41"/>
  <c r="J18" i="41"/>
  <c r="J17" i="41"/>
  <c r="J16" i="41"/>
  <c r="J13" i="41"/>
  <c r="F12" i="41"/>
  <c r="J12" i="41" s="1"/>
  <c r="B12" i="41"/>
  <c r="F11" i="41"/>
  <c r="J11" i="41" s="1"/>
  <c r="B11" i="41"/>
  <c r="F10" i="41"/>
  <c r="J10" i="41" s="1"/>
  <c r="B10" i="41"/>
  <c r="F9" i="41"/>
  <c r="J9" i="41" s="1"/>
  <c r="B9" i="41"/>
  <c r="F8" i="41"/>
  <c r="J8" i="41" s="1"/>
  <c r="B8" i="41"/>
  <c r="F7" i="41"/>
  <c r="J7" i="41" s="1"/>
  <c r="B7" i="41"/>
  <c r="F6" i="41"/>
  <c r="B6" i="41"/>
  <c r="F5" i="41"/>
  <c r="J5" i="41" s="1"/>
  <c r="B5" i="41"/>
  <c r="J57" i="40"/>
  <c r="J56" i="40"/>
  <c r="J55" i="40"/>
  <c r="J54" i="40"/>
  <c r="J53" i="40"/>
  <c r="J52" i="40"/>
  <c r="J51" i="40" s="1"/>
  <c r="J50" i="40"/>
  <c r="J49" i="40"/>
  <c r="J48" i="40"/>
  <c r="J47" i="40"/>
  <c r="J46" i="40"/>
  <c r="J45" i="40"/>
  <c r="J43" i="40"/>
  <c r="J42" i="40"/>
  <c r="J41" i="40"/>
  <c r="J38" i="40"/>
  <c r="J36" i="40"/>
  <c r="J35" i="40"/>
  <c r="J34" i="40"/>
  <c r="J33" i="40"/>
  <c r="J32" i="40"/>
  <c r="J31" i="40"/>
  <c r="J30" i="40" s="1"/>
  <c r="J29" i="40"/>
  <c r="I195" i="1" s="1"/>
  <c r="J28" i="40"/>
  <c r="J27" i="40"/>
  <c r="J26" i="40"/>
  <c r="J25" i="40"/>
  <c r="J24" i="40"/>
  <c r="J22" i="40"/>
  <c r="J21" i="40"/>
  <c r="J20" i="40"/>
  <c r="J19" i="40"/>
  <c r="J17" i="40"/>
  <c r="J16" i="40"/>
  <c r="J13" i="40"/>
  <c r="F12" i="40"/>
  <c r="J12" i="40" s="1"/>
  <c r="B12" i="40"/>
  <c r="F11" i="40"/>
  <c r="J11" i="40" s="1"/>
  <c r="B11" i="40"/>
  <c r="F10" i="40"/>
  <c r="J10" i="40" s="1"/>
  <c r="B10" i="40"/>
  <c r="F9" i="40"/>
  <c r="J9" i="40" s="1"/>
  <c r="B9" i="40"/>
  <c r="F8" i="40"/>
  <c r="J8" i="40" s="1"/>
  <c r="B8" i="40"/>
  <c r="F7" i="40"/>
  <c r="J7" i="40" s="1"/>
  <c r="B7" i="40"/>
  <c r="F6" i="40"/>
  <c r="D6" i="40"/>
  <c r="B6" i="40"/>
  <c r="F5" i="40"/>
  <c r="J5" i="40" s="1"/>
  <c r="B5" i="40"/>
  <c r="J25" i="22"/>
  <c r="J26" i="22"/>
  <c r="J44" i="41" l="1"/>
  <c r="J23" i="40"/>
  <c r="J37" i="40"/>
  <c r="G339" i="1"/>
  <c r="G340" i="1"/>
  <c r="G343" i="1"/>
  <c r="J6" i="41"/>
  <c r="J4" i="41" s="1"/>
  <c r="J23" i="41"/>
  <c r="J15" i="41"/>
  <c r="I203" i="1" s="1"/>
  <c r="J37" i="41"/>
  <c r="J51" i="41"/>
  <c r="J6" i="40"/>
  <c r="J4" i="40" s="1"/>
  <c r="J44" i="40"/>
  <c r="J15" i="40"/>
  <c r="I194" i="1" s="1"/>
  <c r="J1" i="40" l="1"/>
  <c r="I193" i="1"/>
  <c r="J1" i="41"/>
  <c r="I202" i="1"/>
  <c r="J22" i="6"/>
  <c r="J20" i="6"/>
  <c r="J23" i="5"/>
  <c r="J24" i="5"/>
  <c r="J25" i="5"/>
  <c r="J26" i="5"/>
  <c r="J27" i="5"/>
  <c r="J28" i="5"/>
  <c r="J26" i="2"/>
  <c r="J25" i="2"/>
  <c r="D12" i="2"/>
  <c r="F6" i="4"/>
  <c r="F7" i="4"/>
  <c r="F8" i="4"/>
  <c r="F9" i="4"/>
  <c r="F10" i="4"/>
  <c r="J10" i="4" s="1"/>
  <c r="F11" i="4"/>
  <c r="J11" i="4" s="1"/>
  <c r="F12" i="4"/>
  <c r="J12" i="4" s="1"/>
  <c r="F6" i="5"/>
  <c r="F7" i="5"/>
  <c r="F8" i="5"/>
  <c r="F9" i="5"/>
  <c r="F10" i="5"/>
  <c r="J10" i="5" s="1"/>
  <c r="F11" i="5"/>
  <c r="J11" i="5" s="1"/>
  <c r="F12" i="5"/>
  <c r="J12" i="5" s="1"/>
  <c r="F6" i="6"/>
  <c r="F7" i="6"/>
  <c r="F8" i="6"/>
  <c r="F9" i="6"/>
  <c r="F10" i="6"/>
  <c r="J10" i="6" s="1"/>
  <c r="F11" i="6"/>
  <c r="J11" i="6" s="1"/>
  <c r="F12" i="6"/>
  <c r="J12" i="6" s="1"/>
  <c r="F6" i="7"/>
  <c r="F7" i="7"/>
  <c r="F8" i="7"/>
  <c r="F9" i="7"/>
  <c r="F10" i="7"/>
  <c r="J10" i="7" s="1"/>
  <c r="F11" i="7"/>
  <c r="J11" i="7" s="1"/>
  <c r="F12" i="7"/>
  <c r="J12" i="7" s="1"/>
  <c r="F6" i="8"/>
  <c r="F7" i="8"/>
  <c r="F8" i="8"/>
  <c r="F9" i="8"/>
  <c r="F10" i="8"/>
  <c r="J10" i="8" s="1"/>
  <c r="F11" i="8"/>
  <c r="J11" i="8" s="1"/>
  <c r="F12" i="8"/>
  <c r="J12" i="8" s="1"/>
  <c r="F6" i="9"/>
  <c r="F7" i="9"/>
  <c r="F8" i="9"/>
  <c r="F9" i="9"/>
  <c r="F10" i="9"/>
  <c r="J10" i="9" s="1"/>
  <c r="F11" i="9"/>
  <c r="J11" i="9" s="1"/>
  <c r="F12" i="9"/>
  <c r="J12" i="9" s="1"/>
  <c r="F6" i="10"/>
  <c r="F7" i="10"/>
  <c r="F8" i="10"/>
  <c r="F9" i="10"/>
  <c r="F10" i="10"/>
  <c r="J10" i="10" s="1"/>
  <c r="F11" i="10"/>
  <c r="J11" i="10" s="1"/>
  <c r="F12" i="10"/>
  <c r="J12" i="10" s="1"/>
  <c r="F6" i="11"/>
  <c r="F7" i="11"/>
  <c r="F8" i="11"/>
  <c r="F9" i="11"/>
  <c r="F10" i="11"/>
  <c r="J10" i="11" s="1"/>
  <c r="F11" i="11"/>
  <c r="J11" i="11" s="1"/>
  <c r="F12" i="11"/>
  <c r="J12" i="11" s="1"/>
  <c r="F6" i="12"/>
  <c r="F7" i="12"/>
  <c r="F8" i="12"/>
  <c r="F9" i="12"/>
  <c r="F10" i="12"/>
  <c r="J10" i="12" s="1"/>
  <c r="F11" i="12"/>
  <c r="J11" i="12" s="1"/>
  <c r="F12" i="12"/>
  <c r="J12" i="12" s="1"/>
  <c r="F6" i="13"/>
  <c r="F7" i="13"/>
  <c r="F8" i="13"/>
  <c r="F9" i="13"/>
  <c r="F10" i="13"/>
  <c r="J10" i="13" s="1"/>
  <c r="F11" i="13"/>
  <c r="J11" i="13" s="1"/>
  <c r="F12" i="13"/>
  <c r="J12" i="13" s="1"/>
  <c r="F6" i="14"/>
  <c r="F7" i="14"/>
  <c r="F8" i="14"/>
  <c r="F9" i="14"/>
  <c r="F10" i="14"/>
  <c r="J10" i="14" s="1"/>
  <c r="F11" i="14"/>
  <c r="J11" i="14" s="1"/>
  <c r="F12" i="14"/>
  <c r="J12" i="14" s="1"/>
  <c r="F6" i="15"/>
  <c r="F7" i="15"/>
  <c r="F8" i="15"/>
  <c r="F9" i="15"/>
  <c r="F10" i="15"/>
  <c r="J10" i="15" s="1"/>
  <c r="F11" i="15"/>
  <c r="J11" i="15" s="1"/>
  <c r="F12" i="15"/>
  <c r="J12" i="15" s="1"/>
  <c r="F6" i="16"/>
  <c r="F7" i="16"/>
  <c r="F8" i="16"/>
  <c r="F9" i="16"/>
  <c r="F10" i="16"/>
  <c r="J10" i="16" s="1"/>
  <c r="F11" i="16"/>
  <c r="J11" i="16" s="1"/>
  <c r="F12" i="16"/>
  <c r="J12" i="16" s="1"/>
  <c r="F6" i="17"/>
  <c r="F7" i="17"/>
  <c r="F8" i="17"/>
  <c r="F9" i="17"/>
  <c r="F10" i="17"/>
  <c r="J10" i="17" s="1"/>
  <c r="F11" i="17"/>
  <c r="J11" i="17" s="1"/>
  <c r="F12" i="17"/>
  <c r="J12" i="17" s="1"/>
  <c r="F6" i="18"/>
  <c r="F7" i="18"/>
  <c r="F8" i="18"/>
  <c r="F9" i="18"/>
  <c r="F10" i="18"/>
  <c r="J10" i="18" s="1"/>
  <c r="F11" i="18"/>
  <c r="J11" i="18" s="1"/>
  <c r="F12" i="18"/>
  <c r="J12" i="18" s="1"/>
  <c r="F6" i="19"/>
  <c r="F7" i="19"/>
  <c r="F8" i="19"/>
  <c r="F9" i="19"/>
  <c r="F10" i="19"/>
  <c r="J10" i="19" s="1"/>
  <c r="F11" i="19"/>
  <c r="J11" i="19" s="1"/>
  <c r="F12" i="19"/>
  <c r="J12" i="19" s="1"/>
  <c r="F6" i="20"/>
  <c r="F7" i="20"/>
  <c r="F8" i="20"/>
  <c r="F9" i="20"/>
  <c r="F10" i="20"/>
  <c r="J10" i="20" s="1"/>
  <c r="F11" i="20"/>
  <c r="J11" i="20" s="1"/>
  <c r="F12" i="20"/>
  <c r="J12" i="20" s="1"/>
  <c r="F6" i="21"/>
  <c r="F7" i="21"/>
  <c r="F8" i="21"/>
  <c r="F9" i="21"/>
  <c r="F10" i="21"/>
  <c r="J10" i="21" s="1"/>
  <c r="F11" i="21"/>
  <c r="J11" i="21" s="1"/>
  <c r="F12" i="21"/>
  <c r="J12" i="21" s="1"/>
  <c r="F6" i="22"/>
  <c r="F7" i="22"/>
  <c r="F8" i="22"/>
  <c r="F9" i="22"/>
  <c r="F10" i="22"/>
  <c r="J10" i="22" s="1"/>
  <c r="F11" i="22"/>
  <c r="J11" i="22" s="1"/>
  <c r="F12" i="22"/>
  <c r="J12" i="22" s="1"/>
  <c r="F6" i="23"/>
  <c r="F7" i="23"/>
  <c r="F8" i="23"/>
  <c r="F9" i="23"/>
  <c r="F10" i="23"/>
  <c r="J10" i="23" s="1"/>
  <c r="F11" i="23"/>
  <c r="J11" i="23" s="1"/>
  <c r="F12" i="23"/>
  <c r="J12" i="23" s="1"/>
  <c r="F6" i="24"/>
  <c r="F7" i="24"/>
  <c r="F8" i="24"/>
  <c r="F9" i="24"/>
  <c r="F10" i="24"/>
  <c r="J10" i="24" s="1"/>
  <c r="F11" i="24"/>
  <c r="J11" i="24" s="1"/>
  <c r="F12" i="24"/>
  <c r="J12" i="24" s="1"/>
  <c r="F6" i="25"/>
  <c r="F7" i="25"/>
  <c r="F8" i="25"/>
  <c r="F9" i="25"/>
  <c r="F10" i="25"/>
  <c r="J10" i="25" s="1"/>
  <c r="F11" i="25"/>
  <c r="J11" i="25" s="1"/>
  <c r="F12" i="25"/>
  <c r="J12" i="25" s="1"/>
  <c r="F6" i="26"/>
  <c r="F7" i="26"/>
  <c r="F8" i="26"/>
  <c r="F9" i="26"/>
  <c r="F10" i="26"/>
  <c r="J10" i="26" s="1"/>
  <c r="F11" i="26"/>
  <c r="J11" i="26" s="1"/>
  <c r="F12" i="26"/>
  <c r="J12" i="26" s="1"/>
  <c r="F6" i="27"/>
  <c r="F7" i="27"/>
  <c r="F8" i="27"/>
  <c r="F9" i="27"/>
  <c r="F10" i="27"/>
  <c r="J10" i="27" s="1"/>
  <c r="F11" i="27"/>
  <c r="J11" i="27" s="1"/>
  <c r="F12" i="27"/>
  <c r="J12" i="27" s="1"/>
  <c r="F6" i="28"/>
  <c r="F7" i="28"/>
  <c r="F8" i="28"/>
  <c r="F9" i="28"/>
  <c r="F10" i="28"/>
  <c r="J10" i="28" s="1"/>
  <c r="F11" i="28"/>
  <c r="J11" i="28" s="1"/>
  <c r="F12" i="28"/>
  <c r="J12" i="28" s="1"/>
  <c r="F6" i="29"/>
  <c r="F7" i="29"/>
  <c r="F8" i="29"/>
  <c r="F9" i="29"/>
  <c r="F10" i="29"/>
  <c r="J10" i="29" s="1"/>
  <c r="F11" i="29"/>
  <c r="J11" i="29" s="1"/>
  <c r="F12" i="29"/>
  <c r="J12" i="29" s="1"/>
  <c r="F6" i="30"/>
  <c r="F7" i="30"/>
  <c r="F8" i="30"/>
  <c r="F9" i="30"/>
  <c r="F10" i="30"/>
  <c r="J10" i="30" s="1"/>
  <c r="F11" i="30"/>
  <c r="J11" i="30" s="1"/>
  <c r="F12" i="30"/>
  <c r="J12" i="30" s="1"/>
  <c r="F6" i="31"/>
  <c r="F7" i="31"/>
  <c r="F8" i="31"/>
  <c r="F9" i="31"/>
  <c r="F10" i="31"/>
  <c r="J10" i="31" s="1"/>
  <c r="F11" i="31"/>
  <c r="J11" i="31" s="1"/>
  <c r="F12" i="31"/>
  <c r="J12" i="31" s="1"/>
  <c r="F6" i="32"/>
  <c r="F7" i="32"/>
  <c r="F8" i="32"/>
  <c r="F9" i="32"/>
  <c r="F10" i="32"/>
  <c r="J10" i="32" s="1"/>
  <c r="F11" i="32"/>
  <c r="J11" i="32" s="1"/>
  <c r="F12" i="32"/>
  <c r="J12" i="32" s="1"/>
  <c r="F6" i="33"/>
  <c r="F7" i="33"/>
  <c r="F8" i="33"/>
  <c r="F9" i="33"/>
  <c r="F10" i="33"/>
  <c r="J10" i="33" s="1"/>
  <c r="F11" i="33"/>
  <c r="J11" i="33" s="1"/>
  <c r="F12" i="33"/>
  <c r="J12" i="33" s="1"/>
  <c r="F6" i="34"/>
  <c r="F7" i="34"/>
  <c r="F8" i="34"/>
  <c r="F9" i="34"/>
  <c r="F10" i="34"/>
  <c r="J10" i="34" s="1"/>
  <c r="F11" i="34"/>
  <c r="J11" i="34" s="1"/>
  <c r="F12" i="34"/>
  <c r="J12" i="34" s="1"/>
  <c r="F6" i="35"/>
  <c r="F7" i="35"/>
  <c r="F8" i="35"/>
  <c r="F9" i="35"/>
  <c r="F10" i="35"/>
  <c r="J10" i="35" s="1"/>
  <c r="F11" i="35"/>
  <c r="J11" i="35" s="1"/>
  <c r="F12" i="35"/>
  <c r="J12" i="35" s="1"/>
  <c r="F6" i="36"/>
  <c r="F7" i="36"/>
  <c r="F8" i="36"/>
  <c r="F9" i="36"/>
  <c r="F10" i="36"/>
  <c r="J10" i="36" s="1"/>
  <c r="F11" i="36"/>
  <c r="J11" i="36" s="1"/>
  <c r="F12" i="36"/>
  <c r="J12" i="36" s="1"/>
  <c r="F5" i="5"/>
  <c r="F5" i="6"/>
  <c r="F5" i="7"/>
  <c r="F5" i="8"/>
  <c r="F5" i="9"/>
  <c r="F5" i="10"/>
  <c r="F5" i="11"/>
  <c r="F5" i="12"/>
  <c r="F5" i="13"/>
  <c r="F5" i="14"/>
  <c r="F5" i="15"/>
  <c r="F5" i="16"/>
  <c r="F5" i="17"/>
  <c r="F5" i="18"/>
  <c r="F5" i="19"/>
  <c r="F5" i="20"/>
  <c r="F5" i="21"/>
  <c r="F5" i="22"/>
  <c r="F5" i="23"/>
  <c r="F5" i="24"/>
  <c r="F5" i="25"/>
  <c r="F5" i="26"/>
  <c r="F5" i="27"/>
  <c r="F5" i="28"/>
  <c r="F5" i="29"/>
  <c r="F5" i="30"/>
  <c r="F5" i="31"/>
  <c r="F5" i="32"/>
  <c r="F5" i="33"/>
  <c r="F5" i="34"/>
  <c r="F5" i="35"/>
  <c r="F5" i="36"/>
  <c r="F5" i="4"/>
  <c r="D6" i="5"/>
  <c r="D6" i="6"/>
  <c r="D6" i="7"/>
  <c r="D6" i="8"/>
  <c r="D6" i="9"/>
  <c r="D6" i="10"/>
  <c r="D6" i="11"/>
  <c r="D6" i="12"/>
  <c r="D6" i="13"/>
  <c r="M22" i="1" s="1"/>
  <c r="D6" i="16"/>
  <c r="D6" i="18"/>
  <c r="D6" i="19"/>
  <c r="D6" i="20"/>
  <c r="D6" i="21"/>
  <c r="D6" i="22"/>
  <c r="D6" i="24"/>
  <c r="D6" i="27"/>
  <c r="D6" i="28"/>
  <c r="D6" i="29"/>
  <c r="D6" i="31"/>
  <c r="D6" i="32"/>
  <c r="D6" i="33"/>
  <c r="D6" i="34"/>
  <c r="D6" i="35"/>
  <c r="D6" i="4"/>
  <c r="B6" i="4"/>
  <c r="B7" i="4"/>
  <c r="B8" i="4"/>
  <c r="B9" i="4"/>
  <c r="B10" i="4"/>
  <c r="B11" i="4"/>
  <c r="B12" i="4"/>
  <c r="B6" i="5"/>
  <c r="B7" i="5"/>
  <c r="B8" i="5"/>
  <c r="B9" i="5"/>
  <c r="B10" i="5"/>
  <c r="B11" i="5"/>
  <c r="B12" i="5"/>
  <c r="B6" i="6"/>
  <c r="B7" i="6"/>
  <c r="B8" i="6"/>
  <c r="B9" i="6"/>
  <c r="B10" i="6"/>
  <c r="B11" i="6"/>
  <c r="B12" i="6"/>
  <c r="B6" i="7"/>
  <c r="B7" i="7"/>
  <c r="B8" i="7"/>
  <c r="B9" i="7"/>
  <c r="B10" i="7"/>
  <c r="B11" i="7"/>
  <c r="B12" i="7"/>
  <c r="B6" i="8"/>
  <c r="B7" i="8"/>
  <c r="B8" i="8"/>
  <c r="B9" i="8"/>
  <c r="B10" i="8"/>
  <c r="B11" i="8"/>
  <c r="B12" i="8"/>
  <c r="B6" i="9"/>
  <c r="B7" i="9"/>
  <c r="B8" i="9"/>
  <c r="B9" i="9"/>
  <c r="B10" i="9"/>
  <c r="B11" i="9"/>
  <c r="B12" i="9"/>
  <c r="B6" i="10"/>
  <c r="B7" i="10"/>
  <c r="B8" i="10"/>
  <c r="B9" i="10"/>
  <c r="B10" i="10"/>
  <c r="B11" i="10"/>
  <c r="B12" i="10"/>
  <c r="B6" i="11"/>
  <c r="B7" i="11"/>
  <c r="B8" i="11"/>
  <c r="B9" i="11"/>
  <c r="B10" i="11"/>
  <c r="B11" i="11"/>
  <c r="B12" i="11"/>
  <c r="B6" i="12"/>
  <c r="B7" i="12"/>
  <c r="B8" i="12"/>
  <c r="B9" i="12"/>
  <c r="B10" i="12"/>
  <c r="B11" i="12"/>
  <c r="B12" i="12"/>
  <c r="B6" i="13"/>
  <c r="B7" i="13"/>
  <c r="B8" i="13"/>
  <c r="B9" i="13"/>
  <c r="B10" i="13"/>
  <c r="B11" i="13"/>
  <c r="B12" i="13"/>
  <c r="B6" i="14"/>
  <c r="B7" i="14"/>
  <c r="B8" i="14"/>
  <c r="B9" i="14"/>
  <c r="B10" i="14"/>
  <c r="B11" i="14"/>
  <c r="B12" i="14"/>
  <c r="B6" i="15"/>
  <c r="B7" i="15"/>
  <c r="B8" i="15"/>
  <c r="B9" i="15"/>
  <c r="B10" i="15"/>
  <c r="B11" i="15"/>
  <c r="B12" i="15"/>
  <c r="B6" i="16"/>
  <c r="B7" i="16"/>
  <c r="B8" i="16"/>
  <c r="B9" i="16"/>
  <c r="B10" i="16"/>
  <c r="B11" i="16"/>
  <c r="B12" i="16"/>
  <c r="B6" i="17"/>
  <c r="B7" i="17"/>
  <c r="B8" i="17"/>
  <c r="B9" i="17"/>
  <c r="B10" i="17"/>
  <c r="B11" i="17"/>
  <c r="B12" i="17"/>
  <c r="B6" i="18"/>
  <c r="B7" i="18"/>
  <c r="B8" i="18"/>
  <c r="B9" i="18"/>
  <c r="B10" i="18"/>
  <c r="B11" i="18"/>
  <c r="B12" i="18"/>
  <c r="B6" i="19"/>
  <c r="B7" i="19"/>
  <c r="B8" i="19"/>
  <c r="B9" i="19"/>
  <c r="B10" i="19"/>
  <c r="B11" i="19"/>
  <c r="B12" i="19"/>
  <c r="B6" i="20"/>
  <c r="B7" i="20"/>
  <c r="B8" i="20"/>
  <c r="B9" i="20"/>
  <c r="B10" i="20"/>
  <c r="B11" i="20"/>
  <c r="B12" i="20"/>
  <c r="B6" i="21"/>
  <c r="B7" i="21"/>
  <c r="B8" i="21"/>
  <c r="B9" i="21"/>
  <c r="B10" i="21"/>
  <c r="B11" i="21"/>
  <c r="B12" i="21"/>
  <c r="B6" i="22"/>
  <c r="B7" i="22"/>
  <c r="B8" i="22"/>
  <c r="B9" i="22"/>
  <c r="B10" i="22"/>
  <c r="B11" i="22"/>
  <c r="B12" i="22"/>
  <c r="B6" i="23"/>
  <c r="B7" i="23"/>
  <c r="B8" i="23"/>
  <c r="B9" i="23"/>
  <c r="B10" i="23"/>
  <c r="B11" i="23"/>
  <c r="B12" i="23"/>
  <c r="B6" i="24"/>
  <c r="B7" i="24"/>
  <c r="B8" i="24"/>
  <c r="B9" i="24"/>
  <c r="B10" i="24"/>
  <c r="B11" i="24"/>
  <c r="B12" i="24"/>
  <c r="B6" i="25"/>
  <c r="B7" i="25"/>
  <c r="B8" i="25"/>
  <c r="B9" i="25"/>
  <c r="B10" i="25"/>
  <c r="B11" i="25"/>
  <c r="B12" i="25"/>
  <c r="B6" i="26"/>
  <c r="B7" i="26"/>
  <c r="B8" i="26"/>
  <c r="B9" i="26"/>
  <c r="B10" i="26"/>
  <c r="B11" i="26"/>
  <c r="B12" i="26"/>
  <c r="B6" i="27"/>
  <c r="B7" i="27"/>
  <c r="B8" i="27"/>
  <c r="B9" i="27"/>
  <c r="B10" i="27"/>
  <c r="B11" i="27"/>
  <c r="B12" i="27"/>
  <c r="B6" i="28"/>
  <c r="B7" i="28"/>
  <c r="B8" i="28"/>
  <c r="B9" i="28"/>
  <c r="B10" i="28"/>
  <c r="B11" i="28"/>
  <c r="B12" i="28"/>
  <c r="B6" i="29"/>
  <c r="B7" i="29"/>
  <c r="B8" i="29"/>
  <c r="B9" i="29"/>
  <c r="B10" i="29"/>
  <c r="B11" i="29"/>
  <c r="B12" i="29"/>
  <c r="B6" i="30"/>
  <c r="B7" i="30"/>
  <c r="B8" i="30"/>
  <c r="B9" i="30"/>
  <c r="B10" i="30"/>
  <c r="B11" i="30"/>
  <c r="B12" i="30"/>
  <c r="B6" i="31"/>
  <c r="B7" i="31"/>
  <c r="B8" i="31"/>
  <c r="B9" i="31"/>
  <c r="B10" i="31"/>
  <c r="B11" i="31"/>
  <c r="B12" i="31"/>
  <c r="B6" i="32"/>
  <c r="B7" i="32"/>
  <c r="B8" i="32"/>
  <c r="B9" i="32"/>
  <c r="B10" i="32"/>
  <c r="B11" i="32"/>
  <c r="B12" i="32"/>
  <c r="B6" i="33"/>
  <c r="B7" i="33"/>
  <c r="B8" i="33"/>
  <c r="B9" i="33"/>
  <c r="B10" i="33"/>
  <c r="B11" i="33"/>
  <c r="B12" i="33"/>
  <c r="B6" i="34"/>
  <c r="B7" i="34"/>
  <c r="B8" i="34"/>
  <c r="B9" i="34"/>
  <c r="B10" i="34"/>
  <c r="B11" i="34"/>
  <c r="B12" i="34"/>
  <c r="B6" i="35"/>
  <c r="B7" i="35"/>
  <c r="B8" i="35"/>
  <c r="B9" i="35"/>
  <c r="B10" i="35"/>
  <c r="B11" i="35"/>
  <c r="B12" i="35"/>
  <c r="B6" i="36"/>
  <c r="B7" i="36"/>
  <c r="B8" i="36"/>
  <c r="B9" i="36"/>
  <c r="B10" i="36"/>
  <c r="B11" i="36"/>
  <c r="B12" i="36"/>
  <c r="B5" i="5"/>
  <c r="B5" i="6"/>
  <c r="B5" i="7"/>
  <c r="B5" i="8"/>
  <c r="B5" i="9"/>
  <c r="B5" i="10"/>
  <c r="B5" i="11"/>
  <c r="B5" i="12"/>
  <c r="B5" i="13"/>
  <c r="B5" i="14"/>
  <c r="B5" i="15"/>
  <c r="B5" i="16"/>
  <c r="B5" i="17"/>
  <c r="B5" i="18"/>
  <c r="B5" i="19"/>
  <c r="B5" i="20"/>
  <c r="B5" i="21"/>
  <c r="B5" i="22"/>
  <c r="B5" i="23"/>
  <c r="B5" i="24"/>
  <c r="B5" i="25"/>
  <c r="B5" i="26"/>
  <c r="B5" i="27"/>
  <c r="B5" i="28"/>
  <c r="B5" i="29"/>
  <c r="B5" i="30"/>
  <c r="B5" i="31"/>
  <c r="B5" i="32"/>
  <c r="B5" i="33"/>
  <c r="B5" i="34"/>
  <c r="B5" i="35"/>
  <c r="B5" i="36"/>
  <c r="B5" i="4"/>
  <c r="F12" i="2"/>
  <c r="F13" i="2"/>
  <c r="F14" i="2"/>
  <c r="F15" i="2"/>
  <c r="F16" i="2"/>
  <c r="J16" i="2" s="1"/>
  <c r="F17" i="2"/>
  <c r="J17" i="2" s="1"/>
  <c r="F18" i="2"/>
  <c r="J18" i="2" s="1"/>
  <c r="F11" i="2"/>
  <c r="B16" i="2"/>
  <c r="B17" i="2"/>
  <c r="B18" i="2"/>
  <c r="B15" i="2"/>
  <c r="B12" i="2"/>
  <c r="B13" i="2"/>
  <c r="B14" i="2"/>
  <c r="B11" i="2"/>
  <c r="J9" i="5" l="1"/>
  <c r="J9" i="6"/>
  <c r="J9" i="7"/>
  <c r="J9" i="8"/>
  <c r="J9" i="9"/>
  <c r="J9" i="10"/>
  <c r="J9" i="11"/>
  <c r="J9" i="12"/>
  <c r="J9" i="13"/>
  <c r="J9" i="14"/>
  <c r="J9" i="15"/>
  <c r="J9" i="16"/>
  <c r="J9" i="17"/>
  <c r="J9" i="18"/>
  <c r="J9" i="19"/>
  <c r="J9" i="20"/>
  <c r="J9" i="21"/>
  <c r="J9" i="22"/>
  <c r="J9" i="23"/>
  <c r="J9" i="24"/>
  <c r="J9" i="25"/>
  <c r="J9" i="26"/>
  <c r="J9" i="27"/>
  <c r="J9" i="28"/>
  <c r="J9" i="29"/>
  <c r="J9" i="30"/>
  <c r="J9" i="31"/>
  <c r="J9" i="32"/>
  <c r="J9" i="33"/>
  <c r="J9" i="34"/>
  <c r="J9" i="35"/>
  <c r="J9" i="36"/>
  <c r="J9" i="4"/>
  <c r="J15" i="2"/>
  <c r="J22" i="2"/>
  <c r="J16" i="4"/>
  <c r="J17" i="4"/>
  <c r="J6" i="4"/>
  <c r="J7" i="4"/>
  <c r="J6" i="5"/>
  <c r="J7" i="5"/>
  <c r="J6" i="6"/>
  <c r="J7" i="6"/>
  <c r="J6" i="7"/>
  <c r="J7" i="7"/>
  <c r="J6" i="8"/>
  <c r="J7" i="8"/>
  <c r="J6" i="9"/>
  <c r="J7" i="9"/>
  <c r="J6" i="10"/>
  <c r="J7" i="10"/>
  <c r="J6" i="11"/>
  <c r="J7" i="11"/>
  <c r="J6" i="12"/>
  <c r="J7" i="12"/>
  <c r="J6" i="13"/>
  <c r="J7" i="13"/>
  <c r="J6" i="14"/>
  <c r="J7" i="14"/>
  <c r="J6" i="15"/>
  <c r="J7" i="16"/>
  <c r="J6" i="17"/>
  <c r="J7" i="17"/>
  <c r="J6" i="18"/>
  <c r="J7" i="18"/>
  <c r="J6" i="20"/>
  <c r="J7" i="20"/>
  <c r="J6" i="21"/>
  <c r="J7" i="21"/>
  <c r="J6" i="22"/>
  <c r="J7" i="22"/>
  <c r="J6" i="23"/>
  <c r="J7" i="23"/>
  <c r="J6" i="24"/>
  <c r="J7" i="24"/>
  <c r="J6" i="25"/>
  <c r="J7" i="25"/>
  <c r="J6" i="26"/>
  <c r="J7" i="26"/>
  <c r="J6" i="27"/>
  <c r="J7" i="27"/>
  <c r="J6" i="28"/>
  <c r="J7" i="28"/>
  <c r="J6" i="29"/>
  <c r="J7" i="29"/>
  <c r="J6" i="30"/>
  <c r="J7" i="30"/>
  <c r="J6" i="31"/>
  <c r="J7" i="31"/>
  <c r="J6" i="32"/>
  <c r="J7" i="32"/>
  <c r="J6" i="33"/>
  <c r="J7" i="33"/>
  <c r="J6" i="34"/>
  <c r="J7" i="34"/>
  <c r="J6" i="35"/>
  <c r="J7" i="35"/>
  <c r="J6" i="36"/>
  <c r="J7" i="36"/>
  <c r="J6" i="19"/>
  <c r="J7" i="19"/>
  <c r="J7" i="15"/>
  <c r="J6" i="16"/>
  <c r="J13" i="2"/>
  <c r="I9" i="1" l="1"/>
  <c r="B12" i="3"/>
  <c r="J8" i="5"/>
  <c r="J8" i="6"/>
  <c r="J8" i="7"/>
  <c r="J8" i="8"/>
  <c r="J8" i="9"/>
  <c r="J8" i="10"/>
  <c r="J8" i="11"/>
  <c r="J8" i="12"/>
  <c r="J8" i="13"/>
  <c r="J8" i="14"/>
  <c r="J8" i="15"/>
  <c r="J8" i="16"/>
  <c r="J8" i="17"/>
  <c r="J8" i="18"/>
  <c r="J8" i="19"/>
  <c r="J8" i="20"/>
  <c r="J8" i="21"/>
  <c r="J8" i="22"/>
  <c r="J8" i="23"/>
  <c r="J8" i="24"/>
  <c r="J8" i="25"/>
  <c r="J8" i="26"/>
  <c r="J8" i="27"/>
  <c r="J8" i="28"/>
  <c r="J8" i="29"/>
  <c r="J8" i="30"/>
  <c r="J8" i="31"/>
  <c r="J8" i="32"/>
  <c r="J8" i="33"/>
  <c r="J8" i="34"/>
  <c r="J8" i="35"/>
  <c r="J8" i="36"/>
  <c r="J8" i="4"/>
  <c r="J14" i="2"/>
  <c r="J12" i="2"/>
  <c r="J8" i="2"/>
  <c r="J7" i="2"/>
  <c r="J6" i="2"/>
  <c r="J5" i="2"/>
  <c r="J13" i="4"/>
  <c r="J5" i="4"/>
  <c r="J13" i="5"/>
  <c r="J5" i="5"/>
  <c r="J13" i="6"/>
  <c r="J5" i="6"/>
  <c r="J13" i="7"/>
  <c r="J5" i="7"/>
  <c r="J13" i="8"/>
  <c r="J5" i="8"/>
  <c r="J13" i="9"/>
  <c r="J5" i="9"/>
  <c r="J13" i="10"/>
  <c r="J5" i="10"/>
  <c r="J13" i="11"/>
  <c r="J5" i="11"/>
  <c r="J13" i="12"/>
  <c r="J5" i="12"/>
  <c r="J13" i="13"/>
  <c r="J5" i="13"/>
  <c r="J13" i="14"/>
  <c r="J5" i="14"/>
  <c r="J13" i="15"/>
  <c r="J5" i="15"/>
  <c r="J13" i="16"/>
  <c r="J5" i="16"/>
  <c r="J13" i="17"/>
  <c r="J5" i="17"/>
  <c r="J13" i="18"/>
  <c r="J5" i="18"/>
  <c r="J13" i="19"/>
  <c r="J5" i="19"/>
  <c r="J13" i="20"/>
  <c r="J5" i="20"/>
  <c r="J13" i="21"/>
  <c r="J5" i="21"/>
  <c r="J13" i="22"/>
  <c r="J5" i="22"/>
  <c r="J13" i="23"/>
  <c r="J5" i="23"/>
  <c r="J13" i="24"/>
  <c r="J5" i="24"/>
  <c r="J13" i="25"/>
  <c r="J5" i="25"/>
  <c r="J13" i="26"/>
  <c r="J5" i="26"/>
  <c r="J13" i="27"/>
  <c r="J5" i="27"/>
  <c r="J13" i="28"/>
  <c r="J5" i="28"/>
  <c r="J13" i="29"/>
  <c r="J5" i="29"/>
  <c r="J13" i="30"/>
  <c r="J5" i="30"/>
  <c r="J13" i="31"/>
  <c r="J5" i="31"/>
  <c r="J13" i="32"/>
  <c r="J5" i="32"/>
  <c r="J13" i="33"/>
  <c r="J5" i="33"/>
  <c r="J13" i="34"/>
  <c r="J5" i="34"/>
  <c r="J13" i="35"/>
  <c r="J5" i="35"/>
  <c r="J13" i="36"/>
  <c r="J5" i="36"/>
  <c r="J19" i="2"/>
  <c r="J11" i="2"/>
  <c r="B2" i="1"/>
  <c r="H334" i="1"/>
  <c r="F334" i="1" s="1"/>
  <c r="H325" i="1"/>
  <c r="F325" i="1" s="1"/>
  <c r="H316" i="1"/>
  <c r="F316" i="1" s="1"/>
  <c r="H307" i="1"/>
  <c r="F307" i="1" s="1"/>
  <c r="H298" i="1"/>
  <c r="F298" i="1" s="1"/>
  <c r="H289" i="1"/>
  <c r="F289" i="1" s="1"/>
  <c r="H280" i="1"/>
  <c r="F280" i="1" s="1"/>
  <c r="H262" i="1"/>
  <c r="F262" i="1" s="1"/>
  <c r="H253" i="1"/>
  <c r="F253" i="1" s="1"/>
  <c r="H244" i="1"/>
  <c r="F244" i="1" s="1"/>
  <c r="H235" i="1"/>
  <c r="F235" i="1" s="1"/>
  <c r="H226" i="1"/>
  <c r="H217" i="1"/>
  <c r="F217" i="1" s="1"/>
  <c r="H208" i="1"/>
  <c r="F208" i="1" s="1"/>
  <c r="H199" i="1"/>
  <c r="F199" i="1" s="1"/>
  <c r="H190" i="1"/>
  <c r="F190" i="1" s="1"/>
  <c r="H181" i="1"/>
  <c r="F181" i="1" s="1"/>
  <c r="H172" i="1"/>
  <c r="F172" i="1" s="1"/>
  <c r="H163" i="1"/>
  <c r="F163" i="1" s="1"/>
  <c r="H154" i="1"/>
  <c r="F154" i="1" s="1"/>
  <c r="H145" i="1"/>
  <c r="F145" i="1" s="1"/>
  <c r="H136" i="1"/>
  <c r="H127" i="1"/>
  <c r="F127" i="1" s="1"/>
  <c r="H118" i="1"/>
  <c r="F118" i="1" s="1"/>
  <c r="H109" i="1"/>
  <c r="F109" i="1" s="1"/>
  <c r="H100" i="1"/>
  <c r="F100" i="1" s="1"/>
  <c r="H91" i="1"/>
  <c r="F91" i="1" s="1"/>
  <c r="H82" i="1"/>
  <c r="F82" i="1" s="1"/>
  <c r="H73" i="1"/>
  <c r="F73" i="1" s="1"/>
  <c r="H64" i="1"/>
  <c r="F64" i="1" s="1"/>
  <c r="H55" i="1"/>
  <c r="F55" i="1" s="1"/>
  <c r="H46" i="1"/>
  <c r="F46" i="1" s="1"/>
  <c r="H37" i="1"/>
  <c r="F37" i="1" s="1"/>
  <c r="H28" i="1"/>
  <c r="F28" i="1" s="1"/>
  <c r="C183" i="1"/>
  <c r="C174" i="1"/>
  <c r="C165" i="1"/>
  <c r="C156" i="1"/>
  <c r="C147" i="1"/>
  <c r="C138" i="1"/>
  <c r="C129" i="1"/>
  <c r="C120" i="1"/>
  <c r="C111" i="1"/>
  <c r="C102" i="1"/>
  <c r="C93" i="1"/>
  <c r="C84" i="1"/>
  <c r="C75" i="1"/>
  <c r="C66" i="1"/>
  <c r="C57" i="1"/>
  <c r="C48" i="1"/>
  <c r="C39" i="1"/>
  <c r="C30" i="1"/>
  <c r="C20" i="1"/>
  <c r="H333" i="1"/>
  <c r="F333" i="1" s="1"/>
  <c r="H332" i="1"/>
  <c r="F332" i="1" s="1"/>
  <c r="H331" i="1"/>
  <c r="F331" i="1" s="1"/>
  <c r="H330" i="1"/>
  <c r="F330" i="1" s="1"/>
  <c r="H329" i="1"/>
  <c r="F329" i="1" s="1"/>
  <c r="H328" i="1"/>
  <c r="H324" i="1"/>
  <c r="F324" i="1" s="1"/>
  <c r="H323" i="1"/>
  <c r="F323" i="1" s="1"/>
  <c r="H322" i="1"/>
  <c r="F322" i="1" s="1"/>
  <c r="H321" i="1"/>
  <c r="F321" i="1" s="1"/>
  <c r="H320" i="1"/>
  <c r="F320" i="1" s="1"/>
  <c r="H319" i="1"/>
  <c r="H315" i="1"/>
  <c r="F315" i="1" s="1"/>
  <c r="H314" i="1"/>
  <c r="F314" i="1" s="1"/>
  <c r="H313" i="1"/>
  <c r="F313" i="1" s="1"/>
  <c r="H312" i="1"/>
  <c r="F312" i="1" s="1"/>
  <c r="H311" i="1"/>
  <c r="H310" i="1"/>
  <c r="H306" i="1"/>
  <c r="F306" i="1" s="1"/>
  <c r="H305" i="1"/>
  <c r="F305" i="1" s="1"/>
  <c r="H304" i="1"/>
  <c r="F304" i="1" s="1"/>
  <c r="H303" i="1"/>
  <c r="F303" i="1" s="1"/>
  <c r="H302" i="1"/>
  <c r="F302" i="1" s="1"/>
  <c r="H301" i="1"/>
  <c r="H297" i="1"/>
  <c r="F297" i="1" s="1"/>
  <c r="H296" i="1"/>
  <c r="F296" i="1" s="1"/>
  <c r="H295" i="1"/>
  <c r="F295" i="1" s="1"/>
  <c r="H294" i="1"/>
  <c r="H293" i="1"/>
  <c r="H292" i="1"/>
  <c r="H288" i="1"/>
  <c r="F288" i="1" s="1"/>
  <c r="H287" i="1"/>
  <c r="F287" i="1" s="1"/>
  <c r="H286" i="1"/>
  <c r="F286" i="1" s="1"/>
  <c r="H285" i="1"/>
  <c r="F285" i="1" s="1"/>
  <c r="H284" i="1"/>
  <c r="F284" i="1" s="1"/>
  <c r="H283" i="1"/>
  <c r="H279" i="1"/>
  <c r="F279" i="1" s="1"/>
  <c r="H278" i="1"/>
  <c r="F278" i="1" s="1"/>
  <c r="H277" i="1"/>
  <c r="F277" i="1" s="1"/>
  <c r="H276" i="1"/>
  <c r="F276" i="1" s="1"/>
  <c r="H275" i="1"/>
  <c r="F275" i="1" s="1"/>
  <c r="H274" i="1"/>
  <c r="H261" i="1"/>
  <c r="F261" i="1" s="1"/>
  <c r="H260" i="1"/>
  <c r="F260" i="1" s="1"/>
  <c r="H259" i="1"/>
  <c r="F259" i="1" s="1"/>
  <c r="H258" i="1"/>
  <c r="F258" i="1" s="1"/>
  <c r="H257" i="1"/>
  <c r="F257" i="1" s="1"/>
  <c r="H256" i="1"/>
  <c r="H252" i="1"/>
  <c r="F252" i="1" s="1"/>
  <c r="H251" i="1"/>
  <c r="F251" i="1" s="1"/>
  <c r="H250" i="1"/>
  <c r="F250" i="1" s="1"/>
  <c r="H249" i="1"/>
  <c r="F249" i="1" s="1"/>
  <c r="H248" i="1"/>
  <c r="F248" i="1" s="1"/>
  <c r="H247" i="1"/>
  <c r="H243" i="1"/>
  <c r="F243" i="1" s="1"/>
  <c r="H242" i="1"/>
  <c r="F242" i="1" s="1"/>
  <c r="H241" i="1"/>
  <c r="F241" i="1" s="1"/>
  <c r="H240" i="1"/>
  <c r="F240" i="1" s="1"/>
  <c r="H239" i="1"/>
  <c r="F239" i="1" s="1"/>
  <c r="H238" i="1"/>
  <c r="H234" i="1"/>
  <c r="F234" i="1" s="1"/>
  <c r="H233" i="1"/>
  <c r="F233" i="1" s="1"/>
  <c r="H232" i="1"/>
  <c r="F232" i="1" s="1"/>
  <c r="H231" i="1"/>
  <c r="F231" i="1" s="1"/>
  <c r="H230" i="1"/>
  <c r="H229" i="1"/>
  <c r="H225" i="1"/>
  <c r="F225" i="1" s="1"/>
  <c r="H224" i="1"/>
  <c r="F224" i="1" s="1"/>
  <c r="H223" i="1"/>
  <c r="F223" i="1" s="1"/>
  <c r="H222" i="1"/>
  <c r="F222" i="1" s="1"/>
  <c r="H221" i="1"/>
  <c r="H220" i="1"/>
  <c r="H216" i="1"/>
  <c r="F216" i="1" s="1"/>
  <c r="H215" i="1"/>
  <c r="F215" i="1" s="1"/>
  <c r="H214" i="1"/>
  <c r="F214" i="1" s="1"/>
  <c r="H213" i="1"/>
  <c r="F213" i="1" s="1"/>
  <c r="H212" i="1"/>
  <c r="H211" i="1"/>
  <c r="H207" i="1"/>
  <c r="F207" i="1" s="1"/>
  <c r="H206" i="1"/>
  <c r="F206" i="1" s="1"/>
  <c r="H205" i="1"/>
  <c r="F205" i="1" s="1"/>
  <c r="H204" i="1"/>
  <c r="F204" i="1" s="1"/>
  <c r="H203" i="1"/>
  <c r="F203" i="1" s="1"/>
  <c r="H202" i="1"/>
  <c r="F202" i="1" s="1"/>
  <c r="H198" i="1"/>
  <c r="F198" i="1" s="1"/>
  <c r="H197" i="1"/>
  <c r="F197" i="1" s="1"/>
  <c r="H196" i="1"/>
  <c r="F196" i="1" s="1"/>
  <c r="H195" i="1"/>
  <c r="F195" i="1" s="1"/>
  <c r="H194" i="1"/>
  <c r="F194" i="1" s="1"/>
  <c r="H193" i="1"/>
  <c r="F193" i="1" s="1"/>
  <c r="H189" i="1"/>
  <c r="F189" i="1" s="1"/>
  <c r="H188" i="1"/>
  <c r="F188" i="1" s="1"/>
  <c r="H187" i="1"/>
  <c r="F187" i="1" s="1"/>
  <c r="H186" i="1"/>
  <c r="F186" i="1" s="1"/>
  <c r="H185" i="1"/>
  <c r="H184" i="1"/>
  <c r="H180" i="1"/>
  <c r="F180" i="1" s="1"/>
  <c r="H179" i="1"/>
  <c r="F179" i="1" s="1"/>
  <c r="H178" i="1"/>
  <c r="F178" i="1" s="1"/>
  <c r="H177" i="1"/>
  <c r="F177" i="1" s="1"/>
  <c r="H176" i="1"/>
  <c r="H175" i="1"/>
  <c r="H171" i="1"/>
  <c r="F171" i="1" s="1"/>
  <c r="H170" i="1"/>
  <c r="F170" i="1" s="1"/>
  <c r="H169" i="1"/>
  <c r="F169" i="1" s="1"/>
  <c r="H168" i="1"/>
  <c r="F168" i="1" s="1"/>
  <c r="H167" i="1"/>
  <c r="H166" i="1"/>
  <c r="H162" i="1"/>
  <c r="F162" i="1" s="1"/>
  <c r="H161" i="1"/>
  <c r="F161" i="1" s="1"/>
  <c r="H160" i="1"/>
  <c r="F160" i="1" s="1"/>
  <c r="H159" i="1"/>
  <c r="F159" i="1" s="1"/>
  <c r="H158" i="1"/>
  <c r="H157" i="1"/>
  <c r="H153" i="1"/>
  <c r="F153" i="1" s="1"/>
  <c r="H152" i="1"/>
  <c r="F152" i="1" s="1"/>
  <c r="H151" i="1"/>
  <c r="F151" i="1" s="1"/>
  <c r="H150" i="1"/>
  <c r="F150" i="1" s="1"/>
  <c r="H149" i="1"/>
  <c r="H148" i="1"/>
  <c r="H144" i="1"/>
  <c r="F144" i="1" s="1"/>
  <c r="H143" i="1"/>
  <c r="F143" i="1" s="1"/>
  <c r="H142" i="1"/>
  <c r="F142" i="1" s="1"/>
  <c r="H141" i="1"/>
  <c r="F141" i="1" s="1"/>
  <c r="H140" i="1"/>
  <c r="H139" i="1"/>
  <c r="H135" i="1"/>
  <c r="H134" i="1"/>
  <c r="H133" i="1"/>
  <c r="H132" i="1"/>
  <c r="H131" i="1"/>
  <c r="H130" i="1"/>
  <c r="H126" i="1"/>
  <c r="F126" i="1" s="1"/>
  <c r="H125" i="1"/>
  <c r="F125" i="1" s="1"/>
  <c r="H124" i="1"/>
  <c r="F124" i="1" s="1"/>
  <c r="H123" i="1"/>
  <c r="F123" i="1" s="1"/>
  <c r="H122" i="1"/>
  <c r="H121" i="1"/>
  <c r="H117" i="1"/>
  <c r="H116" i="1"/>
  <c r="H115" i="1"/>
  <c r="F115" i="1" s="1"/>
  <c r="H114" i="1"/>
  <c r="F114" i="1" s="1"/>
  <c r="H113" i="1"/>
  <c r="H112" i="1"/>
  <c r="H108" i="1"/>
  <c r="F108" i="1" s="1"/>
  <c r="H107" i="1"/>
  <c r="F107" i="1" s="1"/>
  <c r="H106" i="1"/>
  <c r="F106" i="1" s="1"/>
  <c r="H105" i="1"/>
  <c r="F105" i="1" s="1"/>
  <c r="H104" i="1"/>
  <c r="F104" i="1" s="1"/>
  <c r="H103" i="1"/>
  <c r="H99" i="1"/>
  <c r="F99" i="1" s="1"/>
  <c r="H98" i="1"/>
  <c r="F98" i="1" s="1"/>
  <c r="H97" i="1"/>
  <c r="F97" i="1" s="1"/>
  <c r="H96" i="1"/>
  <c r="F96" i="1" s="1"/>
  <c r="H95" i="1"/>
  <c r="F95" i="1" s="1"/>
  <c r="H94" i="1"/>
  <c r="H90" i="1"/>
  <c r="F90" i="1" s="1"/>
  <c r="H89" i="1"/>
  <c r="F89" i="1" s="1"/>
  <c r="H88" i="1"/>
  <c r="F88" i="1" s="1"/>
  <c r="H87" i="1"/>
  <c r="F87" i="1" s="1"/>
  <c r="H86" i="1"/>
  <c r="H85" i="1"/>
  <c r="H81" i="1"/>
  <c r="F81" i="1" s="1"/>
  <c r="H80" i="1"/>
  <c r="F80" i="1" s="1"/>
  <c r="H79" i="1"/>
  <c r="F79" i="1" s="1"/>
  <c r="H78" i="1"/>
  <c r="F78" i="1" s="1"/>
  <c r="H77" i="1"/>
  <c r="H76" i="1"/>
  <c r="H72" i="1"/>
  <c r="F72" i="1" s="1"/>
  <c r="H71" i="1"/>
  <c r="F71" i="1" s="1"/>
  <c r="H70" i="1"/>
  <c r="F70" i="1" s="1"/>
  <c r="H69" i="1"/>
  <c r="F69" i="1" s="1"/>
  <c r="H68" i="1"/>
  <c r="H67" i="1"/>
  <c r="H63" i="1"/>
  <c r="F63" i="1" s="1"/>
  <c r="H62" i="1"/>
  <c r="F62" i="1" s="1"/>
  <c r="H61" i="1"/>
  <c r="F61" i="1" s="1"/>
  <c r="H60" i="1"/>
  <c r="F60" i="1" s="1"/>
  <c r="H59" i="1"/>
  <c r="H58" i="1"/>
  <c r="H54" i="1"/>
  <c r="F54" i="1" s="1"/>
  <c r="H53" i="1"/>
  <c r="F53" i="1" s="1"/>
  <c r="H52" i="1"/>
  <c r="F52" i="1" s="1"/>
  <c r="H51" i="1"/>
  <c r="F51" i="1" s="1"/>
  <c r="H50" i="1"/>
  <c r="H49" i="1"/>
  <c r="H45" i="1"/>
  <c r="F45" i="1" s="1"/>
  <c r="H44" i="1"/>
  <c r="F44" i="1" s="1"/>
  <c r="H43" i="1"/>
  <c r="F43" i="1" s="1"/>
  <c r="H42" i="1"/>
  <c r="F42" i="1" s="1"/>
  <c r="H41" i="1"/>
  <c r="H40" i="1"/>
  <c r="H36" i="1"/>
  <c r="F36" i="1" s="1"/>
  <c r="H35" i="1"/>
  <c r="F35" i="1" s="1"/>
  <c r="H34" i="1"/>
  <c r="F34" i="1" s="1"/>
  <c r="H33" i="1"/>
  <c r="F33" i="1" s="1"/>
  <c r="H32" i="1"/>
  <c r="H31" i="1"/>
  <c r="B2" i="36"/>
  <c r="B2" i="35"/>
  <c r="B2" i="34"/>
  <c r="B2" i="33"/>
  <c r="B2" i="32"/>
  <c r="B2" i="31"/>
  <c r="B2" i="30"/>
  <c r="B2" i="29"/>
  <c r="B2" i="28"/>
  <c r="B2" i="27"/>
  <c r="B2" i="26"/>
  <c r="B2" i="25"/>
  <c r="B2" i="24"/>
  <c r="B2" i="23"/>
  <c r="B2" i="22"/>
  <c r="B2" i="21"/>
  <c r="B2" i="20"/>
  <c r="B2" i="19"/>
  <c r="B2" i="18"/>
  <c r="B2" i="17"/>
  <c r="B2" i="16"/>
  <c r="J59" i="6"/>
  <c r="J58" i="6"/>
  <c r="J57" i="6"/>
  <c r="J56" i="6"/>
  <c r="J55" i="6"/>
  <c r="J52" i="6"/>
  <c r="J51" i="6"/>
  <c r="J50" i="6"/>
  <c r="J49" i="6"/>
  <c r="J48" i="6"/>
  <c r="J47" i="6"/>
  <c r="J45" i="6"/>
  <c r="J44" i="6"/>
  <c r="J43" i="6"/>
  <c r="J40" i="6"/>
  <c r="J38" i="6"/>
  <c r="J37" i="6"/>
  <c r="J36" i="6"/>
  <c r="J35" i="6"/>
  <c r="J34" i="6"/>
  <c r="J33" i="6"/>
  <c r="J31" i="6"/>
  <c r="J30" i="6"/>
  <c r="J29" i="6"/>
  <c r="J28" i="6"/>
  <c r="J27" i="6"/>
  <c r="J26" i="6"/>
  <c r="J24" i="6"/>
  <c r="J23" i="6"/>
  <c r="J19" i="6"/>
  <c r="J18" i="6"/>
  <c r="J17" i="6"/>
  <c r="J16" i="6"/>
  <c r="J60" i="7"/>
  <c r="J59" i="7"/>
  <c r="J58" i="7"/>
  <c r="J57" i="7"/>
  <c r="J56" i="7"/>
  <c r="J55" i="7"/>
  <c r="J53" i="7"/>
  <c r="J52" i="7"/>
  <c r="J51" i="7"/>
  <c r="J50" i="7"/>
  <c r="J49" i="7"/>
  <c r="J48" i="7"/>
  <c r="J46" i="7"/>
  <c r="J45" i="7"/>
  <c r="J44" i="7"/>
  <c r="J41" i="7"/>
  <c r="J39" i="7"/>
  <c r="J38" i="7"/>
  <c r="J37" i="7"/>
  <c r="J36" i="7"/>
  <c r="J35" i="7"/>
  <c r="J34" i="7"/>
  <c r="J32" i="7"/>
  <c r="J31" i="7"/>
  <c r="J30" i="7"/>
  <c r="J29" i="7"/>
  <c r="J28" i="7"/>
  <c r="J27" i="7"/>
  <c r="J25" i="7"/>
  <c r="J24" i="7"/>
  <c r="J19" i="7"/>
  <c r="J18" i="7"/>
  <c r="J17" i="7"/>
  <c r="J16" i="7"/>
  <c r="J60" i="8"/>
  <c r="J59" i="8"/>
  <c r="J58" i="8"/>
  <c r="J57" i="8"/>
  <c r="J56" i="8"/>
  <c r="J55" i="8"/>
  <c r="J53" i="8"/>
  <c r="J52" i="8"/>
  <c r="J51" i="8"/>
  <c r="J50" i="8"/>
  <c r="J49" i="8"/>
  <c r="J48" i="8"/>
  <c r="J46" i="8"/>
  <c r="J45" i="8"/>
  <c r="J44" i="8"/>
  <c r="J41" i="8"/>
  <c r="J39" i="8"/>
  <c r="J38" i="8"/>
  <c r="J37" i="8"/>
  <c r="J36" i="8"/>
  <c r="J35" i="8"/>
  <c r="J34" i="8"/>
  <c r="J32" i="8"/>
  <c r="J31" i="8"/>
  <c r="J30" i="8"/>
  <c r="J29" i="8"/>
  <c r="J28" i="8"/>
  <c r="J27" i="8"/>
  <c r="J25" i="8"/>
  <c r="J24" i="8"/>
  <c r="J19" i="8"/>
  <c r="J18" i="8"/>
  <c r="J17" i="8"/>
  <c r="J16" i="8"/>
  <c r="J60" i="9"/>
  <c r="J59" i="9"/>
  <c r="J58" i="9"/>
  <c r="J57" i="9"/>
  <c r="J56" i="9"/>
  <c r="J55" i="9"/>
  <c r="J53" i="9"/>
  <c r="J52" i="9"/>
  <c r="J51" i="9"/>
  <c r="J50" i="9"/>
  <c r="J49" i="9"/>
  <c r="J48" i="9"/>
  <c r="J46" i="9"/>
  <c r="J45" i="9"/>
  <c r="J44" i="9"/>
  <c r="J41" i="9"/>
  <c r="J39" i="9"/>
  <c r="J38" i="9"/>
  <c r="J37" i="9"/>
  <c r="J36" i="9"/>
  <c r="J35" i="9"/>
  <c r="J34" i="9"/>
  <c r="J32" i="9"/>
  <c r="J31" i="9"/>
  <c r="J30" i="9"/>
  <c r="J29" i="9"/>
  <c r="J28" i="9"/>
  <c r="J27" i="9"/>
  <c r="J25" i="9"/>
  <c r="J24" i="9"/>
  <c r="J19" i="9"/>
  <c r="J18" i="9"/>
  <c r="J17" i="9"/>
  <c r="J16" i="9"/>
  <c r="J56" i="10"/>
  <c r="J55" i="10"/>
  <c r="J54" i="10"/>
  <c r="J53" i="10"/>
  <c r="J52" i="10"/>
  <c r="J51" i="10"/>
  <c r="J49" i="10"/>
  <c r="J48" i="10"/>
  <c r="J47" i="10"/>
  <c r="J46" i="10"/>
  <c r="J45" i="10"/>
  <c r="J44" i="10"/>
  <c r="J42" i="10"/>
  <c r="J41" i="10"/>
  <c r="J40" i="10"/>
  <c r="J37" i="10"/>
  <c r="J35" i="10"/>
  <c r="J34" i="10"/>
  <c r="J33" i="10"/>
  <c r="J32" i="10"/>
  <c r="J31" i="10"/>
  <c r="J30" i="10"/>
  <c r="J28" i="10"/>
  <c r="J27" i="10"/>
  <c r="J26" i="10"/>
  <c r="J25" i="10"/>
  <c r="J24" i="10"/>
  <c r="J23" i="10"/>
  <c r="J21" i="10"/>
  <c r="J20" i="10"/>
  <c r="J19" i="10"/>
  <c r="J18" i="10"/>
  <c r="J17" i="10"/>
  <c r="J16" i="10"/>
  <c r="J56" i="11"/>
  <c r="J55" i="11"/>
  <c r="J54" i="11"/>
  <c r="J53" i="11"/>
  <c r="J52" i="11"/>
  <c r="J51" i="11"/>
  <c r="J49" i="11"/>
  <c r="J48" i="11"/>
  <c r="J47" i="11"/>
  <c r="J46" i="11"/>
  <c r="J45" i="11"/>
  <c r="J44" i="11"/>
  <c r="J42" i="11"/>
  <c r="J41" i="11"/>
  <c r="J40" i="11"/>
  <c r="J39" i="11"/>
  <c r="J38" i="11"/>
  <c r="J37" i="11"/>
  <c r="J35" i="11"/>
  <c r="J34" i="11"/>
  <c r="J33" i="11"/>
  <c r="J32" i="11"/>
  <c r="J31" i="11"/>
  <c r="J30" i="11"/>
  <c r="J28" i="11"/>
  <c r="J27" i="11"/>
  <c r="J26" i="11"/>
  <c r="J25" i="11"/>
  <c r="J24" i="11"/>
  <c r="J23" i="11"/>
  <c r="J21" i="11"/>
  <c r="J20" i="11"/>
  <c r="J19" i="11"/>
  <c r="J18" i="11"/>
  <c r="J17" i="11"/>
  <c r="J16" i="11"/>
  <c r="J56" i="12"/>
  <c r="J55" i="12"/>
  <c r="J54" i="12"/>
  <c r="J53" i="12"/>
  <c r="J52" i="12"/>
  <c r="J51" i="12"/>
  <c r="J49" i="12"/>
  <c r="J48" i="12"/>
  <c r="J47" i="12"/>
  <c r="J46" i="12"/>
  <c r="J45" i="12"/>
  <c r="J44" i="12"/>
  <c r="J42" i="12"/>
  <c r="J41" i="12"/>
  <c r="J40" i="12"/>
  <c r="J39" i="12"/>
  <c r="J38" i="12"/>
  <c r="J37" i="12"/>
  <c r="J35" i="12"/>
  <c r="J34" i="12"/>
  <c r="J33" i="12"/>
  <c r="J32" i="12"/>
  <c r="J31" i="12"/>
  <c r="J30" i="12"/>
  <c r="J28" i="12"/>
  <c r="J27" i="12"/>
  <c r="J26" i="12"/>
  <c r="J25" i="12"/>
  <c r="J24" i="12"/>
  <c r="J23" i="12"/>
  <c r="J21" i="12"/>
  <c r="J20" i="12"/>
  <c r="J19" i="12"/>
  <c r="J18" i="12"/>
  <c r="J17" i="12"/>
  <c r="J16" i="12"/>
  <c r="J60" i="13"/>
  <c r="J59" i="13"/>
  <c r="J58" i="13"/>
  <c r="J57" i="13"/>
  <c r="J56" i="13"/>
  <c r="J55" i="13"/>
  <c r="J53" i="13"/>
  <c r="J52" i="13"/>
  <c r="J51" i="13"/>
  <c r="J50" i="13"/>
  <c r="J49" i="13"/>
  <c r="J48" i="13"/>
  <c r="J46" i="13"/>
  <c r="J45" i="13"/>
  <c r="J40" i="13"/>
  <c r="J38" i="13"/>
  <c r="J37" i="13"/>
  <c r="J36" i="13"/>
  <c r="J35" i="13"/>
  <c r="J34" i="13"/>
  <c r="J33" i="13"/>
  <c r="J31" i="13"/>
  <c r="J30" i="13"/>
  <c r="J29" i="13"/>
  <c r="J28" i="13"/>
  <c r="J27" i="13"/>
  <c r="J26" i="13"/>
  <c r="J24" i="13"/>
  <c r="J23" i="13"/>
  <c r="J19" i="13"/>
  <c r="J18" i="13"/>
  <c r="J17" i="13"/>
  <c r="J16" i="13"/>
  <c r="J57" i="14"/>
  <c r="J56" i="14"/>
  <c r="J55" i="14"/>
  <c r="J54" i="14"/>
  <c r="J53" i="14"/>
  <c r="J52" i="14"/>
  <c r="J50" i="14"/>
  <c r="J49" i="14"/>
  <c r="J48" i="14"/>
  <c r="J47" i="14"/>
  <c r="J46" i="14"/>
  <c r="J45" i="14"/>
  <c r="J43" i="14"/>
  <c r="J42" i="14"/>
  <c r="J41" i="14"/>
  <c r="J40" i="14"/>
  <c r="J39" i="14"/>
  <c r="J38" i="14"/>
  <c r="J36" i="14"/>
  <c r="J35" i="14"/>
  <c r="J34" i="14"/>
  <c r="J33" i="14"/>
  <c r="J32" i="14"/>
  <c r="J31" i="14"/>
  <c r="J29" i="14"/>
  <c r="J28" i="14"/>
  <c r="J27" i="14"/>
  <c r="J26" i="14"/>
  <c r="J25" i="14"/>
  <c r="J24" i="14"/>
  <c r="J22" i="14"/>
  <c r="J21" i="14"/>
  <c r="J19" i="14"/>
  <c r="J18" i="14"/>
  <c r="J17" i="14"/>
  <c r="J16" i="14"/>
  <c r="J56" i="15"/>
  <c r="J55" i="15"/>
  <c r="J54" i="15"/>
  <c r="J53" i="15"/>
  <c r="J52" i="15"/>
  <c r="J51" i="15"/>
  <c r="J49" i="15"/>
  <c r="J48" i="15"/>
  <c r="J47" i="15"/>
  <c r="J46" i="15"/>
  <c r="J45" i="15"/>
  <c r="J42" i="15"/>
  <c r="J41" i="15"/>
  <c r="J40" i="15"/>
  <c r="J35" i="15"/>
  <c r="J34" i="15"/>
  <c r="J28" i="15"/>
  <c r="J27" i="15"/>
  <c r="J26" i="15"/>
  <c r="J25" i="15"/>
  <c r="J24" i="15"/>
  <c r="J23" i="15"/>
  <c r="J21" i="15"/>
  <c r="J20" i="15"/>
  <c r="J19" i="15"/>
  <c r="J18" i="15"/>
  <c r="J17" i="15"/>
  <c r="J16" i="15"/>
  <c r="J56" i="16"/>
  <c r="J55" i="16"/>
  <c r="J54" i="16"/>
  <c r="J53" i="16"/>
  <c r="J52" i="16"/>
  <c r="J51" i="16"/>
  <c r="J49" i="16"/>
  <c r="J48" i="16"/>
  <c r="J47" i="16"/>
  <c r="J46" i="16"/>
  <c r="J45" i="16"/>
  <c r="J44" i="16"/>
  <c r="J42" i="16"/>
  <c r="J41" i="16"/>
  <c r="J40" i="16"/>
  <c r="J39" i="16"/>
  <c r="J38" i="16"/>
  <c r="J37" i="16"/>
  <c r="J35" i="16"/>
  <c r="J34" i="16"/>
  <c r="J33" i="16"/>
  <c r="J32" i="16"/>
  <c r="J31" i="16"/>
  <c r="J30" i="16"/>
  <c r="J28" i="16"/>
  <c r="J27" i="16"/>
  <c r="J26" i="16"/>
  <c r="J25" i="16"/>
  <c r="J24" i="16"/>
  <c r="J23" i="16"/>
  <c r="J21" i="16"/>
  <c r="J20" i="16"/>
  <c r="J19" i="16"/>
  <c r="J18" i="16"/>
  <c r="J17" i="16"/>
  <c r="J16" i="16"/>
  <c r="J56" i="17"/>
  <c r="J55" i="17"/>
  <c r="J54" i="17"/>
  <c r="J53" i="17"/>
  <c r="J52" i="17"/>
  <c r="J51" i="17"/>
  <c r="J49" i="17"/>
  <c r="J48" i="17"/>
  <c r="J47" i="17"/>
  <c r="J46" i="17"/>
  <c r="J45" i="17"/>
  <c r="J44" i="17"/>
  <c r="J42" i="17"/>
  <c r="J41" i="17"/>
  <c r="J40" i="17"/>
  <c r="J39" i="17"/>
  <c r="J38" i="17"/>
  <c r="J37" i="17"/>
  <c r="J35" i="17"/>
  <c r="J34" i="17"/>
  <c r="J33" i="17"/>
  <c r="J32" i="17"/>
  <c r="J31" i="17"/>
  <c r="J30" i="17"/>
  <c r="J28" i="17"/>
  <c r="J27" i="17"/>
  <c r="J26" i="17"/>
  <c r="J25" i="17"/>
  <c r="J24" i="17"/>
  <c r="J23" i="17"/>
  <c r="J21" i="17"/>
  <c r="J20" i="17"/>
  <c r="J19" i="17"/>
  <c r="J18" i="17"/>
  <c r="J17" i="17"/>
  <c r="J16" i="17"/>
  <c r="J56" i="18"/>
  <c r="J55" i="18"/>
  <c r="J54" i="18"/>
  <c r="J53" i="18"/>
  <c r="J52" i="18"/>
  <c r="J51" i="18"/>
  <c r="J49" i="18"/>
  <c r="J48" i="18"/>
  <c r="J47" i="18"/>
  <c r="J46" i="18"/>
  <c r="J45" i="18"/>
  <c r="J44" i="18"/>
  <c r="J42" i="18"/>
  <c r="J41" i="18"/>
  <c r="J40" i="18"/>
  <c r="J39" i="18"/>
  <c r="J38" i="18"/>
  <c r="J37" i="18"/>
  <c r="J35" i="18"/>
  <c r="J34" i="18"/>
  <c r="J33" i="18"/>
  <c r="J32" i="18"/>
  <c r="J31" i="18"/>
  <c r="J30" i="18"/>
  <c r="J28" i="18"/>
  <c r="J27" i="18"/>
  <c r="J26" i="18"/>
  <c r="J25" i="18"/>
  <c r="J24" i="18"/>
  <c r="J23" i="18"/>
  <c r="J21" i="18"/>
  <c r="J20" i="18"/>
  <c r="J19" i="18"/>
  <c r="J18" i="18"/>
  <c r="J17" i="18"/>
  <c r="J16" i="18"/>
  <c r="J56" i="19"/>
  <c r="J55" i="19"/>
  <c r="J54" i="19"/>
  <c r="J53" i="19"/>
  <c r="J52" i="19"/>
  <c r="J51" i="19"/>
  <c r="J49" i="19"/>
  <c r="J48" i="19"/>
  <c r="J47" i="19"/>
  <c r="J46" i="19"/>
  <c r="J45" i="19"/>
  <c r="J44" i="19"/>
  <c r="J42" i="19"/>
  <c r="J41" i="19"/>
  <c r="J40" i="19"/>
  <c r="J39" i="19"/>
  <c r="J38" i="19"/>
  <c r="J37" i="19"/>
  <c r="J35" i="19"/>
  <c r="J34" i="19"/>
  <c r="J33" i="19"/>
  <c r="J32" i="19"/>
  <c r="J31" i="19"/>
  <c r="J30" i="19"/>
  <c r="J28" i="19"/>
  <c r="J27" i="19"/>
  <c r="J26" i="19"/>
  <c r="J25" i="19"/>
  <c r="J24" i="19"/>
  <c r="J23" i="19"/>
  <c r="J21" i="19"/>
  <c r="J20" i="19"/>
  <c r="J19" i="19"/>
  <c r="J18" i="19"/>
  <c r="J17" i="19"/>
  <c r="J16" i="19"/>
  <c r="J56" i="20"/>
  <c r="J55" i="20"/>
  <c r="J54" i="20"/>
  <c r="J53" i="20"/>
  <c r="J52" i="20"/>
  <c r="J51" i="20"/>
  <c r="J49" i="20"/>
  <c r="J48" i="20"/>
  <c r="J47" i="20"/>
  <c r="J46" i="20"/>
  <c r="J45" i="20"/>
  <c r="J44" i="20"/>
  <c r="J42" i="20"/>
  <c r="J41" i="20"/>
  <c r="J40" i="20"/>
  <c r="J39" i="20"/>
  <c r="J38" i="20"/>
  <c r="J37" i="20"/>
  <c r="J35" i="20"/>
  <c r="J34" i="20"/>
  <c r="J33" i="20"/>
  <c r="J32" i="20"/>
  <c r="J31" i="20"/>
  <c r="J30" i="20"/>
  <c r="J28" i="20"/>
  <c r="J27" i="20"/>
  <c r="J26" i="20"/>
  <c r="J25" i="20"/>
  <c r="J24" i="20"/>
  <c r="J23" i="20"/>
  <c r="J21" i="20"/>
  <c r="J20" i="20"/>
  <c r="J19" i="20"/>
  <c r="J18" i="20"/>
  <c r="J17" i="20"/>
  <c r="J16" i="20"/>
  <c r="J56" i="21"/>
  <c r="J55" i="21"/>
  <c r="J54" i="21"/>
  <c r="J53" i="21"/>
  <c r="J52" i="21"/>
  <c r="J51" i="21"/>
  <c r="J49" i="21"/>
  <c r="J48" i="21"/>
  <c r="J47" i="21"/>
  <c r="J46" i="21"/>
  <c r="J45" i="21"/>
  <c r="J44" i="21"/>
  <c r="J42" i="21"/>
  <c r="J41" i="21"/>
  <c r="J40" i="21"/>
  <c r="J39" i="21"/>
  <c r="J38" i="21"/>
  <c r="J37" i="21"/>
  <c r="J35" i="21"/>
  <c r="J34" i="21"/>
  <c r="J33" i="21"/>
  <c r="J32" i="21"/>
  <c r="J31" i="21"/>
  <c r="J30" i="21"/>
  <c r="J28" i="21"/>
  <c r="J27" i="21"/>
  <c r="J26" i="21"/>
  <c r="J25" i="21"/>
  <c r="J24" i="21"/>
  <c r="J23" i="21"/>
  <c r="J21" i="21"/>
  <c r="J20" i="21"/>
  <c r="J19" i="21"/>
  <c r="J18" i="21"/>
  <c r="J17" i="21"/>
  <c r="J16" i="21"/>
  <c r="J63" i="22"/>
  <c r="J62" i="22"/>
  <c r="J61" i="22"/>
  <c r="J60" i="22"/>
  <c r="J59" i="22"/>
  <c r="J58" i="22"/>
  <c r="J56" i="22"/>
  <c r="J55" i="22"/>
  <c r="J54" i="22"/>
  <c r="J53" i="22"/>
  <c r="J52" i="22"/>
  <c r="J51" i="22"/>
  <c r="J49" i="22"/>
  <c r="J48" i="22"/>
  <c r="J47" i="22"/>
  <c r="I215" i="1" s="1"/>
  <c r="J46" i="22"/>
  <c r="J45" i="22"/>
  <c r="J44" i="22"/>
  <c r="J42" i="22"/>
  <c r="J41" i="22"/>
  <c r="J40" i="22"/>
  <c r="I214" i="1" s="1"/>
  <c r="J39" i="22"/>
  <c r="J38" i="22"/>
  <c r="J37" i="22"/>
  <c r="J35" i="22"/>
  <c r="J34" i="22"/>
  <c r="J33" i="22"/>
  <c r="J32" i="22"/>
  <c r="J31" i="22"/>
  <c r="J30" i="22"/>
  <c r="J28" i="22"/>
  <c r="J27" i="22"/>
  <c r="J16" i="22"/>
  <c r="J62" i="23"/>
  <c r="J61" i="23"/>
  <c r="J60" i="23"/>
  <c r="J59" i="23"/>
  <c r="J58" i="23"/>
  <c r="J57" i="23"/>
  <c r="J55" i="23"/>
  <c r="J54" i="23"/>
  <c r="J53" i="23"/>
  <c r="J52" i="23"/>
  <c r="J51" i="23"/>
  <c r="J50" i="23"/>
  <c r="I226" i="1" s="1"/>
  <c r="J48" i="23"/>
  <c r="J47" i="23"/>
  <c r="J46" i="23"/>
  <c r="J45" i="23"/>
  <c r="J44" i="23"/>
  <c r="J43" i="23"/>
  <c r="I225" i="1" s="1"/>
  <c r="J41" i="23"/>
  <c r="J40" i="23"/>
  <c r="J39" i="23"/>
  <c r="J38" i="23"/>
  <c r="J37" i="23"/>
  <c r="J36" i="23"/>
  <c r="I224" i="1" s="1"/>
  <c r="J34" i="23"/>
  <c r="J33" i="23"/>
  <c r="J32" i="23"/>
  <c r="J31" i="23"/>
  <c r="J30" i="23"/>
  <c r="J29" i="23"/>
  <c r="I223" i="1" s="1"/>
  <c r="J27" i="23"/>
  <c r="J26" i="23"/>
  <c r="J19" i="23"/>
  <c r="J18" i="23"/>
  <c r="J17" i="23"/>
  <c r="J16" i="23"/>
  <c r="J67" i="24"/>
  <c r="J66" i="24"/>
  <c r="J65" i="24"/>
  <c r="J64" i="24"/>
  <c r="J63" i="24"/>
  <c r="J62" i="24"/>
  <c r="J60" i="24"/>
  <c r="J59" i="24"/>
  <c r="J58" i="24"/>
  <c r="J57" i="24"/>
  <c r="J46" i="24"/>
  <c r="J45" i="24"/>
  <c r="J44" i="24"/>
  <c r="J43" i="24"/>
  <c r="I234" i="1" s="1"/>
  <c r="J42" i="24"/>
  <c r="J41" i="24"/>
  <c r="J39" i="24"/>
  <c r="J38" i="24"/>
  <c r="J36" i="24"/>
  <c r="I233" i="1" s="1"/>
  <c r="J35" i="24"/>
  <c r="J34" i="24"/>
  <c r="J33" i="24"/>
  <c r="J31" i="24"/>
  <c r="J30" i="24"/>
  <c r="J19" i="24"/>
  <c r="J18" i="24"/>
  <c r="J17" i="24"/>
  <c r="J16" i="24"/>
  <c r="J56" i="25"/>
  <c r="J55" i="25"/>
  <c r="J54" i="25"/>
  <c r="J53" i="25"/>
  <c r="J52" i="25"/>
  <c r="J51" i="25"/>
  <c r="J49" i="25"/>
  <c r="J48" i="25"/>
  <c r="J47" i="25"/>
  <c r="J46" i="25"/>
  <c r="J45" i="25"/>
  <c r="J44" i="25"/>
  <c r="J42" i="25"/>
  <c r="J41" i="25"/>
  <c r="J40" i="25"/>
  <c r="J39" i="25"/>
  <c r="J38" i="25"/>
  <c r="J37" i="25"/>
  <c r="J35" i="25"/>
  <c r="J34" i="25"/>
  <c r="J33" i="25"/>
  <c r="J32" i="25"/>
  <c r="J31" i="25"/>
  <c r="J30" i="25"/>
  <c r="J28" i="25"/>
  <c r="J27" i="25"/>
  <c r="J26" i="25"/>
  <c r="J25" i="25"/>
  <c r="J24" i="25"/>
  <c r="J23" i="25"/>
  <c r="J21" i="25"/>
  <c r="J20" i="25"/>
  <c r="J19" i="25"/>
  <c r="J18" i="25"/>
  <c r="J17" i="25"/>
  <c r="J16" i="25"/>
  <c r="J57" i="26"/>
  <c r="J56" i="26"/>
  <c r="J55" i="26"/>
  <c r="J54" i="26"/>
  <c r="J53" i="26"/>
  <c r="J52" i="26"/>
  <c r="J50" i="26"/>
  <c r="J49" i="26"/>
  <c r="J48" i="26"/>
  <c r="J47" i="26"/>
  <c r="J46" i="26"/>
  <c r="J45" i="26"/>
  <c r="J43" i="26"/>
  <c r="J42" i="26"/>
  <c r="J40" i="26"/>
  <c r="J39" i="26"/>
  <c r="J38" i="26"/>
  <c r="J37" i="26"/>
  <c r="J35" i="26"/>
  <c r="J34" i="26"/>
  <c r="J33" i="26"/>
  <c r="J32" i="26"/>
  <c r="J30" i="26"/>
  <c r="J28" i="26"/>
  <c r="J27" i="26"/>
  <c r="J26" i="26"/>
  <c r="J25" i="26"/>
  <c r="J24" i="26"/>
  <c r="J23" i="26"/>
  <c r="J21" i="26"/>
  <c r="J20" i="26"/>
  <c r="J19" i="26"/>
  <c r="J18" i="26"/>
  <c r="J17" i="26"/>
  <c r="J16" i="26"/>
  <c r="J56" i="27"/>
  <c r="J55" i="27"/>
  <c r="J54" i="27"/>
  <c r="J53" i="27"/>
  <c r="J52" i="27"/>
  <c r="J51" i="27"/>
  <c r="J49" i="27"/>
  <c r="J48" i="27"/>
  <c r="J47" i="27"/>
  <c r="J46" i="27"/>
  <c r="J45" i="27"/>
  <c r="J44" i="27"/>
  <c r="J42" i="27"/>
  <c r="J41" i="27"/>
  <c r="J40" i="27"/>
  <c r="J39" i="27"/>
  <c r="J38" i="27"/>
  <c r="J37" i="27"/>
  <c r="J35" i="27"/>
  <c r="J34" i="27"/>
  <c r="J33" i="27"/>
  <c r="J32" i="27"/>
  <c r="J31" i="27"/>
  <c r="J30" i="27"/>
  <c r="J28" i="27"/>
  <c r="J27" i="27"/>
  <c r="J26" i="27"/>
  <c r="J25" i="27"/>
  <c r="J24" i="27"/>
  <c r="J23" i="27"/>
  <c r="J21" i="27"/>
  <c r="J20" i="27"/>
  <c r="J19" i="27"/>
  <c r="J18" i="27"/>
  <c r="J17" i="27"/>
  <c r="J16" i="27"/>
  <c r="J56" i="28"/>
  <c r="J55" i="28"/>
  <c r="J54" i="28"/>
  <c r="J53" i="28"/>
  <c r="J52" i="28"/>
  <c r="J51" i="28"/>
  <c r="J49" i="28"/>
  <c r="J48" i="28"/>
  <c r="J47" i="28"/>
  <c r="J46" i="28"/>
  <c r="J45" i="28"/>
  <c r="J44" i="28"/>
  <c r="J42" i="28"/>
  <c r="J41" i="28"/>
  <c r="J40" i="28"/>
  <c r="J39" i="28"/>
  <c r="J38" i="28"/>
  <c r="J37" i="28"/>
  <c r="J35" i="28"/>
  <c r="J34" i="28"/>
  <c r="J33" i="28"/>
  <c r="J32" i="28"/>
  <c r="J31" i="28"/>
  <c r="J30" i="28"/>
  <c r="J28" i="28"/>
  <c r="J27" i="28"/>
  <c r="J26" i="28"/>
  <c r="J25" i="28"/>
  <c r="J24" i="28"/>
  <c r="J23" i="28"/>
  <c r="J21" i="28"/>
  <c r="J20" i="28"/>
  <c r="J19" i="28"/>
  <c r="J18" i="28"/>
  <c r="J17" i="28"/>
  <c r="J16" i="28"/>
  <c r="J56" i="29"/>
  <c r="J55" i="29"/>
  <c r="J54" i="29"/>
  <c r="J53" i="29"/>
  <c r="J52" i="29"/>
  <c r="J51" i="29"/>
  <c r="J49" i="29"/>
  <c r="J48" i="29"/>
  <c r="J47" i="29"/>
  <c r="J46" i="29"/>
  <c r="J45" i="29"/>
  <c r="J44" i="29"/>
  <c r="J42" i="29"/>
  <c r="J41" i="29"/>
  <c r="J40" i="29"/>
  <c r="J39" i="29"/>
  <c r="J38" i="29"/>
  <c r="J37" i="29"/>
  <c r="J35" i="29"/>
  <c r="J34" i="29"/>
  <c r="J33" i="29"/>
  <c r="J32" i="29"/>
  <c r="J31" i="29"/>
  <c r="J30" i="29"/>
  <c r="J28" i="29"/>
  <c r="J27" i="29"/>
  <c r="J26" i="29"/>
  <c r="J25" i="29"/>
  <c r="J24" i="29"/>
  <c r="J23" i="29"/>
  <c r="J21" i="29"/>
  <c r="J20" i="29"/>
  <c r="J19" i="29"/>
  <c r="J18" i="29"/>
  <c r="J17" i="29"/>
  <c r="J16" i="29"/>
  <c r="J56" i="30"/>
  <c r="J55" i="30"/>
  <c r="J54" i="30"/>
  <c r="J53" i="30"/>
  <c r="J52" i="30"/>
  <c r="J51" i="30"/>
  <c r="J49" i="30"/>
  <c r="J48" i="30"/>
  <c r="J47" i="30"/>
  <c r="J46" i="30"/>
  <c r="J45" i="30"/>
  <c r="J44" i="30"/>
  <c r="J42" i="30"/>
  <c r="J41" i="30"/>
  <c r="J40" i="30"/>
  <c r="J39" i="30"/>
  <c r="J38" i="30"/>
  <c r="J37" i="30"/>
  <c r="J35" i="30"/>
  <c r="J34" i="30"/>
  <c r="J33" i="30"/>
  <c r="J32" i="30"/>
  <c r="J31" i="30"/>
  <c r="J30" i="30"/>
  <c r="J28" i="30"/>
  <c r="J27" i="30"/>
  <c r="J26" i="30"/>
  <c r="J25" i="30"/>
  <c r="J24" i="30"/>
  <c r="J23" i="30"/>
  <c r="J21" i="30"/>
  <c r="J20" i="30"/>
  <c r="J19" i="30"/>
  <c r="J18" i="30"/>
  <c r="J17" i="30"/>
  <c r="J16" i="30"/>
  <c r="J56" i="31"/>
  <c r="J55" i="31"/>
  <c r="J54" i="31"/>
  <c r="J53" i="31"/>
  <c r="J52" i="31"/>
  <c r="J51" i="31"/>
  <c r="J49" i="31"/>
  <c r="J48" i="31"/>
  <c r="J47" i="31"/>
  <c r="J46" i="31"/>
  <c r="J45" i="31"/>
  <c r="J44" i="31"/>
  <c r="J42" i="31"/>
  <c r="J41" i="31"/>
  <c r="J40" i="31"/>
  <c r="J39" i="31"/>
  <c r="J38" i="31"/>
  <c r="J37" i="31"/>
  <c r="J35" i="31"/>
  <c r="J34" i="31"/>
  <c r="J33" i="31"/>
  <c r="J32" i="31"/>
  <c r="J31" i="31"/>
  <c r="J30" i="31"/>
  <c r="J28" i="31"/>
  <c r="J27" i="31"/>
  <c r="J26" i="31"/>
  <c r="J25" i="31"/>
  <c r="J24" i="31"/>
  <c r="J23" i="31"/>
  <c r="J21" i="31"/>
  <c r="J20" i="31"/>
  <c r="J19" i="31"/>
  <c r="J18" i="31"/>
  <c r="J17" i="31"/>
  <c r="J16" i="31"/>
  <c r="J56" i="32"/>
  <c r="J55" i="32"/>
  <c r="J54" i="32"/>
  <c r="J53" i="32"/>
  <c r="J52" i="32"/>
  <c r="J51" i="32"/>
  <c r="J49" i="32"/>
  <c r="J48" i="32"/>
  <c r="J47" i="32"/>
  <c r="J46" i="32"/>
  <c r="J45" i="32"/>
  <c r="J44" i="32"/>
  <c r="J42" i="32"/>
  <c r="J41" i="32"/>
  <c r="J40" i="32"/>
  <c r="J39" i="32"/>
  <c r="J38" i="32"/>
  <c r="J37" i="32"/>
  <c r="J35" i="32"/>
  <c r="J34" i="32"/>
  <c r="J33" i="32"/>
  <c r="J32" i="32"/>
  <c r="J31" i="32"/>
  <c r="J30" i="32"/>
  <c r="J28" i="32"/>
  <c r="J27" i="32"/>
  <c r="J26" i="32"/>
  <c r="J25" i="32"/>
  <c r="J24" i="32"/>
  <c r="J23" i="32"/>
  <c r="J21" i="32"/>
  <c r="J20" i="32"/>
  <c r="J19" i="32"/>
  <c r="J18" i="32"/>
  <c r="J17" i="32"/>
  <c r="J16" i="32"/>
  <c r="J56" i="33"/>
  <c r="J55" i="33"/>
  <c r="J54" i="33"/>
  <c r="J53" i="33"/>
  <c r="J52" i="33"/>
  <c r="J51" i="33"/>
  <c r="J49" i="33"/>
  <c r="J48" i="33"/>
  <c r="J47" i="33"/>
  <c r="J46" i="33"/>
  <c r="J45" i="33"/>
  <c r="J44" i="33"/>
  <c r="J42" i="33"/>
  <c r="J41" i="33"/>
  <c r="J40" i="33"/>
  <c r="J39" i="33"/>
  <c r="J38" i="33"/>
  <c r="J37" i="33"/>
  <c r="J35" i="33"/>
  <c r="J34" i="33"/>
  <c r="J33" i="33"/>
  <c r="J32" i="33"/>
  <c r="J31" i="33"/>
  <c r="J30" i="33"/>
  <c r="J28" i="33"/>
  <c r="J27" i="33"/>
  <c r="J26" i="33"/>
  <c r="J25" i="33"/>
  <c r="J24" i="33"/>
  <c r="J23" i="33"/>
  <c r="J21" i="33"/>
  <c r="J20" i="33"/>
  <c r="J19" i="33"/>
  <c r="J18" i="33"/>
  <c r="J17" i="33"/>
  <c r="J16" i="33"/>
  <c r="J56" i="34"/>
  <c r="J55" i="34"/>
  <c r="J54" i="34"/>
  <c r="J53" i="34"/>
  <c r="J52" i="34"/>
  <c r="J51" i="34"/>
  <c r="J49" i="34"/>
  <c r="J48" i="34"/>
  <c r="J47" i="34"/>
  <c r="J46" i="34"/>
  <c r="J45" i="34"/>
  <c r="J44" i="34"/>
  <c r="J42" i="34"/>
  <c r="J41" i="34"/>
  <c r="J40" i="34"/>
  <c r="J39" i="34"/>
  <c r="J38" i="34"/>
  <c r="J37" i="34"/>
  <c r="J35" i="34"/>
  <c r="J34" i="34"/>
  <c r="J33" i="34"/>
  <c r="J32" i="34"/>
  <c r="J31" i="34"/>
  <c r="J30" i="34"/>
  <c r="J28" i="34"/>
  <c r="J27" i="34"/>
  <c r="J26" i="34"/>
  <c r="J25" i="34"/>
  <c r="J24" i="34"/>
  <c r="J23" i="34"/>
  <c r="J21" i="34"/>
  <c r="J20" i="34"/>
  <c r="J19" i="34"/>
  <c r="J18" i="34"/>
  <c r="J17" i="34"/>
  <c r="J16" i="34"/>
  <c r="J56" i="35"/>
  <c r="J55" i="35"/>
  <c r="J54" i="35"/>
  <c r="J53" i="35"/>
  <c r="J52" i="35"/>
  <c r="J51" i="35"/>
  <c r="J49" i="35"/>
  <c r="J48" i="35"/>
  <c r="J47" i="35"/>
  <c r="J46" i="35"/>
  <c r="J45" i="35"/>
  <c r="J44" i="35"/>
  <c r="J42" i="35"/>
  <c r="J41" i="35"/>
  <c r="J40" i="35"/>
  <c r="J39" i="35"/>
  <c r="J38" i="35"/>
  <c r="J37" i="35"/>
  <c r="J35" i="35"/>
  <c r="J34" i="35"/>
  <c r="J33" i="35"/>
  <c r="J32" i="35"/>
  <c r="J31" i="35"/>
  <c r="J30" i="35"/>
  <c r="J28" i="35"/>
  <c r="J27" i="35"/>
  <c r="J26" i="35"/>
  <c r="J25" i="35"/>
  <c r="J24" i="35"/>
  <c r="J23" i="35"/>
  <c r="J21" i="35"/>
  <c r="J20" i="35"/>
  <c r="J19" i="35"/>
  <c r="J18" i="35"/>
  <c r="J17" i="35"/>
  <c r="J16" i="35"/>
  <c r="J56" i="36"/>
  <c r="J55" i="36"/>
  <c r="J54" i="36"/>
  <c r="J53" i="36"/>
  <c r="J52" i="36"/>
  <c r="J51" i="36"/>
  <c r="J49" i="36"/>
  <c r="J48" i="36"/>
  <c r="J47" i="36"/>
  <c r="J46" i="36"/>
  <c r="J45" i="36"/>
  <c r="J44" i="36"/>
  <c r="J42" i="36"/>
  <c r="J41" i="36"/>
  <c r="J40" i="36"/>
  <c r="J39" i="36"/>
  <c r="J38" i="36"/>
  <c r="J37" i="36"/>
  <c r="J35" i="36"/>
  <c r="J34" i="36"/>
  <c r="J33" i="36"/>
  <c r="J32" i="36"/>
  <c r="J31" i="36"/>
  <c r="J30" i="36"/>
  <c r="J28" i="36"/>
  <c r="J27" i="36"/>
  <c r="J26" i="36"/>
  <c r="J25" i="36"/>
  <c r="J24" i="36"/>
  <c r="J23" i="36"/>
  <c r="J21" i="36"/>
  <c r="J20" i="36"/>
  <c r="J19" i="36"/>
  <c r="J18" i="36"/>
  <c r="J17" i="36"/>
  <c r="J16" i="36"/>
  <c r="J65" i="5"/>
  <c r="J64" i="5"/>
  <c r="J63" i="5"/>
  <c r="J62" i="5"/>
  <c r="J61" i="5"/>
  <c r="J60" i="5"/>
  <c r="J58" i="5"/>
  <c r="J57" i="5"/>
  <c r="J56" i="5"/>
  <c r="J55" i="5"/>
  <c r="J54" i="5"/>
  <c r="J53" i="5"/>
  <c r="J51" i="5"/>
  <c r="J50" i="5"/>
  <c r="J49" i="5"/>
  <c r="J44" i="5"/>
  <c r="J43" i="5"/>
  <c r="J42" i="5"/>
  <c r="J41" i="5"/>
  <c r="J40" i="5"/>
  <c r="J39" i="5"/>
  <c r="J37" i="5"/>
  <c r="J36" i="5"/>
  <c r="J35" i="5"/>
  <c r="J34" i="5"/>
  <c r="J33" i="5"/>
  <c r="J30" i="5"/>
  <c r="J29" i="5"/>
  <c r="J19" i="5"/>
  <c r="J18" i="5"/>
  <c r="J17" i="5"/>
  <c r="J16" i="5"/>
  <c r="J59" i="4"/>
  <c r="J58" i="4"/>
  <c r="J57" i="4"/>
  <c r="J56" i="4"/>
  <c r="J55" i="4"/>
  <c r="J54" i="4"/>
  <c r="J52" i="4"/>
  <c r="J51" i="4"/>
  <c r="J50" i="4"/>
  <c r="J49" i="4"/>
  <c r="J48" i="4"/>
  <c r="J47" i="4"/>
  <c r="J45" i="4"/>
  <c r="J44" i="4"/>
  <c r="J43" i="4"/>
  <c r="J40" i="4"/>
  <c r="J38" i="4"/>
  <c r="J37" i="4"/>
  <c r="J36" i="4"/>
  <c r="J35" i="4"/>
  <c r="J34" i="4"/>
  <c r="J33" i="4"/>
  <c r="J31" i="4"/>
  <c r="J30" i="4"/>
  <c r="J29" i="4"/>
  <c r="J28" i="4"/>
  <c r="J27" i="4"/>
  <c r="J26" i="4"/>
  <c r="J24" i="4"/>
  <c r="J23" i="4"/>
  <c r="J19" i="4"/>
  <c r="J18" i="4"/>
  <c r="J16" i="1"/>
  <c r="J13" i="1"/>
  <c r="H16" i="1"/>
  <c r="F16" i="1" s="1"/>
  <c r="H13" i="1"/>
  <c r="F13" i="1" s="1"/>
  <c r="B2" i="15"/>
  <c r="J60" i="2"/>
  <c r="J61" i="2"/>
  <c r="J62" i="2"/>
  <c r="J63" i="2"/>
  <c r="J64" i="2"/>
  <c r="J65" i="2"/>
  <c r="B2" i="14"/>
  <c r="B2" i="13"/>
  <c r="B2" i="12"/>
  <c r="B2" i="11"/>
  <c r="B2" i="10"/>
  <c r="B2" i="9"/>
  <c r="B2" i="8"/>
  <c r="B2" i="7"/>
  <c r="B2" i="6"/>
  <c r="B2" i="5"/>
  <c r="B2" i="4"/>
  <c r="B2" i="2"/>
  <c r="H27" i="1"/>
  <c r="F27" i="1" s="1"/>
  <c r="H26" i="1"/>
  <c r="F26" i="1" s="1"/>
  <c r="H25" i="1"/>
  <c r="F25" i="1" s="1"/>
  <c r="H24" i="1"/>
  <c r="F24" i="1" s="1"/>
  <c r="H23" i="1"/>
  <c r="J58" i="2"/>
  <c r="J57" i="2"/>
  <c r="J56" i="2"/>
  <c r="J55" i="2"/>
  <c r="J54" i="2"/>
  <c r="J53" i="2"/>
  <c r="J49" i="2"/>
  <c r="J50" i="2"/>
  <c r="J51" i="2"/>
  <c r="J40" i="2"/>
  <c r="J41" i="2"/>
  <c r="J42" i="2"/>
  <c r="J43" i="2"/>
  <c r="J44" i="2"/>
  <c r="J23" i="2"/>
  <c r="J24" i="2"/>
  <c r="J29" i="2"/>
  <c r="J30" i="2"/>
  <c r="J33" i="2"/>
  <c r="J34" i="2"/>
  <c r="J35" i="2"/>
  <c r="J36" i="2"/>
  <c r="J37" i="2"/>
  <c r="J46" i="2"/>
  <c r="J39" i="2"/>
  <c r="J32" i="2"/>
  <c r="H22" i="1"/>
  <c r="H9" i="1"/>
  <c r="F9" i="1" s="1"/>
  <c r="J15" i="1"/>
  <c r="F226" i="1" l="1"/>
  <c r="F158" i="1"/>
  <c r="F113" i="1"/>
  <c r="G13" i="1"/>
  <c r="J43" i="15"/>
  <c r="I135" i="1" s="1"/>
  <c r="J30" i="14"/>
  <c r="I124" i="1" s="1"/>
  <c r="G124" i="1" s="1"/>
  <c r="J15" i="5"/>
  <c r="I41" i="1" s="1"/>
  <c r="F41" i="1" s="1"/>
  <c r="N22" i="1"/>
  <c r="P22" i="1" s="1"/>
  <c r="J4" i="4"/>
  <c r="J4" i="2"/>
  <c r="I21" i="1" s="1"/>
  <c r="J29" i="18"/>
  <c r="I160" i="1" s="1"/>
  <c r="J160" i="1" s="1"/>
  <c r="J4" i="33"/>
  <c r="I310" i="1" s="1"/>
  <c r="F310" i="1" s="1"/>
  <c r="J4" i="25"/>
  <c r="I238" i="1" s="1"/>
  <c r="F238" i="1" s="1"/>
  <c r="J4" i="17"/>
  <c r="J4" i="16"/>
  <c r="J4" i="9"/>
  <c r="J4" i="8"/>
  <c r="J29" i="34"/>
  <c r="J304" i="1" s="1"/>
  <c r="J22" i="26"/>
  <c r="J29" i="26"/>
  <c r="J29" i="22"/>
  <c r="G195" i="1" s="1"/>
  <c r="J50" i="20"/>
  <c r="I181" i="1" s="1"/>
  <c r="J181" i="1" s="1"/>
  <c r="J36" i="19"/>
  <c r="I170" i="1" s="1"/>
  <c r="J170" i="1" s="1"/>
  <c r="J36" i="15"/>
  <c r="I134" i="1" s="1"/>
  <c r="J134" i="1" s="1"/>
  <c r="J10" i="2"/>
  <c r="J4" i="36"/>
  <c r="I337" i="1" s="1"/>
  <c r="F337" i="1" s="1"/>
  <c r="J4" i="30"/>
  <c r="I283" i="1" s="1"/>
  <c r="F283" i="1" s="1"/>
  <c r="J4" i="28"/>
  <c r="I265" i="1" s="1"/>
  <c r="F265" i="1" s="1"/>
  <c r="J4" i="22"/>
  <c r="I211" i="1" s="1"/>
  <c r="F211" i="1" s="1"/>
  <c r="J4" i="20"/>
  <c r="J4" i="14"/>
  <c r="J4" i="6"/>
  <c r="J4" i="31"/>
  <c r="I292" i="1" s="1"/>
  <c r="F292" i="1" s="1"/>
  <c r="J4" i="23"/>
  <c r="I220" i="1" s="1"/>
  <c r="F220" i="1" s="1"/>
  <c r="J4" i="15"/>
  <c r="J4" i="7"/>
  <c r="J43" i="34"/>
  <c r="J43" i="32"/>
  <c r="J29" i="31"/>
  <c r="J277" i="1" s="1"/>
  <c r="J15" i="30"/>
  <c r="I284" i="1" s="1"/>
  <c r="J43" i="28"/>
  <c r="I270" i="1" s="1"/>
  <c r="J43" i="12"/>
  <c r="I108" i="1" s="1"/>
  <c r="G108" i="1" s="1"/>
  <c r="J15" i="8"/>
  <c r="I68" i="1" s="1"/>
  <c r="J68" i="1" s="1"/>
  <c r="J43" i="36"/>
  <c r="I342" i="1" s="1"/>
  <c r="J46" i="6"/>
  <c r="I54" i="1" s="1"/>
  <c r="G54" i="1" s="1"/>
  <c r="J4" i="29"/>
  <c r="I274" i="1" s="1"/>
  <c r="F274" i="1" s="1"/>
  <c r="J4" i="21"/>
  <c r="J4" i="13"/>
  <c r="J4" i="12"/>
  <c r="J4" i="5"/>
  <c r="J22" i="29"/>
  <c r="J4" i="34"/>
  <c r="I319" i="1" s="1"/>
  <c r="F319" i="1" s="1"/>
  <c r="J4" i="32"/>
  <c r="I301" i="1" s="1"/>
  <c r="F301" i="1" s="1"/>
  <c r="J4" i="26"/>
  <c r="I247" i="1" s="1"/>
  <c r="F247" i="1" s="1"/>
  <c r="J4" i="24"/>
  <c r="I229" i="1" s="1"/>
  <c r="F229" i="1" s="1"/>
  <c r="J4" i="18"/>
  <c r="J4" i="10"/>
  <c r="G330" i="1"/>
  <c r="J36" i="36"/>
  <c r="I341" i="1" s="1"/>
  <c r="J4" i="35"/>
  <c r="I328" i="1" s="1"/>
  <c r="F328" i="1" s="1"/>
  <c r="J4" i="27"/>
  <c r="I256" i="1" s="1"/>
  <c r="F256" i="1" s="1"/>
  <c r="J4" i="19"/>
  <c r="J4" i="11"/>
  <c r="J331" i="1"/>
  <c r="J15" i="36"/>
  <c r="I338" i="1" s="1"/>
  <c r="J43" i="29"/>
  <c r="J15" i="25"/>
  <c r="J40" i="24"/>
  <c r="G214" i="1" s="1"/>
  <c r="J15" i="21"/>
  <c r="I185" i="1" s="1"/>
  <c r="J43" i="19"/>
  <c r="I171" i="1" s="1"/>
  <c r="J171" i="1" s="1"/>
  <c r="J36" i="29"/>
  <c r="J260" i="1" s="1"/>
  <c r="J22" i="28"/>
  <c r="J50" i="22"/>
  <c r="J198" i="1" s="1"/>
  <c r="J26" i="9"/>
  <c r="I78" i="1" s="1"/>
  <c r="J78" i="1" s="1"/>
  <c r="J54" i="9"/>
  <c r="I82" i="1" s="1"/>
  <c r="J82" i="1" s="1"/>
  <c r="J22" i="35"/>
  <c r="J15" i="32"/>
  <c r="I302" i="1" s="1"/>
  <c r="J29" i="29"/>
  <c r="J15" i="28"/>
  <c r="J28" i="23"/>
  <c r="G204" i="1" s="1"/>
  <c r="J50" i="16"/>
  <c r="I145" i="1" s="1"/>
  <c r="J145" i="1" s="1"/>
  <c r="J44" i="14"/>
  <c r="I126" i="1" s="1"/>
  <c r="J126" i="1" s="1"/>
  <c r="J15" i="11"/>
  <c r="I95" i="1" s="1"/>
  <c r="G95" i="1" s="1"/>
  <c r="J43" i="11"/>
  <c r="I99" i="1" s="1"/>
  <c r="J99" i="1" s="1"/>
  <c r="J29" i="10"/>
  <c r="I88" i="1" s="1"/>
  <c r="G88" i="1" s="1"/>
  <c r="J47" i="9"/>
  <c r="I81" i="1" s="1"/>
  <c r="G81" i="1" s="1"/>
  <c r="J15" i="4"/>
  <c r="I32" i="1" s="1"/>
  <c r="J32" i="1" s="1"/>
  <c r="J50" i="33"/>
  <c r="J29" i="27"/>
  <c r="I259" i="1" s="1"/>
  <c r="J44" i="26"/>
  <c r="J29" i="25"/>
  <c r="J29" i="21"/>
  <c r="I187" i="1" s="1"/>
  <c r="J187" i="1" s="1"/>
  <c r="J43" i="20"/>
  <c r="I180" i="1" s="1"/>
  <c r="J47" i="13"/>
  <c r="I117" i="1" s="1"/>
  <c r="J117" i="1" s="1"/>
  <c r="J47" i="7"/>
  <c r="I63" i="1" s="1"/>
  <c r="G63" i="1" s="1"/>
  <c r="J32" i="6"/>
  <c r="I52" i="1" s="1"/>
  <c r="G52" i="1" s="1"/>
  <c r="J42" i="23"/>
  <c r="J206" i="1" s="1"/>
  <c r="J22" i="10"/>
  <c r="I87" i="1" s="1"/>
  <c r="G87" i="1" s="1"/>
  <c r="J39" i="4"/>
  <c r="I35" i="1" s="1"/>
  <c r="G35" i="1" s="1"/>
  <c r="J59" i="5"/>
  <c r="I46" i="1" s="1"/>
  <c r="J46" i="1" s="1"/>
  <c r="J43" i="35"/>
  <c r="I333" i="1" s="1"/>
  <c r="J333" i="1" s="1"/>
  <c r="J15" i="34"/>
  <c r="I320" i="1" s="1"/>
  <c r="J43" i="33"/>
  <c r="J43" i="31"/>
  <c r="J36" i="26"/>
  <c r="J22" i="25"/>
  <c r="J222" i="1" s="1"/>
  <c r="J50" i="25"/>
  <c r="J226" i="1" s="1"/>
  <c r="J15" i="24"/>
  <c r="I230" i="1" s="1"/>
  <c r="F230" i="1" s="1"/>
  <c r="J61" i="24"/>
  <c r="J217" i="1" s="1"/>
  <c r="J56" i="23"/>
  <c r="J208" i="1" s="1"/>
  <c r="J43" i="22"/>
  <c r="J197" i="1" s="1"/>
  <c r="J22" i="21"/>
  <c r="I186" i="1" s="1"/>
  <c r="G186" i="1" s="1"/>
  <c r="J22" i="19"/>
  <c r="I168" i="1" s="1"/>
  <c r="J168" i="1" s="1"/>
  <c r="J23" i="14"/>
  <c r="I123" i="1" s="1"/>
  <c r="J123" i="1" s="1"/>
  <c r="J40" i="7"/>
  <c r="I62" i="1" s="1"/>
  <c r="J62" i="1" s="1"/>
  <c r="J22" i="34"/>
  <c r="J43" i="30"/>
  <c r="I288" i="1" s="1"/>
  <c r="J50" i="17"/>
  <c r="I154" i="1" s="1"/>
  <c r="J154" i="1" s="1"/>
  <c r="J15" i="16"/>
  <c r="I140" i="1" s="1"/>
  <c r="J140" i="1" s="1"/>
  <c r="J43" i="16"/>
  <c r="I144" i="1" s="1"/>
  <c r="J144" i="1" s="1"/>
  <c r="J29" i="12"/>
  <c r="I106" i="1" s="1"/>
  <c r="J106" i="1" s="1"/>
  <c r="J43" i="10"/>
  <c r="I90" i="1" s="1"/>
  <c r="J90" i="1" s="1"/>
  <c r="J33" i="9"/>
  <c r="I79" i="1" s="1"/>
  <c r="J79" i="1" s="1"/>
  <c r="J26" i="7"/>
  <c r="I60" i="1" s="1"/>
  <c r="G60" i="1" s="1"/>
  <c r="J36" i="31"/>
  <c r="J278" i="1" s="1"/>
  <c r="J43" i="25"/>
  <c r="J49" i="23"/>
  <c r="G207" i="1" s="1"/>
  <c r="J15" i="19"/>
  <c r="I167" i="1" s="1"/>
  <c r="J25" i="13"/>
  <c r="I114" i="1" s="1"/>
  <c r="G114" i="1" s="1"/>
  <c r="J54" i="13"/>
  <c r="I118" i="1" s="1"/>
  <c r="J118" i="1" s="1"/>
  <c r="J36" i="12"/>
  <c r="I107" i="1" s="1"/>
  <c r="J107" i="1" s="1"/>
  <c r="J47" i="8"/>
  <c r="I72" i="1" s="1"/>
  <c r="J72" i="1" s="1"/>
  <c r="J33" i="7"/>
  <c r="I61" i="1" s="1"/>
  <c r="J61" i="1" s="1"/>
  <c r="G16" i="1"/>
  <c r="J15" i="14"/>
  <c r="I122" i="1" s="1"/>
  <c r="J122" i="1" s="1"/>
  <c r="J32" i="4"/>
  <c r="I34" i="1" s="1"/>
  <c r="G34" i="1" s="1"/>
  <c r="H40" i="3"/>
  <c r="J22" i="17"/>
  <c r="I150" i="1" s="1"/>
  <c r="G150" i="1" s="1"/>
  <c r="J43" i="17"/>
  <c r="I153" i="1" s="1"/>
  <c r="G153" i="1" s="1"/>
  <c r="J29" i="17"/>
  <c r="I151" i="1" s="1"/>
  <c r="J151" i="1" s="1"/>
  <c r="J52" i="2"/>
  <c r="I27" i="1" s="1"/>
  <c r="J27" i="1" s="1"/>
  <c r="J124" i="1"/>
  <c r="J21" i="2"/>
  <c r="I23" i="1" s="1"/>
  <c r="F23" i="1" s="1"/>
  <c r="J216" i="1"/>
  <c r="J43" i="21"/>
  <c r="I189" i="1" s="1"/>
  <c r="J189" i="1" s="1"/>
  <c r="J43" i="18"/>
  <c r="I162" i="1" s="1"/>
  <c r="G162" i="1" s="1"/>
  <c r="J46" i="4"/>
  <c r="I36" i="1" s="1"/>
  <c r="J36" i="1" s="1"/>
  <c r="J52" i="5"/>
  <c r="I45" i="1" s="1"/>
  <c r="J45" i="1" s="1"/>
  <c r="J43" i="27"/>
  <c r="J15" i="27"/>
  <c r="J15" i="33"/>
  <c r="I311" i="1" s="1"/>
  <c r="F311" i="1" s="1"/>
  <c r="J15" i="15"/>
  <c r="I131" i="1" s="1"/>
  <c r="J131" i="1" s="1"/>
  <c r="J15" i="12"/>
  <c r="J15" i="10"/>
  <c r="I86" i="1" s="1"/>
  <c r="J86" i="1" s="1"/>
  <c r="J15" i="6"/>
  <c r="I50" i="1" s="1"/>
  <c r="F50" i="1" s="1"/>
  <c r="J15" i="31"/>
  <c r="I293" i="1" s="1"/>
  <c r="F293" i="1" s="1"/>
  <c r="J15" i="22"/>
  <c r="J15" i="9"/>
  <c r="I77" i="1" s="1"/>
  <c r="J77" i="1" s="1"/>
  <c r="J15" i="26"/>
  <c r="J15" i="35"/>
  <c r="I329" i="1" s="1"/>
  <c r="J329" i="1" s="1"/>
  <c r="J15" i="29"/>
  <c r="J15" i="20"/>
  <c r="I176" i="1" s="1"/>
  <c r="J15" i="18"/>
  <c r="I158" i="1" s="1"/>
  <c r="J158" i="1" s="1"/>
  <c r="J15" i="13"/>
  <c r="I113" i="1" s="1"/>
  <c r="J113" i="1" s="1"/>
  <c r="J15" i="7"/>
  <c r="I59" i="1" s="1"/>
  <c r="J15" i="23"/>
  <c r="J15" i="17"/>
  <c r="I149" i="1" s="1"/>
  <c r="J149" i="1" s="1"/>
  <c r="J22" i="12"/>
  <c r="I105" i="1" s="1"/>
  <c r="G105" i="1" s="1"/>
  <c r="J25" i="4"/>
  <c r="I33" i="1" s="1"/>
  <c r="J33" i="1" s="1"/>
  <c r="J22" i="32"/>
  <c r="J22" i="20"/>
  <c r="I177" i="1" s="1"/>
  <c r="G177" i="1" s="1"/>
  <c r="J22" i="16"/>
  <c r="I141" i="1" s="1"/>
  <c r="G141" i="1" s="1"/>
  <c r="J25" i="6"/>
  <c r="I51" i="1" s="1"/>
  <c r="J51" i="1" s="1"/>
  <c r="J31" i="5"/>
  <c r="I42" i="1" s="1"/>
  <c r="G42" i="1" s="1"/>
  <c r="J22" i="36"/>
  <c r="G321" i="1" s="1"/>
  <c r="J22" i="33"/>
  <c r="I312" i="1" s="1"/>
  <c r="J22" i="31"/>
  <c r="I294" i="1" s="1"/>
  <c r="F294" i="1" s="1"/>
  <c r="J22" i="15"/>
  <c r="I132" i="1" s="1"/>
  <c r="J132" i="1" s="1"/>
  <c r="J22" i="30"/>
  <c r="I285" i="1" s="1"/>
  <c r="J22" i="27"/>
  <c r="G240" i="1" s="1"/>
  <c r="J32" i="24"/>
  <c r="J22" i="18"/>
  <c r="I159" i="1" s="1"/>
  <c r="G159" i="1" s="1"/>
  <c r="J22" i="11"/>
  <c r="I96" i="1" s="1"/>
  <c r="J96" i="1" s="1"/>
  <c r="J26" i="8"/>
  <c r="I69" i="1" s="1"/>
  <c r="G69" i="1" s="1"/>
  <c r="J29" i="35"/>
  <c r="J35" i="23"/>
  <c r="J29" i="19"/>
  <c r="I169" i="1" s="1"/>
  <c r="G169" i="1" s="1"/>
  <c r="J29" i="16"/>
  <c r="I142" i="1" s="1"/>
  <c r="J142" i="1" s="1"/>
  <c r="J29" i="33"/>
  <c r="J29" i="30"/>
  <c r="J29" i="28"/>
  <c r="J32" i="13"/>
  <c r="I115" i="1" s="1"/>
  <c r="G115" i="1" s="1"/>
  <c r="J38" i="5"/>
  <c r="I43" i="1" s="1"/>
  <c r="G43" i="1" s="1"/>
  <c r="J29" i="36"/>
  <c r="J322" i="1" s="1"/>
  <c r="J29" i="20"/>
  <c r="I178" i="1" s="1"/>
  <c r="J178" i="1" s="1"/>
  <c r="J29" i="15"/>
  <c r="I133" i="1" s="1"/>
  <c r="J133" i="1" s="1"/>
  <c r="J33" i="8"/>
  <c r="I70" i="1" s="1"/>
  <c r="J70" i="1" s="1"/>
  <c r="J36" i="22"/>
  <c r="J29" i="11"/>
  <c r="I97" i="1" s="1"/>
  <c r="J97" i="1" s="1"/>
  <c r="J29" i="32"/>
  <c r="G286" i="1" s="1"/>
  <c r="J36" i="28"/>
  <c r="I269" i="1" s="1"/>
  <c r="J36" i="21"/>
  <c r="I188" i="1" s="1"/>
  <c r="G188" i="1" s="1"/>
  <c r="J45" i="5"/>
  <c r="I44" i="1" s="1"/>
  <c r="J44" i="1" s="1"/>
  <c r="J36" i="35"/>
  <c r="J36" i="33"/>
  <c r="J36" i="18"/>
  <c r="I161" i="1" s="1"/>
  <c r="J161" i="1" s="1"/>
  <c r="J37" i="14"/>
  <c r="I125" i="1" s="1"/>
  <c r="J125" i="1" s="1"/>
  <c r="J36" i="11"/>
  <c r="I98" i="1" s="1"/>
  <c r="J98" i="1" s="1"/>
  <c r="J40" i="9"/>
  <c r="I80" i="1" s="1"/>
  <c r="J80" i="1" s="1"/>
  <c r="J39" i="6"/>
  <c r="I53" i="1" s="1"/>
  <c r="J53" i="1" s="1"/>
  <c r="J40" i="8"/>
  <c r="I71" i="1" s="1"/>
  <c r="J71" i="1" s="1"/>
  <c r="J36" i="32"/>
  <c r="J287" i="1" s="1"/>
  <c r="J36" i="20"/>
  <c r="I179" i="1" s="1"/>
  <c r="J179" i="1" s="1"/>
  <c r="J36" i="30"/>
  <c r="J36" i="27"/>
  <c r="J36" i="25"/>
  <c r="J36" i="16"/>
  <c r="I143" i="1" s="1"/>
  <c r="J143" i="1" s="1"/>
  <c r="J39" i="13"/>
  <c r="I116" i="1" s="1"/>
  <c r="J36" i="17"/>
  <c r="I152" i="1" s="1"/>
  <c r="J36" i="34"/>
  <c r="J47" i="24"/>
  <c r="J215" i="1" s="1"/>
  <c r="J36" i="10"/>
  <c r="I89" i="1" s="1"/>
  <c r="J89" i="1" s="1"/>
  <c r="J50" i="34"/>
  <c r="J307" i="1" s="1"/>
  <c r="J50" i="31"/>
  <c r="J280" i="1" s="1"/>
  <c r="J53" i="6"/>
  <c r="I55" i="1" s="1"/>
  <c r="J55" i="1" s="1"/>
  <c r="J50" i="11"/>
  <c r="I100" i="1" s="1"/>
  <c r="J50" i="28"/>
  <c r="J50" i="21"/>
  <c r="I190" i="1" s="1"/>
  <c r="J190" i="1" s="1"/>
  <c r="J50" i="19"/>
  <c r="I172" i="1" s="1"/>
  <c r="J51" i="14"/>
  <c r="I127" i="1" s="1"/>
  <c r="G127" i="1" s="1"/>
  <c r="J50" i="18"/>
  <c r="I163" i="1" s="1"/>
  <c r="G163" i="1" s="1"/>
  <c r="J50" i="10"/>
  <c r="I91" i="1" s="1"/>
  <c r="J91" i="1" s="1"/>
  <c r="J50" i="36"/>
  <c r="G325" i="1" s="1"/>
  <c r="J50" i="29"/>
  <c r="J262" i="1" s="1"/>
  <c r="J50" i="27"/>
  <c r="J244" i="1" s="1"/>
  <c r="J57" i="22"/>
  <c r="J199" i="1" s="1"/>
  <c r="J54" i="7"/>
  <c r="I64" i="1" s="1"/>
  <c r="J64" i="1" s="1"/>
  <c r="J51" i="26"/>
  <c r="J50" i="15"/>
  <c r="I136" i="1" s="1"/>
  <c r="J136" i="1" s="1"/>
  <c r="J54" i="8"/>
  <c r="I73" i="1" s="1"/>
  <c r="J73" i="1" s="1"/>
  <c r="J53" i="4"/>
  <c r="I37" i="1" s="1"/>
  <c r="G37" i="1" s="1"/>
  <c r="J334" i="1"/>
  <c r="J50" i="35"/>
  <c r="J50" i="32"/>
  <c r="J289" i="1" s="1"/>
  <c r="J50" i="30"/>
  <c r="J271" i="1" s="1"/>
  <c r="J50" i="12"/>
  <c r="I109" i="1" s="1"/>
  <c r="J109" i="1" s="1"/>
  <c r="J59" i="2"/>
  <c r="I28" i="1" s="1"/>
  <c r="G28" i="1" s="1"/>
  <c r="J38" i="2"/>
  <c r="I25" i="1" s="1"/>
  <c r="J45" i="2"/>
  <c r="I26" i="1" s="1"/>
  <c r="J31" i="2"/>
  <c r="I24" i="1" s="1"/>
  <c r="F68" i="1" l="1"/>
  <c r="F59" i="1"/>
  <c r="G59" i="1" s="1"/>
  <c r="G50" i="1"/>
  <c r="G41" i="1"/>
  <c r="F136" i="1"/>
  <c r="F132" i="1"/>
  <c r="F86" i="1"/>
  <c r="G86" i="1" s="1"/>
  <c r="F77" i="1"/>
  <c r="G77" i="1" s="1"/>
  <c r="F122" i="1"/>
  <c r="F149" i="1"/>
  <c r="F32" i="1"/>
  <c r="G32" i="1" s="1"/>
  <c r="F140" i="1"/>
  <c r="G140" i="1" s="1"/>
  <c r="J203" i="1"/>
  <c r="I221" i="1"/>
  <c r="F221" i="1" s="1"/>
  <c r="G221" i="1" s="1"/>
  <c r="J185" i="1"/>
  <c r="F185" i="1"/>
  <c r="G185" i="1" s="1"/>
  <c r="J176" i="1"/>
  <c r="F176" i="1"/>
  <c r="G176" i="1" s="1"/>
  <c r="F167" i="1"/>
  <c r="G167" i="1" s="1"/>
  <c r="F133" i="1"/>
  <c r="G133" i="1" s="1"/>
  <c r="F135" i="1"/>
  <c r="G135" i="1" s="1"/>
  <c r="F134" i="1"/>
  <c r="G134" i="1" s="1"/>
  <c r="F131" i="1"/>
  <c r="G131" i="1" s="1"/>
  <c r="F116" i="1"/>
  <c r="G116" i="1" s="1"/>
  <c r="F117" i="1"/>
  <c r="G117" i="1" s="1"/>
  <c r="G194" i="1"/>
  <c r="I212" i="1"/>
  <c r="F212" i="1" s="1"/>
  <c r="G212" i="1" s="1"/>
  <c r="G338" i="1"/>
  <c r="J338" i="1"/>
  <c r="J342" i="1"/>
  <c r="G342" i="1"/>
  <c r="J306" i="1"/>
  <c r="I324" i="1"/>
  <c r="J324" i="1" s="1"/>
  <c r="J316" i="1"/>
  <c r="J296" i="1"/>
  <c r="I314" i="1"/>
  <c r="G314" i="1" s="1"/>
  <c r="J298" i="1"/>
  <c r="I316" i="1"/>
  <c r="G295" i="1"/>
  <c r="I313" i="1"/>
  <c r="G313" i="1" s="1"/>
  <c r="J297" i="1"/>
  <c r="I315" i="1"/>
  <c r="J315" i="1" s="1"/>
  <c r="G312" i="1"/>
  <c r="J288" i="1"/>
  <c r="J269" i="1"/>
  <c r="G270" i="1"/>
  <c r="G231" i="1"/>
  <c r="I249" i="1"/>
  <c r="J235" i="1"/>
  <c r="I253" i="1"/>
  <c r="J253" i="1" s="1"/>
  <c r="Q15" i="1" s="1"/>
  <c r="J230" i="1"/>
  <c r="I248" i="1"/>
  <c r="J248" i="1" s="1"/>
  <c r="I239" i="1"/>
  <c r="G239" i="1" s="1"/>
  <c r="J341" i="1"/>
  <c r="G341" i="1"/>
  <c r="J314" i="1"/>
  <c r="I332" i="1"/>
  <c r="J332" i="1" s="1"/>
  <c r="J305" i="1"/>
  <c r="I323" i="1"/>
  <c r="J323" i="1" s="1"/>
  <c r="J320" i="1"/>
  <c r="J311" i="1"/>
  <c r="G293" i="1"/>
  <c r="J302" i="1"/>
  <c r="G285" i="1"/>
  <c r="I303" i="1"/>
  <c r="J303" i="1" s="1"/>
  <c r="G303" i="1"/>
  <c r="G294" i="1"/>
  <c r="G284" i="1"/>
  <c r="J261" i="1"/>
  <c r="I279" i="1"/>
  <c r="G279" i="1" s="1"/>
  <c r="G258" i="1"/>
  <c r="I276" i="1"/>
  <c r="J276" i="1" s="1"/>
  <c r="J257" i="1"/>
  <c r="I275" i="1"/>
  <c r="J275" i="1" s="1"/>
  <c r="G248" i="1"/>
  <c r="I266" i="1"/>
  <c r="J266" i="1" s="1"/>
  <c r="G249" i="1"/>
  <c r="I267" i="1"/>
  <c r="G267" i="1" s="1"/>
  <c r="J259" i="1"/>
  <c r="G233" i="1"/>
  <c r="I251" i="1"/>
  <c r="G251" i="1" s="1"/>
  <c r="J232" i="1"/>
  <c r="I250" i="1"/>
  <c r="J250" i="1" s="1"/>
  <c r="G234" i="1"/>
  <c r="I252" i="1"/>
  <c r="J252" i="1" s="1"/>
  <c r="J224" i="1"/>
  <c r="I242" i="1"/>
  <c r="J242" i="1" s="1"/>
  <c r="J225" i="1"/>
  <c r="I243" i="1"/>
  <c r="J243" i="1" s="1"/>
  <c r="J223" i="1"/>
  <c r="I241" i="1"/>
  <c r="G241" i="1" s="1"/>
  <c r="J135" i="1"/>
  <c r="J337" i="1"/>
  <c r="G337" i="1"/>
  <c r="J283" i="1"/>
  <c r="J1" i="32"/>
  <c r="I58" i="1"/>
  <c r="J1" i="7"/>
  <c r="J247" i="1"/>
  <c r="J1" i="28"/>
  <c r="J292" i="1"/>
  <c r="J1" i="33"/>
  <c r="I40" i="1"/>
  <c r="J1" i="5"/>
  <c r="I130" i="1"/>
  <c r="J1" i="15"/>
  <c r="J265" i="1"/>
  <c r="J1" i="30"/>
  <c r="I22" i="1"/>
  <c r="J1" i="2"/>
  <c r="I67" i="1"/>
  <c r="J1" i="8"/>
  <c r="I31" i="1"/>
  <c r="J1" i="4"/>
  <c r="I85" i="1"/>
  <c r="J1" i="10"/>
  <c r="J319" i="1"/>
  <c r="J1" i="36"/>
  <c r="I112" i="1"/>
  <c r="J1" i="13"/>
  <c r="J274" i="1"/>
  <c r="J1" i="31"/>
  <c r="I184" i="1"/>
  <c r="J1" i="21"/>
  <c r="I49" i="1"/>
  <c r="J1" i="6"/>
  <c r="I76" i="1"/>
  <c r="J1" i="9"/>
  <c r="J202" i="1"/>
  <c r="J1" i="23"/>
  <c r="I157" i="1"/>
  <c r="J1" i="18"/>
  <c r="I94" i="1"/>
  <c r="J1" i="11"/>
  <c r="J211" i="1"/>
  <c r="J1" i="24"/>
  <c r="I166" i="1"/>
  <c r="J1" i="19"/>
  <c r="J229" i="1"/>
  <c r="J1" i="26"/>
  <c r="J256" i="1"/>
  <c r="J1" i="29"/>
  <c r="I121" i="1"/>
  <c r="J1" i="14"/>
  <c r="M9" i="14" s="1"/>
  <c r="I139" i="1"/>
  <c r="J1" i="16"/>
  <c r="I103" i="1"/>
  <c r="J1" i="12"/>
  <c r="J328" i="1"/>
  <c r="I175" i="1"/>
  <c r="J1" i="20"/>
  <c r="I148" i="1"/>
  <c r="J1" i="17"/>
  <c r="J238" i="1"/>
  <c r="J1" i="27"/>
  <c r="J310" i="1"/>
  <c r="J1" i="35"/>
  <c r="J301" i="1"/>
  <c r="J1" i="34"/>
  <c r="J193" i="1"/>
  <c r="J1" i="22"/>
  <c r="J220" i="1"/>
  <c r="J1" i="25"/>
  <c r="I104" i="1"/>
  <c r="J104" i="1" s="1"/>
  <c r="G193" i="1"/>
  <c r="G274" i="1"/>
  <c r="G310" i="1"/>
  <c r="G256" i="1"/>
  <c r="J195" i="1"/>
  <c r="J88" i="1"/>
  <c r="G107" i="1"/>
  <c r="G197" i="1"/>
  <c r="G297" i="1"/>
  <c r="J258" i="1"/>
  <c r="G331" i="1"/>
  <c r="J330" i="1"/>
  <c r="G154" i="1"/>
  <c r="G261" i="1"/>
  <c r="J249" i="1"/>
  <c r="G232" i="1"/>
  <c r="J153" i="1"/>
  <c r="G68" i="1"/>
  <c r="G302" i="1"/>
  <c r="G320" i="1"/>
  <c r="J231" i="1"/>
  <c r="G78" i="1"/>
  <c r="G99" i="1"/>
  <c r="G223" i="1"/>
  <c r="G206" i="1"/>
  <c r="J87" i="1"/>
  <c r="J167" i="1"/>
  <c r="J234" i="1"/>
  <c r="G259" i="1"/>
  <c r="G170" i="1"/>
  <c r="G277" i="1"/>
  <c r="J60" i="1"/>
  <c r="J204" i="1"/>
  <c r="J284" i="1"/>
  <c r="G333" i="1"/>
  <c r="J54" i="1"/>
  <c r="G306" i="1"/>
  <c r="G215" i="1"/>
  <c r="G179" i="1"/>
  <c r="G187" i="1"/>
  <c r="G160" i="1"/>
  <c r="J295" i="1"/>
  <c r="G79" i="1"/>
  <c r="J312" i="1"/>
  <c r="J42" i="1"/>
  <c r="J150" i="1"/>
  <c r="J186" i="1"/>
  <c r="G203" i="1"/>
  <c r="J41" i="1"/>
  <c r="G230" i="1"/>
  <c r="J81" i="1"/>
  <c r="G72" i="1"/>
  <c r="G288" i="1"/>
  <c r="G36" i="1"/>
  <c r="G181" i="1"/>
  <c r="G82" i="1"/>
  <c r="J108" i="1"/>
  <c r="G316" i="1"/>
  <c r="G145" i="1"/>
  <c r="G225" i="1"/>
  <c r="G45" i="1"/>
  <c r="G64" i="1"/>
  <c r="J114" i="1"/>
  <c r="J159" i="1"/>
  <c r="J207" i="1"/>
  <c r="G142" i="1"/>
  <c r="J52" i="1"/>
  <c r="G287" i="1"/>
  <c r="G226" i="1"/>
  <c r="J37" i="1"/>
  <c r="G222" i="1"/>
  <c r="G171" i="1"/>
  <c r="G243" i="1"/>
  <c r="J233" i="1"/>
  <c r="G304" i="1"/>
  <c r="G262" i="1"/>
  <c r="G132" i="1"/>
  <c r="G46" i="1"/>
  <c r="G71" i="1"/>
  <c r="G168" i="1"/>
  <c r="G334" i="1"/>
  <c r="J35" i="1"/>
  <c r="J141" i="1"/>
  <c r="J177" i="1"/>
  <c r="G260" i="1"/>
  <c r="J188" i="1"/>
  <c r="G123" i="1"/>
  <c r="G143" i="1"/>
  <c r="G271" i="1"/>
  <c r="G178" i="1"/>
  <c r="J50" i="1"/>
  <c r="G158" i="1"/>
  <c r="G199" i="1"/>
  <c r="J214" i="1"/>
  <c r="J240" i="1"/>
  <c r="G257" i="1"/>
  <c r="J286" i="1"/>
  <c r="G33" i="1"/>
  <c r="G96" i="1"/>
  <c r="G89" i="1"/>
  <c r="G136" i="1"/>
  <c r="J270" i="1"/>
  <c r="G289" i="1"/>
  <c r="J127" i="1"/>
  <c r="G189" i="1"/>
  <c r="G296" i="1"/>
  <c r="G97" i="1"/>
  <c r="J172" i="1"/>
  <c r="G172" i="1"/>
  <c r="J196" i="1"/>
  <c r="G196" i="1"/>
  <c r="G268" i="1"/>
  <c r="J268" i="1"/>
  <c r="J169" i="1"/>
  <c r="G208" i="1"/>
  <c r="G253" i="1"/>
  <c r="J279" i="1"/>
  <c r="J321" i="1"/>
  <c r="G53" i="1"/>
  <c r="J293" i="1"/>
  <c r="J115" i="1"/>
  <c r="G144" i="1"/>
  <c r="G62" i="1"/>
  <c r="G90" i="1"/>
  <c r="G180" i="1"/>
  <c r="J180" i="1"/>
  <c r="G198" i="1"/>
  <c r="G216" i="1"/>
  <c r="G80" i="1"/>
  <c r="G51" i="1"/>
  <c r="J59" i="1"/>
  <c r="J325" i="1"/>
  <c r="G106" i="1"/>
  <c r="G307" i="1"/>
  <c r="G213" i="1"/>
  <c r="J213" i="1"/>
  <c r="G98" i="1"/>
  <c r="G61" i="1"/>
  <c r="G70" i="1"/>
  <c r="G217" i="1"/>
  <c r="G305" i="1"/>
  <c r="J162" i="1"/>
  <c r="J100" i="1"/>
  <c r="G100" i="1"/>
  <c r="G190" i="1"/>
  <c r="G235" i="1"/>
  <c r="J285" i="1"/>
  <c r="G298" i="1"/>
  <c r="J95" i="1"/>
  <c r="J116" i="1"/>
  <c r="J43" i="1"/>
  <c r="G278" i="1"/>
  <c r="G244" i="1"/>
  <c r="G126" i="1"/>
  <c r="G276" i="1"/>
  <c r="J63" i="1"/>
  <c r="G224" i="1"/>
  <c r="G280" i="1"/>
  <c r="G109" i="1"/>
  <c r="J205" i="1"/>
  <c r="G205" i="1"/>
  <c r="G118" i="1"/>
  <c r="J294" i="1"/>
  <c r="G161" i="1"/>
  <c r="G269" i="1"/>
  <c r="G329" i="1"/>
  <c r="J194" i="1"/>
  <c r="G311" i="1"/>
  <c r="J163" i="1"/>
  <c r="G322" i="1"/>
  <c r="G122" i="1"/>
  <c r="G125" i="1"/>
  <c r="J105" i="1"/>
  <c r="G113" i="1"/>
  <c r="G104" i="1"/>
  <c r="G91" i="1"/>
  <c r="J69" i="1"/>
  <c r="G73" i="1"/>
  <c r="G55" i="1"/>
  <c r="G44" i="1"/>
  <c r="J34" i="1"/>
  <c r="G27" i="1"/>
  <c r="G151" i="1"/>
  <c r="G149" i="1"/>
  <c r="J152" i="1"/>
  <c r="G152" i="1"/>
  <c r="J28" i="1"/>
  <c r="J23" i="1"/>
  <c r="G26" i="1"/>
  <c r="J26" i="1"/>
  <c r="G25" i="1"/>
  <c r="J25" i="1"/>
  <c r="G24" i="1"/>
  <c r="J24" i="1"/>
  <c r="J221" i="1" l="1"/>
  <c r="J219" i="1" s="1"/>
  <c r="J212" i="1"/>
  <c r="J139" i="1"/>
  <c r="F139" i="1"/>
  <c r="J148" i="1"/>
  <c r="F148" i="1"/>
  <c r="J121" i="1"/>
  <c r="J120" i="1" s="1"/>
  <c r="F121" i="1"/>
  <c r="G121" i="1" s="1"/>
  <c r="G120" i="1" s="1"/>
  <c r="G15" i="3" s="1"/>
  <c r="J76" i="1"/>
  <c r="J75" i="1" s="1"/>
  <c r="F76" i="1"/>
  <c r="G76" i="1" s="1"/>
  <c r="G75" i="1" s="1"/>
  <c r="G10" i="3" s="1"/>
  <c r="J67" i="1"/>
  <c r="F67" i="1"/>
  <c r="J40" i="1"/>
  <c r="F40" i="1"/>
  <c r="G40" i="1" s="1"/>
  <c r="G39" i="1" s="1"/>
  <c r="G6" i="3" s="1"/>
  <c r="J166" i="1"/>
  <c r="J165" i="1" s="1"/>
  <c r="F166" i="1"/>
  <c r="G166" i="1" s="1"/>
  <c r="G165" i="1" s="1"/>
  <c r="G20" i="3" s="1"/>
  <c r="J31" i="1"/>
  <c r="F31" i="1"/>
  <c r="G31" i="1" s="1"/>
  <c r="G30" i="1" s="1"/>
  <c r="G5" i="3" s="1"/>
  <c r="J175" i="1"/>
  <c r="F175" i="1"/>
  <c r="J94" i="1"/>
  <c r="F94" i="1"/>
  <c r="G94" i="1" s="1"/>
  <c r="J49" i="1"/>
  <c r="J48" i="1" s="1"/>
  <c r="F49" i="1"/>
  <c r="G49" i="1" s="1"/>
  <c r="G48" i="1" s="1"/>
  <c r="G7" i="3" s="1"/>
  <c r="J22" i="1"/>
  <c r="F22" i="1"/>
  <c r="G22" i="1" s="1"/>
  <c r="J58" i="1"/>
  <c r="F58" i="1"/>
  <c r="J103" i="1"/>
  <c r="F103" i="1"/>
  <c r="G103" i="1" s="1"/>
  <c r="G102" i="1" s="1"/>
  <c r="G13" i="3" s="1"/>
  <c r="J157" i="1"/>
  <c r="F157" i="1"/>
  <c r="G157" i="1" s="1"/>
  <c r="G156" i="1" s="1"/>
  <c r="G19" i="3" s="1"/>
  <c r="J184" i="1"/>
  <c r="J183" i="1" s="1"/>
  <c r="F184" i="1"/>
  <c r="G184" i="1" s="1"/>
  <c r="J85" i="1"/>
  <c r="F85" i="1"/>
  <c r="G85" i="1" s="1"/>
  <c r="G84" i="1" s="1"/>
  <c r="G11" i="3" s="1"/>
  <c r="J130" i="1"/>
  <c r="J129" i="1" s="1"/>
  <c r="F130" i="1"/>
  <c r="G130" i="1" s="1"/>
  <c r="G129" i="1" s="1"/>
  <c r="G16" i="3" s="1"/>
  <c r="J112" i="1"/>
  <c r="F112" i="1"/>
  <c r="G112" i="1" s="1"/>
  <c r="G111" i="1" s="1"/>
  <c r="G14" i="3" s="1"/>
  <c r="J336" i="1"/>
  <c r="G332" i="1"/>
  <c r="G324" i="1"/>
  <c r="G315" i="1"/>
  <c r="G309" i="1" s="1"/>
  <c r="G36" i="3" s="1"/>
  <c r="J313" i="1"/>
  <c r="J267" i="1"/>
  <c r="Q11" i="1"/>
  <c r="G266" i="1"/>
  <c r="J239" i="1"/>
  <c r="Q10" i="1"/>
  <c r="C8" i="38" s="1"/>
  <c r="R11" i="1"/>
  <c r="G252" i="1"/>
  <c r="R14" i="1" s="1"/>
  <c r="R15" i="1"/>
  <c r="Q13" i="1"/>
  <c r="C6" i="38" s="1"/>
  <c r="Q14" i="1"/>
  <c r="G336" i="1"/>
  <c r="G39" i="3" s="1"/>
  <c r="G323" i="1"/>
  <c r="G275" i="1"/>
  <c r="G273" i="1" s="1"/>
  <c r="G32" i="3" s="1"/>
  <c r="J251" i="1"/>
  <c r="J246" i="1" s="1"/>
  <c r="J241" i="1"/>
  <c r="G250" i="1"/>
  <c r="R12" i="1" s="1"/>
  <c r="G242" i="1"/>
  <c r="G148" i="1"/>
  <c r="G139" i="1"/>
  <c r="G138" i="1" s="1"/>
  <c r="G17" i="3" s="1"/>
  <c r="J138" i="1"/>
  <c r="G58" i="1"/>
  <c r="G57" i="1" s="1"/>
  <c r="G8" i="3" s="1"/>
  <c r="J273" i="1"/>
  <c r="J255" i="1"/>
  <c r="G175" i="1"/>
  <c r="G174" i="1" s="1"/>
  <c r="G21" i="3" s="1"/>
  <c r="G283" i="1"/>
  <c r="G282" i="1" s="1"/>
  <c r="G33" i="3" s="1"/>
  <c r="G292" i="1"/>
  <c r="G291" i="1" s="1"/>
  <c r="G34" i="3" s="1"/>
  <c r="G328" i="1"/>
  <c r="G327" i="1" s="1"/>
  <c r="G38" i="3" s="1"/>
  <c r="J327" i="1"/>
  <c r="G319" i="1"/>
  <c r="G202" i="1"/>
  <c r="G201" i="1" s="1"/>
  <c r="G220" i="1"/>
  <c r="G219" i="1" s="1"/>
  <c r="G26" i="3" s="1"/>
  <c r="G238" i="1"/>
  <c r="G265" i="1"/>
  <c r="G67" i="1"/>
  <c r="G66" i="1" s="1"/>
  <c r="G9" i="3" s="1"/>
  <c r="J66" i="1"/>
  <c r="J300" i="1"/>
  <c r="G211" i="1"/>
  <c r="G210" i="1" s="1"/>
  <c r="G247" i="1"/>
  <c r="G301" i="1"/>
  <c r="G300" i="1" s="1"/>
  <c r="G35" i="3" s="1"/>
  <c r="G229" i="1"/>
  <c r="G228" i="1" s="1"/>
  <c r="G27" i="3" s="1"/>
  <c r="J84" i="1"/>
  <c r="J237" i="1"/>
  <c r="J309" i="1"/>
  <c r="J147" i="1"/>
  <c r="G192" i="1"/>
  <c r="G23" i="3" s="1"/>
  <c r="Q12" i="1"/>
  <c r="C7" i="38" s="1"/>
  <c r="J102" i="1"/>
  <c r="J174" i="1"/>
  <c r="J228" i="1"/>
  <c r="J156" i="1"/>
  <c r="J39" i="1"/>
  <c r="J201" i="1"/>
  <c r="J210" i="1"/>
  <c r="J93" i="1"/>
  <c r="G255" i="1"/>
  <c r="G30" i="3" s="1"/>
  <c r="J264" i="1"/>
  <c r="J192" i="1"/>
  <c r="J282" i="1"/>
  <c r="G93" i="1"/>
  <c r="G12" i="3" s="1"/>
  <c r="J291" i="1"/>
  <c r="J30" i="1"/>
  <c r="J57" i="1"/>
  <c r="J318" i="1"/>
  <c r="G23" i="1"/>
  <c r="G147" i="1"/>
  <c r="G18" i="3" s="1"/>
  <c r="J21" i="1"/>
  <c r="H21" i="1"/>
  <c r="F21" i="1" s="1"/>
  <c r="J14" i="1"/>
  <c r="H14" i="1"/>
  <c r="F14" i="1" s="1"/>
  <c r="Q9" i="1" l="1"/>
  <c r="C5" i="38" s="1"/>
  <c r="R13" i="1"/>
  <c r="J111" i="1"/>
  <c r="R10" i="1"/>
  <c r="G264" i="1"/>
  <c r="G31" i="3" s="1"/>
  <c r="G318" i="1"/>
  <c r="G37" i="3" s="1"/>
  <c r="R9" i="1"/>
  <c r="G246" i="1"/>
  <c r="G29" i="3" s="1"/>
  <c r="G237" i="1"/>
  <c r="G28" i="3" s="1"/>
  <c r="G25" i="3"/>
  <c r="G24" i="3"/>
  <c r="G183" i="1"/>
  <c r="G22" i="3" s="1"/>
  <c r="J20" i="1"/>
  <c r="Q8" i="1"/>
  <c r="C11" i="38" s="1"/>
  <c r="G21" i="1"/>
  <c r="G14" i="1"/>
  <c r="G20" i="1" l="1"/>
  <c r="G4" i="3" s="1"/>
  <c r="R8" i="1"/>
  <c r="H10" i="1"/>
  <c r="F10" i="1" s="1"/>
  <c r="H11" i="1"/>
  <c r="F11" i="1" s="1"/>
  <c r="H12" i="1"/>
  <c r="F12" i="1" s="1"/>
  <c r="H15" i="1"/>
  <c r="F15" i="1" s="1"/>
  <c r="H17" i="1"/>
  <c r="J10" i="1"/>
  <c r="J11" i="1"/>
  <c r="J12" i="1"/>
  <c r="F17" i="1" l="1"/>
  <c r="G12" i="1"/>
  <c r="G10" i="1"/>
  <c r="G11" i="1"/>
  <c r="Q22" i="1" l="1"/>
  <c r="G15" i="1"/>
  <c r="J17" i="1"/>
  <c r="G1" i="3" l="1"/>
  <c r="G17" i="1"/>
  <c r="I40" i="3" l="1"/>
  <c r="L40" i="3" s="1"/>
  <c r="J9" i="1"/>
  <c r="Q7" i="1" s="1"/>
  <c r="G9" i="1"/>
  <c r="G8" i="1" l="1"/>
  <c r="B21" i="3" s="1"/>
  <c r="R7" i="1"/>
  <c r="R17" i="1" s="1"/>
  <c r="Q17" i="1"/>
  <c r="C9" i="38"/>
  <c r="J8" i="1"/>
  <c r="B25" i="3" l="1"/>
  <c r="H34" i="3" s="1"/>
  <c r="I34" i="3" s="1"/>
  <c r="L34" i="3" s="1"/>
  <c r="H8" i="1"/>
  <c r="R20" i="1"/>
  <c r="C10" i="38"/>
  <c r="C12" i="38" s="1"/>
  <c r="H30" i="3"/>
  <c r="I30" i="3" s="1"/>
  <c r="L30" i="3" s="1"/>
  <c r="H18" i="3" l="1"/>
  <c r="I18" i="3" s="1"/>
  <c r="L18" i="3" s="1"/>
  <c r="H21" i="3"/>
  <c r="I21" i="3" s="1"/>
  <c r="L21" i="3" s="1"/>
  <c r="H20" i="3"/>
  <c r="I20" i="3" s="1"/>
  <c r="L20" i="3" s="1"/>
  <c r="H29" i="3"/>
  <c r="I29" i="3" s="1"/>
  <c r="L29" i="3" s="1"/>
  <c r="H8" i="3"/>
  <c r="I8" i="3" s="1"/>
  <c r="L8" i="3" s="1"/>
  <c r="H25" i="3"/>
  <c r="I25" i="3" s="1"/>
  <c r="L25" i="3" s="1"/>
  <c r="H4" i="3"/>
  <c r="I4" i="3" s="1"/>
  <c r="H24" i="3"/>
  <c r="I24" i="3" s="1"/>
  <c r="L24" i="3" s="1"/>
  <c r="H23" i="3"/>
  <c r="I23" i="3" s="1"/>
  <c r="L23" i="3" s="1"/>
  <c r="H39" i="3"/>
  <c r="I39" i="3" s="1"/>
  <c r="L39" i="3" s="1"/>
  <c r="H16" i="3"/>
  <c r="I16" i="3" s="1"/>
  <c r="L16" i="3" s="1"/>
  <c r="H9" i="3"/>
  <c r="I9" i="3" s="1"/>
  <c r="L9" i="3" s="1"/>
  <c r="H13" i="3"/>
  <c r="I13" i="3" s="1"/>
  <c r="L13" i="3" s="1"/>
  <c r="H14" i="3"/>
  <c r="I14" i="3" s="1"/>
  <c r="L14" i="3" s="1"/>
  <c r="H27" i="3"/>
  <c r="I27" i="3" s="1"/>
  <c r="L27" i="3" s="1"/>
  <c r="H31" i="3"/>
  <c r="I31" i="3" s="1"/>
  <c r="L31" i="3" s="1"/>
  <c r="H26" i="3"/>
  <c r="I26" i="3" s="1"/>
  <c r="L26" i="3" s="1"/>
  <c r="H11" i="3"/>
  <c r="I11" i="3" s="1"/>
  <c r="L11" i="3" s="1"/>
  <c r="H38" i="3"/>
  <c r="I38" i="3" s="1"/>
  <c r="L38" i="3" s="1"/>
  <c r="H32" i="3"/>
  <c r="I32" i="3" s="1"/>
  <c r="L32" i="3" s="1"/>
  <c r="H12" i="3"/>
  <c r="I12" i="3" s="1"/>
  <c r="L12" i="3" s="1"/>
  <c r="H17" i="3"/>
  <c r="I17" i="3" s="1"/>
  <c r="L17" i="3" s="1"/>
  <c r="H15" i="3"/>
  <c r="I15" i="3" s="1"/>
  <c r="L15" i="3" s="1"/>
  <c r="H19" i="3"/>
  <c r="I19" i="3" s="1"/>
  <c r="L19" i="3" s="1"/>
  <c r="H10" i="3"/>
  <c r="I10" i="3" s="1"/>
  <c r="L10" i="3" s="1"/>
  <c r="H33" i="3"/>
  <c r="I33" i="3" s="1"/>
  <c r="L33" i="3" s="1"/>
  <c r="H28" i="3"/>
  <c r="I28" i="3" s="1"/>
  <c r="L28" i="3" s="1"/>
  <c r="H7" i="3"/>
  <c r="I7" i="3" s="1"/>
  <c r="L7" i="3" s="1"/>
  <c r="H35" i="3"/>
  <c r="I35" i="3" s="1"/>
  <c r="L35" i="3" s="1"/>
  <c r="H22" i="3"/>
  <c r="I22" i="3" s="1"/>
  <c r="L22" i="3" s="1"/>
  <c r="H36" i="3"/>
  <c r="I36" i="3" s="1"/>
  <c r="L36" i="3" s="1"/>
  <c r="H37" i="3"/>
  <c r="I37" i="3" s="1"/>
  <c r="L37" i="3" s="1"/>
  <c r="H5" i="3"/>
  <c r="I5" i="3" s="1"/>
  <c r="L5" i="3" s="1"/>
  <c r="H6" i="3"/>
  <c r="I6" i="3" s="1"/>
  <c r="L6" i="3" s="1"/>
  <c r="H42" i="3" l="1"/>
  <c r="I1" i="3"/>
  <c r="L4" i="3"/>
  <c r="B27" i="3" l="1"/>
  <c r="C19" i="38"/>
  <c r="Q18" i="1"/>
</calcChain>
</file>

<file path=xl/sharedStrings.xml><?xml version="1.0" encoding="utf-8"?>
<sst xmlns="http://schemas.openxmlformats.org/spreadsheetml/2006/main" count="3085" uniqueCount="329">
  <si>
    <t>Total bid Amount</t>
  </si>
  <si>
    <t>UPDATE VALUES IN YELLOW</t>
  </si>
  <si>
    <t>*Some agencies use a special code to identify the Bid Schedule</t>
  </si>
  <si>
    <t>Code*</t>
  </si>
  <si>
    <t>Bid Schedule</t>
  </si>
  <si>
    <t>Total with margin</t>
  </si>
  <si>
    <t>Overhead</t>
  </si>
  <si>
    <t>Total with overhead</t>
  </si>
  <si>
    <t>QTY</t>
  </si>
  <si>
    <t>Unit</t>
  </si>
  <si>
    <t>Unit cost</t>
  </si>
  <si>
    <t>Subtotals</t>
  </si>
  <si>
    <t>Notes</t>
  </si>
  <si>
    <t>D-1</t>
  </si>
  <si>
    <t>Lateral DE Connection (36-inch Steel at STA 10+00)</t>
  </si>
  <si>
    <t>LS</t>
  </si>
  <si>
    <t xml:space="preserve">Lateral DE-B Connection (12-inch Asbestos-Cement at STA 34+29.21) </t>
  </si>
  <si>
    <t>Bid date:</t>
  </si>
  <si>
    <t>Lateral DE-1 Connection (27-inch Steel at STA 35+94.05)</t>
  </si>
  <si>
    <t>Award date:</t>
  </si>
  <si>
    <t>DE-1 BPS Connection (18-inch Steel at STA 10+74.99)</t>
  </si>
  <si>
    <t>Notice date:</t>
  </si>
  <si>
    <t xml:space="preserve">Lateral DE-1-A-1 Connection (15-inch Asbestos-Cement at STA 50+22.34) </t>
  </si>
  <si>
    <t>Start Date:</t>
  </si>
  <si>
    <t xml:space="preserve">Lateral DE-1-A Connection (21-inch Asbestos-Cement at STA 51+04.05) </t>
  </si>
  <si>
    <t>Complete by:</t>
  </si>
  <si>
    <t xml:space="preserve">Removal and Disposal of Existing Laterals (Lat DE, Lat DE-1, Lat DE-1-A, and BPS Steel Pipe on C-101, C-301, C-302, C-304, C-305, C-402, C-403) </t>
  </si>
  <si>
    <t>Removal and Disposal of Existing Laterals and Turnout Connections (Asbestos Cement Pipe on C-302 and C-305)</t>
  </si>
  <si>
    <t>Work Days:</t>
  </si>
  <si>
    <t>(including weekends)</t>
  </si>
  <si>
    <t xml:space="preserve">Removal and Disposal of Existing Turnout Connections (PVC Pipe on C-402 and C-403) </t>
  </si>
  <si>
    <t xml:space="preserve">Removal and Disposal of Existing Marker Posts and Cathodic Protection Test Stations </t>
  </si>
  <si>
    <t>30-inch PVC Pipe (Lateral DE-1-A)</t>
  </si>
  <si>
    <t>Liquidated Damages ($/day)</t>
  </si>
  <si>
    <t>36-inch PVC Pipe (Lateral DE-1)</t>
  </si>
  <si>
    <t>42-inch Steel Pipe (Lateral DE)</t>
  </si>
  <si>
    <t>Connection to Turnout 14D (14-inch PVC at STA 17+67.77)</t>
  </si>
  <si>
    <t xml:space="preserve">Connection to Turnout 12D (10-inch Asbestos-Cement at STA 34+14.45) </t>
  </si>
  <si>
    <t>Connection to Turnout 28D (10-inch PVC at STA 24+42.80)</t>
  </si>
  <si>
    <t>10-inch Buried Service Butterfly Valve Assembly</t>
  </si>
  <si>
    <t>Project Overhead to be dispersed</t>
  </si>
  <si>
    <t>12-inch Buried Service Butterfly Valve Assembly</t>
  </si>
  <si>
    <t xml:space="preserve">Number of Bid Items to spread overhead </t>
  </si>
  <si>
    <t>14-inch Buried Service Butterfly Valve Assembly</t>
  </si>
  <si>
    <t xml:space="preserve">30-inch Buried Service Butterfly Valve Assembly </t>
  </si>
  <si>
    <t xml:space="preserve">36-inch Buried Service Butterfly Valve Assembly </t>
  </si>
  <si>
    <t>Overhead $$ / site</t>
  </si>
  <si>
    <t>2-inch Underground Combination Air Valve Assembly</t>
  </si>
  <si>
    <t>3-inch Underground Combination Air Valve Assembly</t>
  </si>
  <si>
    <t>Overhead as a % of Total</t>
  </si>
  <si>
    <t>6-inch Underground Combination Air Valve Assembly</t>
  </si>
  <si>
    <t xml:space="preserve">Magnolia Avenue Crossing – 58-inch Steel Casing Pipe (Materials) </t>
  </si>
  <si>
    <t xml:space="preserve">Magnolia Avenue Crossing – 58-inch Steel Casing Pipe/42-inch Steel Carrier Pipe (Open Cut Installation) </t>
  </si>
  <si>
    <t xml:space="preserve">Magnolia Avenue Crossing – 58-inch Steel Casing Pipe/42-inch Steel Carrier Pipe (Annular Space Backfill) </t>
  </si>
  <si>
    <t xml:space="preserve">Magnolia Avenue Crossing – 58-inch Steel Casing Pipe/42-inch Steel Carrier Pipe (Cathodic Protection System) </t>
  </si>
  <si>
    <t xml:space="preserve">Valve Cathodic Protection (Lat DE) </t>
  </si>
  <si>
    <t xml:space="preserve">Valve Cathodic Protection Test Station (Lat DE) </t>
  </si>
  <si>
    <t xml:space="preserve">Flange Insulation Kits (Lat DE and Lat DE-1) </t>
  </si>
  <si>
    <t>Flange Insulation Cathodic Protection Test Station (Lat DE)</t>
  </si>
  <si>
    <t xml:space="preserve">Color Coded Marker Posts </t>
  </si>
  <si>
    <t xml:space="preserve">Hydrostatic Pressure Testing (30-inch Lateral DE-1-A and Connections) </t>
  </si>
  <si>
    <t xml:space="preserve">Hydrostatic Pressure Testing (36-inch Lateral DE-1 and Connections) </t>
  </si>
  <si>
    <t xml:space="preserve">Hydrostatic Pressure Testing (42-inch Lateral DE and Connections) </t>
  </si>
  <si>
    <t xml:space="preserve"> </t>
  </si>
  <si>
    <t>(check against Cell B21)</t>
  </si>
  <si>
    <t>Step #1</t>
  </si>
  <si>
    <t>Review the Plan Set and the Specifications to identify the type of work that will be done.</t>
  </si>
  <si>
    <t>Step #2</t>
  </si>
  <si>
    <t>Use this link to identify potential wage determinations for those jobs:</t>
  </si>
  <si>
    <t>*Ensure you are in the correct county.</t>
  </si>
  <si>
    <t>https://www.dir.ca.gov/oprl/2024-1/PWD/Determinations/Subtrades/jrnylist.html</t>
  </si>
  <si>
    <t>Step #3</t>
  </si>
  <si>
    <t>List the Classification as well as the corresponding wage determinations:</t>
  </si>
  <si>
    <t>Classification</t>
  </si>
  <si>
    <t>Wage ($/hr)</t>
  </si>
  <si>
    <t>Jobs/Tasks</t>
  </si>
  <si>
    <t>Justification</t>
  </si>
  <si>
    <t>Task Code (if used)</t>
  </si>
  <si>
    <t>Labor Lead</t>
  </si>
  <si>
    <t>Laborer</t>
  </si>
  <si>
    <t>Operator</t>
  </si>
  <si>
    <t>Driver</t>
  </si>
  <si>
    <t>Landscaper</t>
  </si>
  <si>
    <t>Pipefitter</t>
  </si>
  <si>
    <t>Etc</t>
  </si>
  <si>
    <t>*For justification, see "Scope of Work Provisions" link in the wage determinations from the link above.</t>
  </si>
  <si>
    <t>*Wage is non-overtime.</t>
  </si>
  <si>
    <t>Crew Info</t>
  </si>
  <si>
    <t>multiplier (helpers to leadman)</t>
  </si>
  <si>
    <t>working hours per day</t>
  </si>
  <si>
    <t>Bid #</t>
  </si>
  <si>
    <t>Description</t>
  </si>
  <si>
    <t>Quantity</t>
  </si>
  <si>
    <t>Unit Price</t>
  </si>
  <si>
    <t>Total</t>
  </si>
  <si>
    <t>MARGIN</t>
  </si>
  <si>
    <t>OUR COST</t>
  </si>
  <si>
    <t>TOTAL COST</t>
  </si>
  <si>
    <t>RESPONSIBLE PARTY</t>
  </si>
  <si>
    <t>Category</t>
  </si>
  <si>
    <t>Our Cost</t>
  </si>
  <si>
    <t>Sale Price</t>
  </si>
  <si>
    <t>Project OVERHEAD</t>
  </si>
  <si>
    <t>LAW</t>
  </si>
  <si>
    <t>Margin</t>
  </si>
  <si>
    <t>Mob/Demob</t>
  </si>
  <si>
    <t>Bonding</t>
  </si>
  <si>
    <t>EA</t>
  </si>
  <si>
    <t>In-house</t>
  </si>
  <si>
    <t>Labor</t>
  </si>
  <si>
    <t>Insurance</t>
  </si>
  <si>
    <t>Material</t>
  </si>
  <si>
    <t>Materials</t>
  </si>
  <si>
    <t>Restrooms</t>
  </si>
  <si>
    <t>Months</t>
  </si>
  <si>
    <t>Subs</t>
  </si>
  <si>
    <t>Equipment</t>
  </si>
  <si>
    <t>Administrative</t>
  </si>
  <si>
    <t>HR</t>
  </si>
  <si>
    <t>Project Management</t>
  </si>
  <si>
    <t>Other</t>
  </si>
  <si>
    <t>Rental</t>
  </si>
  <si>
    <t>Permitting/Submittal Support</t>
  </si>
  <si>
    <t>Fuel</t>
  </si>
  <si>
    <t>PM Fuel</t>
  </si>
  <si>
    <t>Misc Handling Equipment</t>
  </si>
  <si>
    <t>Days</t>
  </si>
  <si>
    <t>Per Diem</t>
  </si>
  <si>
    <t>Subtotal</t>
  </si>
  <si>
    <t>Margin (back-calculated)</t>
  </si>
  <si>
    <t>BID SCHEDULE ITEMS</t>
  </si>
  <si>
    <t>Mobilization/Demobilization</t>
  </si>
  <si>
    <t>Labor Hrs</t>
  </si>
  <si>
    <t>Labor days</t>
  </si>
  <si>
    <t>Crew days</t>
  </si>
  <si>
    <t>Crew weeks</t>
  </si>
  <si>
    <t>Subcontractors</t>
  </si>
  <si>
    <t>Blank</t>
  </si>
  <si>
    <t>buffer for bid bond (dependent on confidence in all bid items)</t>
  </si>
  <si>
    <t>Job Cost Breakdown</t>
  </si>
  <si>
    <t>Totals</t>
  </si>
  <si>
    <t>Equipment Rental</t>
  </si>
  <si>
    <t>Profit</t>
  </si>
  <si>
    <t>Total Uncompleted Work</t>
  </si>
  <si>
    <t>Estimate Project Total (for Bond, use a nice round number based on the "total uncompleted work" above)</t>
  </si>
  <si>
    <t>Bid Bond % (see specs)</t>
  </si>
  <si>
    <t>Performance Bond Premium %</t>
  </si>
  <si>
    <t>Bid Item Total</t>
  </si>
  <si>
    <t>ITEM</t>
  </si>
  <si>
    <t>BID PACKET PAGE</t>
  </si>
  <si>
    <t>UNIT</t>
  </si>
  <si>
    <t>UNIT COST 1</t>
  </si>
  <si>
    <t>VENDOR 1</t>
  </si>
  <si>
    <t>VENDOR 2</t>
  </si>
  <si>
    <t>COMMENT/NOTES</t>
  </si>
  <si>
    <t>Mobilization</t>
  </si>
  <si>
    <t>Demobilization</t>
  </si>
  <si>
    <t>Add More</t>
  </si>
  <si>
    <t>Input Prevailing Wage rates on "Prevailing Wage" tab.</t>
  </si>
  <si>
    <t>Assumes # of helpers to crew lead as outlined on Bid Schedule tab</t>
  </si>
  <si>
    <t>ea</t>
  </si>
  <si>
    <t>36" Gasket</t>
  </si>
  <si>
    <t>End</t>
  </si>
  <si>
    <t>Coating</t>
  </si>
  <si>
    <t>85K Excavator</t>
  </si>
  <si>
    <t>Month</t>
  </si>
  <si>
    <t>For equipment rates see this spreadsheet:</t>
  </si>
  <si>
    <t>Water Truck</t>
  </si>
  <si>
    <t>https://laurel-ag.box.com/s/fscobx1vxxwhne2hxnathrnucmlxae6m</t>
  </si>
  <si>
    <t xml:space="preserve">Compaction </t>
  </si>
  <si>
    <t>Diesel</t>
  </si>
  <si>
    <t xml:space="preserve"> Gal</t>
  </si>
  <si>
    <t>Gas</t>
  </si>
  <si>
    <t>Other (may sometimes include Bonds and Insurance)</t>
  </si>
  <si>
    <t>Temporary Fittings</t>
  </si>
  <si>
    <t>UNIT COST 2</t>
  </si>
  <si>
    <t>Assumes # of helpers to crew lead as outlined on "Bid Schedule" tab.</t>
  </si>
  <si>
    <t>42" x 42" x 12" CMLC Tee</t>
  </si>
  <si>
    <t>12" Flange Adap</t>
  </si>
  <si>
    <t>PVC PIPE 12" C900 DR25</t>
  </si>
  <si>
    <t>12" Hymax coupler from PVC to AC</t>
  </si>
  <si>
    <t>Temporary Caps</t>
  </si>
  <si>
    <t>Steel reducer 36" FCA x 28" FLG</t>
  </si>
  <si>
    <t>Steel CL-D Flange 28"</t>
  </si>
  <si>
    <t>SS Bolt kit 28"</t>
  </si>
  <si>
    <t>Gasket 28"</t>
  </si>
  <si>
    <t>Concrete</t>
  </si>
  <si>
    <t>Wye 30" x 30" x 18"  MJ</t>
  </si>
  <si>
    <t>PVC PIPE C900 18" DR25</t>
  </si>
  <si>
    <t>FT</t>
  </si>
  <si>
    <t>Steel Flange 18" CL-d</t>
  </si>
  <si>
    <t>18" FCA flange x Reinforced</t>
  </si>
  <si>
    <t>Bolt kit 18" SS FxF</t>
  </si>
  <si>
    <t>Hard hats, etc.</t>
  </si>
  <si>
    <t xml:space="preserve">Tee 30" x 30" x 14" Restrained x FLG </t>
  </si>
  <si>
    <t>pvc pipe c900 14" C900 DR25</t>
  </si>
  <si>
    <t>ft</t>
  </si>
  <si>
    <t>DI coupler 14" PVC x 15" AC Hymax</t>
  </si>
  <si>
    <t>Temp Fittings</t>
  </si>
  <si>
    <t>30" x 20" Reducer Restrained Hymax</t>
  </si>
  <si>
    <t>pvc pipe C900 DR25 20"</t>
  </si>
  <si>
    <t>Restrained coupling 20" PVC x 21" AC Hymax</t>
  </si>
  <si>
    <t>concrete</t>
  </si>
  <si>
    <t>(53 AC)</t>
  </si>
  <si>
    <t>Disposal Fee</t>
  </si>
  <si>
    <t>TRKs</t>
  </si>
  <si>
    <t>Semi Truck</t>
  </si>
  <si>
    <t>day</t>
  </si>
  <si>
    <t>Misc Material</t>
  </si>
  <si>
    <t>DISPOSAL FEE</t>
  </si>
  <si>
    <t>Mini Excavtor</t>
  </si>
  <si>
    <t>Trucking</t>
  </si>
  <si>
    <t>Gal</t>
  </si>
  <si>
    <t>PVC PIPE C900 DR25 30"</t>
  </si>
  <si>
    <t>Elbow 45° 30" Hymax Restrained</t>
  </si>
  <si>
    <t>120K Excavator</t>
  </si>
  <si>
    <t>80K Excavator</t>
  </si>
  <si>
    <t>Shoring</t>
  </si>
  <si>
    <t>Telehandler</t>
  </si>
  <si>
    <t>PVC PIPE C900 DR25 36"</t>
  </si>
  <si>
    <t>42" CML&amp;C Pipe</t>
  </si>
  <si>
    <t>Mortar Diapers</t>
  </si>
  <si>
    <t>Welding Consumeables</t>
  </si>
  <si>
    <t>Unload, String, Excavate, Set, Mortar &amp; Backfill</t>
  </si>
  <si>
    <t>Superior Ag</t>
  </si>
  <si>
    <t xml:space="preserve">Handling </t>
  </si>
  <si>
    <t>42" x 42" x 12" Tee CML&amp;C comp</t>
  </si>
  <si>
    <t>PVC PIPE C900 DR25 12"</t>
  </si>
  <si>
    <t>Coupler 12" PVC x PVC Hymax</t>
  </si>
  <si>
    <t>42" x 42" x 10" Tee CML&amp;C comp</t>
  </si>
  <si>
    <t>PVC PIPE C900 DR25 10"</t>
  </si>
  <si>
    <t>Coupler 10" PVC x AC Hymax</t>
  </si>
  <si>
    <t>30" x 30" x 10" Tee restrained jt x FLG</t>
  </si>
  <si>
    <t>10" Hymax Coup x FLG</t>
  </si>
  <si>
    <t>10" Valmatic BFV</t>
  </si>
  <si>
    <t>B&amp;K</t>
  </si>
  <si>
    <t>Val-Matic Series 2000 Butterfly Valve, AWWA Class 150B/125# Flanged Ends, 
Cast Iron Body, 304 Stainless Steel Shaft, Ductile Iron Disc w/ Buna-N Seat, 316 
Stainless Steel Body Seat, 316 Stainless Streel Bolts, Lined &amp; Coated with 12-20 
mils Fusion Bonded Epoxy, 150 PSI CWP.</t>
  </si>
  <si>
    <t>10" SS Bolt kit FxF</t>
  </si>
  <si>
    <t>10" Gasket</t>
  </si>
  <si>
    <t>Mini Excavator</t>
  </si>
  <si>
    <t>hrs</t>
  </si>
  <si>
    <t>GAL</t>
  </si>
  <si>
    <t>12" Hymax Coup x FLG</t>
  </si>
  <si>
    <t>12" Valmatic BFV</t>
  </si>
  <si>
    <t>12" SS Bolt kit FxF</t>
  </si>
  <si>
    <t>12" Gasket</t>
  </si>
  <si>
    <t>14" Hymax Coup x FLG</t>
  </si>
  <si>
    <t>14" Valmatic BFV</t>
  </si>
  <si>
    <t>14" SS Bolt kit FxF</t>
  </si>
  <si>
    <t>14" Gasket</t>
  </si>
  <si>
    <t>30-inch BFV Assembly</t>
  </si>
  <si>
    <t>36" x 36" x 30" Restrained X FLG</t>
  </si>
  <si>
    <t>30" Valmatic BFV</t>
  </si>
  <si>
    <t>30" FLG X Coup Hymax</t>
  </si>
  <si>
    <t>30" SS Bolt kit FxF</t>
  </si>
  <si>
    <t>30" Gasket</t>
  </si>
  <si>
    <t>36" BFV Assembly</t>
  </si>
  <si>
    <t>42" x 42" x 36" Steel Tee X FLG</t>
  </si>
  <si>
    <t>36" Valmatic BFV</t>
  </si>
  <si>
    <t>36" FLG X Coup Hymax</t>
  </si>
  <si>
    <t>36" SS Bolt kit FxF</t>
  </si>
  <si>
    <t>30" Tapping Sleeve with 2" threaded outlet</t>
  </si>
  <si>
    <t>36" Tapping Sleeve with 2" threaded outlet</t>
  </si>
  <si>
    <t>2" Galv S40 Welded Steel Pipe Nipple Long TBE</t>
  </si>
  <si>
    <t>2" Gate Valve, Stockham Fig 120</t>
  </si>
  <si>
    <t>2" Galv S40 Welded Steel Pipe Nipple Short TBE</t>
  </si>
  <si>
    <t>2" Val-Matic Series 201CSSA</t>
  </si>
  <si>
    <t>Val-Matic Combination Air Release Valve for Water, Cast Iron Body, 316 Stainless 
Steel Trim &amp; Float, Threaded Screen Hood, Buna-N Seat, Lined &amp; Coated with 12-20
mils Fusion Bonded Epoxy, 300 PSI CWP.
***IF regulated exhaust is requred Please add $377.00 Each.***</t>
  </si>
  <si>
    <t>2" Galv Sch 40 90* Street</t>
  </si>
  <si>
    <t>2" Prefabricated fittings with integral ss screen</t>
  </si>
  <si>
    <t>Concrete Box with manhole - traffic rated - Page 40 in plans</t>
  </si>
  <si>
    <t>Mini Ex</t>
  </si>
  <si>
    <t>30" Tapping Sleeve with 3" threaded outlet</t>
  </si>
  <si>
    <t>36" Tapping Sleeve with 3" threaded outlet</t>
  </si>
  <si>
    <t>3" Galv S40 Welded Steel Pipe Nipple Long TBE</t>
  </si>
  <si>
    <t>3" Gate Valve, Stockham Fig 120</t>
  </si>
  <si>
    <t>3" Galv S40 Welded Steel Pipe Nipple Short TBE</t>
  </si>
  <si>
    <t>3" Val-Matic Series 201CSSA</t>
  </si>
  <si>
    <t>Val-Matic Combination Air Release Valve for Water, Cast Iron Body, 316 Stainless 
Steel Trim &amp; Float, Threaded Screen Hood, Buna-N Seat, Lined &amp; Coated with 12-20
mils Fusion Bonded Epoxy, 300 PSI CWP.
***IF regulated exhaust is requred Please add $662.00 Each.***</t>
  </si>
  <si>
    <t>3" Galv Sch 40 90* Street</t>
  </si>
  <si>
    <t>3" Prefabricated fittings with integral ss screen</t>
  </si>
  <si>
    <t>6" Welded Outlet</t>
  </si>
  <si>
    <t>6" DI elbow 90* FLG x FLG</t>
  </si>
  <si>
    <t>Bolt Kit 6" SS FLG x FLG</t>
  </si>
  <si>
    <t>6" DI Flange Adap</t>
  </si>
  <si>
    <t>6" DI Pipe</t>
  </si>
  <si>
    <t>6" Valmatic BFV FLG</t>
  </si>
  <si>
    <t>6" DI Flange</t>
  </si>
  <si>
    <t>6" DI Flange Spacer</t>
  </si>
  <si>
    <t>6" Val-Matic Series 201CSSA</t>
  </si>
  <si>
    <t>Val-Matic Combination Air Release Valve for Water, Cast Iron Body, ANSI Class 
125 Flanged Ends, 316 Stainless Steel Trim &amp; Float, Threaded Screen Hood, Buna-N 
Seat, Lined &amp; Coated with 12-20 mils Fusion Bonded Epoxy, 300 PSI CWP.
***IF regulated exhaust is requred Please add $1,985.00 Each.***</t>
  </si>
  <si>
    <t>Concrete Structures</t>
  </si>
  <si>
    <t>Enclosure</t>
  </si>
  <si>
    <t>58" Steel Pipe</t>
  </si>
  <si>
    <t>Other Casing Materials</t>
  </si>
  <si>
    <t>Spacers</t>
  </si>
  <si>
    <t>Compaction Equipment</t>
  </si>
  <si>
    <t>wk</t>
  </si>
  <si>
    <t>week</t>
  </si>
  <si>
    <t>Saw Cut &amp; Repave</t>
  </si>
  <si>
    <t xml:space="preserve">Backfill </t>
  </si>
  <si>
    <t>MAGNESIUM ANNODES</t>
  </si>
  <si>
    <t>WIRE/CONDUIT/ETC</t>
  </si>
  <si>
    <t>BOLLARD</t>
  </si>
  <si>
    <t>MINI EX</t>
  </si>
  <si>
    <t>Misc Materials</t>
  </si>
  <si>
    <t>MISC MATERIAL</t>
  </si>
  <si>
    <t>Flange Gaskets 1/8" Full Face Neoprene</t>
  </si>
  <si>
    <t>Insulating sleeves and washers 1/8" thick</t>
  </si>
  <si>
    <t>4" Steel Pipe S40</t>
  </si>
  <si>
    <t>Stickers</t>
  </si>
  <si>
    <t>hr</t>
  </si>
  <si>
    <t>gal</t>
  </si>
  <si>
    <t>Blind Flanges</t>
  </si>
  <si>
    <t>Pump</t>
  </si>
  <si>
    <t>weeks</t>
  </si>
  <si>
    <t>Blind Flange Material</t>
  </si>
  <si>
    <t>42" x 36" Steel Reducer PE x FLG</t>
  </si>
  <si>
    <t>42" Full Face Flange Gasket</t>
  </si>
  <si>
    <t>42" Flg x Flg Bolt kit</t>
  </si>
  <si>
    <t>36" Flg Gasket</t>
  </si>
  <si>
    <t>36" Flg x Flg Bolt Kit</t>
  </si>
  <si>
    <t>Elbow 45* MJ</t>
  </si>
  <si>
    <t>Bell Joint Restraints</t>
  </si>
  <si>
    <t>Plugs</t>
  </si>
  <si>
    <t>gravel &amp; geotech</t>
  </si>
  <si>
    <t>Misc</t>
  </si>
  <si>
    <t>Truck &amp; Welder</t>
  </si>
  <si>
    <t>Example 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</si>
</sst>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"/>
    <numFmt numFmtId="165" formatCode="_(&quot;$&quot;* #,##0_);_(&quot;$&quot;* \(#,##0\);_(&quot;$&quot;* &quot;-&quot;??_);_(@_)"/>
    <numFmt numFmtId="166" formatCode="_(* #,##0_);_(* \(#,##0\);_(* &quot;-&quot;??_);_(@_)"/>
    <numFmt numFmtId="167" formatCode="0.0"/>
    <numFmt numFmtId="168" formatCode="0.0000%"/>
  </numFmts>
  <fonts count="35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sz val="11"/>
      <name val="Tenorite"/>
    </font>
    <font>
      <sz val="10"/>
      <color rgb="FF000000"/>
      <name val="Tenorite"/>
    </font>
    <font>
      <b/>
      <sz val="11"/>
      <color rgb="FF000000"/>
      <name val="Tenorite"/>
    </font>
    <font>
      <b/>
      <sz val="11"/>
      <name val="Tenorite"/>
    </font>
    <font>
      <b/>
      <sz val="10"/>
      <color rgb="FF000000"/>
      <name val="Tenorite"/>
    </font>
    <font>
      <sz val="11"/>
      <color rgb="FF000000"/>
      <name val="Tenorite"/>
    </font>
    <font>
      <sz val="9"/>
      <name val="Tenorite"/>
    </font>
    <font>
      <sz val="9"/>
      <color rgb="FF000000"/>
      <name val="Tenorite"/>
    </font>
    <font>
      <b/>
      <sz val="10"/>
      <name val="Tenorite"/>
    </font>
    <font>
      <sz val="10"/>
      <name val="Tenorite"/>
    </font>
    <font>
      <sz val="10"/>
      <color rgb="FF000000"/>
      <name val="Times New Roman"/>
      <family val="1"/>
    </font>
    <font>
      <b/>
      <sz val="12"/>
      <color rgb="FFFF0000"/>
      <name val="Tenorite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b/>
      <sz val="26"/>
      <name val="Tenorite"/>
    </font>
    <font>
      <b/>
      <sz val="14"/>
      <name val="Tenorite"/>
    </font>
    <font>
      <sz val="8"/>
      <name val="Times New Roman"/>
      <family val="1"/>
    </font>
    <font>
      <b/>
      <sz val="14"/>
      <color rgb="FF000000"/>
      <name val="Aptos Narrow"/>
      <family val="2"/>
    </font>
    <font>
      <sz val="10"/>
      <color rgb="FF00B050"/>
      <name val="Tenorite"/>
    </font>
    <font>
      <sz val="10"/>
      <color theme="1" tint="0.249977111117893"/>
      <name val="Tenorite"/>
    </font>
    <font>
      <sz val="10"/>
      <color rgb="FF00B0F0"/>
      <name val="Tenorite"/>
    </font>
    <font>
      <sz val="10"/>
      <color rgb="FFFF0000"/>
      <name val="Tenorite"/>
    </font>
    <font>
      <sz val="10"/>
      <color theme="1"/>
      <name val="Tenorite"/>
    </font>
    <font>
      <b/>
      <sz val="12"/>
      <color rgb="FF00B050"/>
      <name val="Tenorite"/>
    </font>
    <font>
      <sz val="10"/>
      <color theme="0" tint="-0.34998626667073579"/>
      <name val="Tenorite"/>
    </font>
    <font>
      <sz val="10"/>
      <color rgb="FF7030A0"/>
      <name val="Tenorite"/>
    </font>
    <font>
      <sz val="10"/>
      <color theme="9" tint="-0.249977111117893"/>
      <name val="Tenorite"/>
    </font>
    <font>
      <sz val="16"/>
      <name val="Tenorite"/>
    </font>
    <font>
      <u/>
      <sz val="10"/>
      <color theme="10"/>
      <name val="Times New Roman"/>
      <family val="1"/>
    </font>
    <font>
      <b/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sz val="8"/>
      <name val="Times New Roman"/>
      <charset val="204"/>
    </font>
    <font>
      <sz val="11"/>
      <name val="Aptos Narrow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30" fillId="0" borderId="0" applyNumberFormat="0" applyFill="0" applyBorder="0" applyAlignment="0" applyProtection="0"/>
  </cellStyleXfs>
  <cellXfs count="288">
    <xf numFmtId="0" fontId="0" fillId="0" borderId="0" xfId="0" applyAlignment="1">
      <alignment horizontal="left" vertical="top"/>
    </xf>
    <xf numFmtId="164" fontId="4" fillId="0" borderId="2" xfId="0" applyNumberFormat="1" applyFont="1" applyBorder="1" applyAlignment="1">
      <alignment horizontal="left" vertical="top" wrapText="1"/>
    </xf>
    <xf numFmtId="44" fontId="6" fillId="0" borderId="3" xfId="0" applyNumberFormat="1" applyFont="1" applyBorder="1" applyAlignment="1">
      <alignment horizontal="left" vertical="top"/>
    </xf>
    <xf numFmtId="0" fontId="6" fillId="0" borderId="4" xfId="0" applyFont="1" applyBorder="1" applyAlignment="1">
      <alignment horizontal="left" vertical="top"/>
    </xf>
    <xf numFmtId="164" fontId="7" fillId="0" borderId="5" xfId="0" applyNumberFormat="1" applyFont="1" applyBorder="1" applyAlignment="1">
      <alignment horizontal="left" vertical="top" wrapText="1"/>
    </xf>
    <xf numFmtId="0" fontId="8" fillId="0" borderId="1" xfId="0" applyFont="1" applyBorder="1" applyAlignment="1">
      <alignment horizontal="right" vertical="top" wrapText="1"/>
    </xf>
    <xf numFmtId="44" fontId="8" fillId="0" borderId="6" xfId="1" applyFont="1" applyBorder="1" applyAlignment="1">
      <alignment horizontal="left" vertical="top" wrapText="1"/>
    </xf>
    <xf numFmtId="44" fontId="9" fillId="0" borderId="1" xfId="1" applyFont="1" applyBorder="1" applyAlignment="1">
      <alignment horizontal="left" vertical="top"/>
    </xf>
    <xf numFmtId="0" fontId="9" fillId="0" borderId="6" xfId="0" applyFont="1" applyBorder="1" applyAlignment="1">
      <alignment horizontal="left" vertical="top"/>
    </xf>
    <xf numFmtId="0" fontId="8" fillId="0" borderId="1" xfId="0" applyFont="1" applyBorder="1" applyAlignment="1">
      <alignment horizontal="center" vertical="top" wrapText="1"/>
    </xf>
    <xf numFmtId="44" fontId="8" fillId="0" borderId="1" xfId="1" applyFont="1" applyBorder="1" applyAlignment="1">
      <alignment horizontal="center" vertical="top" wrapText="1"/>
    </xf>
    <xf numFmtId="0" fontId="9" fillId="0" borderId="9" xfId="0" applyFont="1" applyBorder="1" applyAlignment="1">
      <alignment horizontal="left" vertical="top"/>
    </xf>
    <xf numFmtId="164" fontId="4" fillId="0" borderId="11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44" fontId="3" fillId="0" borderId="0" xfId="0" applyNumberFormat="1" applyFont="1" applyAlignment="1">
      <alignment horizontal="center" vertical="top"/>
    </xf>
    <xf numFmtId="44" fontId="3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center" vertical="top"/>
    </xf>
    <xf numFmtId="165" fontId="3" fillId="0" borderId="0" xfId="0" applyNumberFormat="1" applyFont="1" applyAlignment="1">
      <alignment horizontal="left" vertical="top"/>
    </xf>
    <xf numFmtId="166" fontId="3" fillId="0" borderId="0" xfId="3" applyNumberFormat="1" applyFont="1" applyAlignment="1">
      <alignment horizontal="left" vertical="top"/>
    </xf>
    <xf numFmtId="166" fontId="3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9" fontId="3" fillId="0" borderId="0" xfId="0" applyNumberFormat="1" applyFont="1" applyAlignment="1">
      <alignment horizontal="left" vertical="top"/>
    </xf>
    <xf numFmtId="165" fontId="6" fillId="0" borderId="0" xfId="0" applyNumberFormat="1" applyFont="1" applyAlignment="1">
      <alignment horizontal="center" vertical="top"/>
    </xf>
    <xf numFmtId="9" fontId="3" fillId="0" borderId="0" xfId="2" applyFont="1" applyAlignment="1">
      <alignment horizontal="right" vertical="top"/>
    </xf>
    <xf numFmtId="165" fontId="3" fillId="0" borderId="0" xfId="0" applyNumberFormat="1" applyFont="1" applyAlignment="1">
      <alignment horizontal="center" vertical="top"/>
    </xf>
    <xf numFmtId="1" fontId="3" fillId="0" borderId="0" xfId="0" applyNumberFormat="1" applyFont="1" applyAlignment="1">
      <alignment horizontal="center" vertical="top"/>
    </xf>
    <xf numFmtId="0" fontId="14" fillId="0" borderId="0" xfId="0" applyFont="1"/>
    <xf numFmtId="0" fontId="15" fillId="6" borderId="1" xfId="0" applyFont="1" applyFill="1" applyBorder="1"/>
    <xf numFmtId="0" fontId="14" fillId="0" borderId="1" xfId="0" applyFont="1" applyBorder="1"/>
    <xf numFmtId="0" fontId="16" fillId="0" borderId="0" xfId="0" applyFont="1" applyAlignment="1">
      <alignment horizontal="left" vertical="top"/>
    </xf>
    <xf numFmtId="0" fontId="3" fillId="5" borderId="0" xfId="0" applyFont="1" applyFill="1" applyAlignment="1">
      <alignment horizontal="right" vertical="top"/>
    </xf>
    <xf numFmtId="0" fontId="5" fillId="0" borderId="3" xfId="0" applyFont="1" applyBorder="1" applyAlignment="1">
      <alignment horizontal="center" vertical="top" wrapText="1"/>
    </xf>
    <xf numFmtId="165" fontId="13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center" vertical="top" wrapText="1"/>
    </xf>
    <xf numFmtId="164" fontId="7" fillId="0" borderId="18" xfId="0" applyNumberFormat="1" applyFont="1" applyBorder="1" applyAlignment="1">
      <alignment horizontal="left" vertical="top" wrapText="1"/>
    </xf>
    <xf numFmtId="164" fontId="7" fillId="0" borderId="0" xfId="0" applyNumberFormat="1" applyFont="1" applyAlignment="1">
      <alignment horizontal="left" vertical="top" wrapText="1"/>
    </xf>
    <xf numFmtId="0" fontId="8" fillId="0" borderId="0" xfId="0" applyFont="1" applyAlignment="1">
      <alignment horizontal="right" vertical="top" wrapText="1"/>
    </xf>
    <xf numFmtId="164" fontId="4" fillId="0" borderId="23" xfId="0" applyNumberFormat="1" applyFont="1" applyBorder="1" applyAlignment="1">
      <alignment horizontal="left" vertical="top" wrapText="1"/>
    </xf>
    <xf numFmtId="0" fontId="8" fillId="0" borderId="25" xfId="0" applyFont="1" applyBorder="1" applyAlignment="1">
      <alignment horizontal="center" vertical="top" wrapText="1"/>
    </xf>
    <xf numFmtId="0" fontId="5" fillId="0" borderId="26" xfId="0" applyFont="1" applyBorder="1" applyAlignment="1">
      <alignment horizontal="center" vertical="top" wrapText="1"/>
    </xf>
    <xf numFmtId="0" fontId="5" fillId="0" borderId="27" xfId="0" applyFont="1" applyBorder="1" applyAlignment="1">
      <alignment horizontal="center" vertical="top" wrapText="1"/>
    </xf>
    <xf numFmtId="164" fontId="7" fillId="0" borderId="28" xfId="0" applyNumberFormat="1" applyFont="1" applyBorder="1" applyAlignment="1">
      <alignment horizontal="left" vertical="top" wrapText="1"/>
    </xf>
    <xf numFmtId="0" fontId="8" fillId="0" borderId="29" xfId="0" applyFont="1" applyBorder="1" applyAlignment="1">
      <alignment horizontal="right" vertical="top" wrapText="1"/>
    </xf>
    <xf numFmtId="44" fontId="9" fillId="0" borderId="29" xfId="1" applyFont="1" applyBorder="1" applyAlignment="1">
      <alignment horizontal="left" vertical="top"/>
    </xf>
    <xf numFmtId="0" fontId="9" fillId="0" borderId="30" xfId="0" applyFont="1" applyBorder="1" applyAlignment="1">
      <alignment horizontal="left" vertical="top"/>
    </xf>
    <xf numFmtId="0" fontId="17" fillId="0" borderId="24" xfId="0" applyFont="1" applyBorder="1" applyAlignment="1">
      <alignment horizontal="left" vertical="top" wrapText="1"/>
    </xf>
    <xf numFmtId="0" fontId="15" fillId="0" borderId="1" xfId="0" applyFont="1" applyBorder="1"/>
    <xf numFmtId="8" fontId="14" fillId="0" borderId="1" xfId="0" applyNumberFormat="1" applyFont="1" applyBorder="1"/>
    <xf numFmtId="0" fontId="15" fillId="0" borderId="7" xfId="0" applyFont="1" applyBorder="1" applyAlignment="1">
      <alignment wrapText="1"/>
    </xf>
    <xf numFmtId="0" fontId="15" fillId="6" borderId="7" xfId="0" applyFont="1" applyFill="1" applyBorder="1" applyAlignment="1">
      <alignment wrapText="1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4" fillId="0" borderId="16" xfId="0" applyFont="1" applyBorder="1"/>
    <xf numFmtId="8" fontId="15" fillId="7" borderId="1" xfId="0" applyNumberFormat="1" applyFont="1" applyFill="1" applyBorder="1"/>
    <xf numFmtId="0" fontId="14" fillId="5" borderId="7" xfId="0" applyFont="1" applyFill="1" applyBorder="1" applyAlignment="1">
      <alignment wrapText="1"/>
    </xf>
    <xf numFmtId="0" fontId="14" fillId="5" borderId="1" xfId="0" applyFont="1" applyFill="1" applyBorder="1" applyAlignment="1">
      <alignment wrapText="1"/>
    </xf>
    <xf numFmtId="8" fontId="14" fillId="9" borderId="1" xfId="0" applyNumberFormat="1" applyFont="1" applyFill="1" applyBorder="1"/>
    <xf numFmtId="0" fontId="14" fillId="5" borderId="1" xfId="0" applyFont="1" applyFill="1" applyBorder="1"/>
    <xf numFmtId="44" fontId="5" fillId="4" borderId="4" xfId="0" applyNumberFormat="1" applyFont="1" applyFill="1" applyBorder="1" applyAlignment="1">
      <alignment horizontal="left" vertical="top" wrapText="1"/>
    </xf>
    <xf numFmtId="164" fontId="7" fillId="0" borderId="8" xfId="0" applyNumberFormat="1" applyFont="1" applyBorder="1" applyAlignment="1">
      <alignment horizontal="left" vertical="top" wrapText="1"/>
    </xf>
    <xf numFmtId="0" fontId="3" fillId="0" borderId="33" xfId="0" applyFont="1" applyBorder="1" applyAlignment="1">
      <alignment horizontal="left" vertical="top"/>
    </xf>
    <xf numFmtId="9" fontId="3" fillId="0" borderId="20" xfId="0" applyNumberFormat="1" applyFont="1" applyBorder="1" applyAlignment="1">
      <alignment horizontal="left" vertical="top"/>
    </xf>
    <xf numFmtId="0" fontId="3" fillId="0" borderId="20" xfId="0" applyFont="1" applyBorder="1" applyAlignment="1">
      <alignment horizontal="right" vertical="top"/>
    </xf>
    <xf numFmtId="44" fontId="8" fillId="0" borderId="31" xfId="1" applyFont="1" applyBorder="1" applyAlignment="1">
      <alignment horizontal="center" vertical="top" wrapText="1"/>
    </xf>
    <xf numFmtId="44" fontId="8" fillId="0" borderId="30" xfId="1" applyFont="1" applyBorder="1" applyAlignment="1">
      <alignment horizontal="left" vertical="top" wrapText="1"/>
    </xf>
    <xf numFmtId="0" fontId="11" fillId="0" borderId="1" xfId="0" applyFont="1" applyBorder="1" applyAlignment="1">
      <alignment horizontal="right" vertical="top" wrapText="1"/>
    </xf>
    <xf numFmtId="0" fontId="11" fillId="0" borderId="13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left" vertical="top"/>
    </xf>
    <xf numFmtId="0" fontId="20" fillId="0" borderId="1" xfId="0" applyFont="1" applyBorder="1" applyAlignment="1">
      <alignment horizontal="right" vertical="top" wrapText="1"/>
    </xf>
    <xf numFmtId="0" fontId="20" fillId="0" borderId="1" xfId="0" applyFont="1" applyBorder="1" applyAlignment="1">
      <alignment horizontal="center" vertical="top" wrapText="1"/>
    </xf>
    <xf numFmtId="44" fontId="20" fillId="0" borderId="1" xfId="1" applyFont="1" applyBorder="1" applyAlignment="1">
      <alignment horizontal="center" vertical="top" wrapText="1"/>
    </xf>
    <xf numFmtId="44" fontId="20" fillId="0" borderId="6" xfId="0" applyNumberFormat="1" applyFont="1" applyBorder="1" applyAlignment="1">
      <alignment horizontal="left" vertical="top" wrapText="1"/>
    </xf>
    <xf numFmtId="44" fontId="20" fillId="0" borderId="1" xfId="1" applyFont="1" applyBorder="1" applyAlignment="1">
      <alignment horizontal="left" vertical="top"/>
    </xf>
    <xf numFmtId="0" fontId="20" fillId="0" borderId="6" xfId="0" applyFont="1" applyBorder="1" applyAlignment="1">
      <alignment horizontal="left" vertical="top"/>
    </xf>
    <xf numFmtId="0" fontId="21" fillId="8" borderId="13" xfId="0" applyFont="1" applyFill="1" applyBorder="1" applyAlignment="1">
      <alignment horizontal="center" vertical="top" wrapText="1"/>
    </xf>
    <xf numFmtId="0" fontId="22" fillId="0" borderId="1" xfId="0" applyFont="1" applyBorder="1" applyAlignment="1">
      <alignment horizontal="right" vertical="top" wrapText="1"/>
    </xf>
    <xf numFmtId="0" fontId="22" fillId="0" borderId="13" xfId="0" applyFont="1" applyBorder="1" applyAlignment="1">
      <alignment horizontal="center" vertical="top" wrapText="1"/>
    </xf>
    <xf numFmtId="0" fontId="22" fillId="0" borderId="6" xfId="0" applyFont="1" applyBorder="1" applyAlignment="1">
      <alignment horizontal="left" vertical="top"/>
    </xf>
    <xf numFmtId="0" fontId="23" fillId="0" borderId="1" xfId="0" applyFont="1" applyBorder="1" applyAlignment="1">
      <alignment horizontal="right" vertical="top" wrapText="1"/>
    </xf>
    <xf numFmtId="0" fontId="21" fillId="8" borderId="1" xfId="0" applyFont="1" applyFill="1" applyBorder="1" applyAlignment="1">
      <alignment horizontal="center" vertical="top" wrapText="1"/>
    </xf>
    <xf numFmtId="0" fontId="23" fillId="0" borderId="1" xfId="0" applyFont="1" applyBorder="1" applyAlignment="1">
      <alignment horizontal="center" vertical="top" wrapText="1"/>
    </xf>
    <xf numFmtId="0" fontId="23" fillId="0" borderId="6" xfId="0" applyFont="1" applyBorder="1" applyAlignment="1">
      <alignment horizontal="left" vertical="top"/>
    </xf>
    <xf numFmtId="0" fontId="21" fillId="8" borderId="29" xfId="0" applyFont="1" applyFill="1" applyBorder="1" applyAlignment="1">
      <alignment horizontal="center" vertical="top" wrapText="1"/>
    </xf>
    <xf numFmtId="0" fontId="11" fillId="0" borderId="19" xfId="0" applyFont="1" applyBorder="1" applyAlignment="1">
      <alignment horizontal="center" vertical="top" wrapText="1"/>
    </xf>
    <xf numFmtId="44" fontId="20" fillId="0" borderId="29" xfId="1" applyFont="1" applyBorder="1" applyAlignment="1">
      <alignment horizontal="center" vertical="top" wrapText="1"/>
    </xf>
    <xf numFmtId="44" fontId="20" fillId="0" borderId="30" xfId="0" applyNumberFormat="1" applyFont="1" applyBorder="1" applyAlignment="1">
      <alignment horizontal="left" vertical="top" wrapText="1"/>
    </xf>
    <xf numFmtId="44" fontId="20" fillId="0" borderId="29" xfId="1" applyFont="1" applyBorder="1" applyAlignment="1">
      <alignment horizontal="left" vertical="top"/>
    </xf>
    <xf numFmtId="9" fontId="20" fillId="0" borderId="7" xfId="0" applyNumberFormat="1" applyFont="1" applyBorder="1" applyAlignment="1">
      <alignment horizontal="left" vertical="top"/>
    </xf>
    <xf numFmtId="9" fontId="3" fillId="0" borderId="7" xfId="0" applyNumberFormat="1" applyFont="1" applyBorder="1" applyAlignment="1">
      <alignment horizontal="left" vertical="top"/>
    </xf>
    <xf numFmtId="9" fontId="22" fillId="0" borderId="7" xfId="0" applyNumberFormat="1" applyFont="1" applyBorder="1" applyAlignment="1">
      <alignment horizontal="left" vertical="top"/>
    </xf>
    <xf numFmtId="0" fontId="23" fillId="0" borderId="29" xfId="0" applyFont="1" applyBorder="1" applyAlignment="1">
      <alignment horizontal="right" vertical="top" wrapText="1"/>
    </xf>
    <xf numFmtId="0" fontId="24" fillId="8" borderId="19" xfId="0" applyFont="1" applyFill="1" applyBorder="1" applyAlignment="1">
      <alignment horizontal="center" vertical="top" wrapText="1"/>
    </xf>
    <xf numFmtId="0" fontId="23" fillId="0" borderId="19" xfId="0" applyFont="1" applyBorder="1" applyAlignment="1">
      <alignment horizontal="center" vertical="top" wrapText="1"/>
    </xf>
    <xf numFmtId="9" fontId="23" fillId="0" borderId="31" xfId="0" applyNumberFormat="1" applyFont="1" applyBorder="1" applyAlignment="1">
      <alignment horizontal="left" vertical="top"/>
    </xf>
    <xf numFmtId="0" fontId="23" fillId="0" borderId="30" xfId="0" applyFont="1" applyBorder="1" applyAlignment="1">
      <alignment horizontal="left" vertical="top"/>
    </xf>
    <xf numFmtId="0" fontId="23" fillId="0" borderId="19" xfId="0" applyFont="1" applyBorder="1" applyAlignment="1">
      <alignment horizontal="right" vertical="top" wrapText="1"/>
    </xf>
    <xf numFmtId="44" fontId="20" fillId="0" borderId="13" xfId="1" applyFont="1" applyBorder="1" applyAlignment="1">
      <alignment horizontal="center" vertical="top" wrapText="1"/>
    </xf>
    <xf numFmtId="44" fontId="20" fillId="0" borderId="14" xfId="0" applyNumberFormat="1" applyFont="1" applyBorder="1" applyAlignment="1">
      <alignment horizontal="left" vertical="top" wrapText="1"/>
    </xf>
    <xf numFmtId="9" fontId="23" fillId="0" borderId="21" xfId="0" applyNumberFormat="1" applyFont="1" applyBorder="1" applyAlignment="1">
      <alignment horizontal="left" vertical="top"/>
    </xf>
    <xf numFmtId="44" fontId="23" fillId="3" borderId="19" xfId="1" applyFont="1" applyFill="1" applyBorder="1" applyAlignment="1">
      <alignment horizontal="left" vertical="top"/>
    </xf>
    <xf numFmtId="44" fontId="20" fillId="0" borderId="13" xfId="1" applyFont="1" applyBorder="1" applyAlignment="1">
      <alignment horizontal="left" vertical="top"/>
    </xf>
    <xf numFmtId="0" fontId="23" fillId="0" borderId="22" xfId="0" applyFont="1" applyBorder="1" applyAlignment="1">
      <alignment horizontal="left" vertical="top"/>
    </xf>
    <xf numFmtId="164" fontId="7" fillId="0" borderId="32" xfId="0" applyNumberFormat="1" applyFont="1" applyBorder="1" applyAlignment="1">
      <alignment horizontal="left" vertical="top" wrapText="1"/>
    </xf>
    <xf numFmtId="0" fontId="23" fillId="0" borderId="18" xfId="0" applyFont="1" applyBorder="1" applyAlignment="1">
      <alignment horizontal="right" vertical="top" wrapText="1"/>
    </xf>
    <xf numFmtId="44" fontId="20" fillId="0" borderId="19" xfId="1" applyFont="1" applyBorder="1" applyAlignment="1">
      <alignment horizontal="center" vertical="top" wrapText="1"/>
    </xf>
    <xf numFmtId="44" fontId="20" fillId="0" borderId="22" xfId="0" applyNumberFormat="1" applyFont="1" applyBorder="1" applyAlignment="1">
      <alignment horizontal="left" vertical="top" wrapText="1"/>
    </xf>
    <xf numFmtId="44" fontId="20" fillId="0" borderId="19" xfId="1" applyFont="1" applyBorder="1" applyAlignment="1">
      <alignment horizontal="left" vertical="top"/>
    </xf>
    <xf numFmtId="9" fontId="23" fillId="0" borderId="7" xfId="0" applyNumberFormat="1" applyFont="1" applyBorder="1" applyAlignment="1">
      <alignment horizontal="left" vertical="top"/>
    </xf>
    <xf numFmtId="164" fontId="7" fillId="0" borderId="17" xfId="0" applyNumberFormat="1" applyFont="1" applyBorder="1" applyAlignment="1">
      <alignment horizontal="left" vertical="top" wrapText="1"/>
    </xf>
    <xf numFmtId="0" fontId="11" fillId="0" borderId="13" xfId="0" applyFont="1" applyBorder="1" applyAlignment="1">
      <alignment horizontal="right" vertical="top" wrapText="1"/>
    </xf>
    <xf numFmtId="44" fontId="11" fillId="0" borderId="13" xfId="1" applyFont="1" applyBorder="1" applyAlignment="1">
      <alignment horizontal="center" vertical="top" wrapText="1"/>
    </xf>
    <xf numFmtId="44" fontId="11" fillId="0" borderId="14" xfId="0" applyNumberFormat="1" applyFont="1" applyBorder="1" applyAlignment="1">
      <alignment horizontal="left" vertical="top" wrapText="1"/>
    </xf>
    <xf numFmtId="9" fontId="3" fillId="0" borderId="15" xfId="0" applyNumberFormat="1" applyFont="1" applyBorder="1" applyAlignment="1">
      <alignment horizontal="left" vertical="top"/>
    </xf>
    <xf numFmtId="44" fontId="3" fillId="0" borderId="13" xfId="1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5" fillId="0" borderId="12" xfId="0" applyFont="1" applyBorder="1" applyAlignment="1">
      <alignment horizontal="center" vertical="top" wrapText="1"/>
    </xf>
    <xf numFmtId="44" fontId="5" fillId="4" borderId="35" xfId="0" applyNumberFormat="1" applyFont="1" applyFill="1" applyBorder="1" applyAlignment="1">
      <alignment horizontal="left" vertical="top" wrapText="1"/>
    </xf>
    <xf numFmtId="9" fontId="6" fillId="0" borderId="36" xfId="2" applyFont="1" applyBorder="1" applyAlignment="1">
      <alignment horizontal="left" vertical="top"/>
    </xf>
    <xf numFmtId="44" fontId="6" fillId="0" borderId="12" xfId="0" applyNumberFormat="1" applyFont="1" applyBorder="1" applyAlignment="1">
      <alignment horizontal="left" vertical="top"/>
    </xf>
    <xf numFmtId="0" fontId="6" fillId="0" borderId="35" xfId="0" applyFont="1" applyBorder="1" applyAlignment="1">
      <alignment horizontal="left" vertical="top"/>
    </xf>
    <xf numFmtId="9" fontId="20" fillId="0" borderId="15" xfId="0" applyNumberFormat="1" applyFont="1" applyBorder="1" applyAlignment="1">
      <alignment horizontal="left" vertical="top"/>
    </xf>
    <xf numFmtId="0" fontId="20" fillId="0" borderId="14" xfId="0" applyFont="1" applyBorder="1" applyAlignment="1">
      <alignment horizontal="left" vertical="top"/>
    </xf>
    <xf numFmtId="0" fontId="3" fillId="5" borderId="0" xfId="0" applyFont="1" applyFill="1" applyAlignment="1">
      <alignment horizontal="center" vertical="top"/>
    </xf>
    <xf numFmtId="0" fontId="8" fillId="5" borderId="1" xfId="0" applyFont="1" applyFill="1" applyBorder="1" applyAlignment="1">
      <alignment horizontal="center" vertical="top" wrapText="1"/>
    </xf>
    <xf numFmtId="1" fontId="8" fillId="5" borderId="1" xfId="0" applyNumberFormat="1" applyFont="1" applyFill="1" applyBorder="1" applyAlignment="1">
      <alignment horizontal="center" vertical="top" wrapText="1"/>
    </xf>
    <xf numFmtId="0" fontId="17" fillId="0" borderId="3" xfId="0" applyFont="1" applyBorder="1" applyAlignment="1">
      <alignment horizontal="left" vertical="top" wrapText="1"/>
    </xf>
    <xf numFmtId="1" fontId="8" fillId="5" borderId="29" xfId="0" applyNumberFormat="1" applyFont="1" applyFill="1" applyBorder="1" applyAlignment="1">
      <alignment horizontal="center" vertical="top" wrapText="1"/>
    </xf>
    <xf numFmtId="165" fontId="3" fillId="5" borderId="0" xfId="0" applyNumberFormat="1" applyFont="1" applyFill="1" applyAlignment="1">
      <alignment horizontal="left" vertical="top"/>
    </xf>
    <xf numFmtId="9" fontId="3" fillId="5" borderId="0" xfId="0" applyNumberFormat="1" applyFont="1" applyFill="1" applyAlignment="1">
      <alignment horizontal="right" vertical="top"/>
    </xf>
    <xf numFmtId="165" fontId="3" fillId="0" borderId="1" xfId="0" applyNumberFormat="1" applyFont="1" applyBorder="1" applyAlignment="1">
      <alignment horizontal="center" vertical="top"/>
    </xf>
    <xf numFmtId="165" fontId="6" fillId="0" borderId="1" xfId="0" applyNumberFormat="1" applyFont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top"/>
    </xf>
    <xf numFmtId="0" fontId="11" fillId="0" borderId="5" xfId="0" applyFont="1" applyBorder="1" applyAlignment="1">
      <alignment horizontal="left" vertical="top"/>
    </xf>
    <xf numFmtId="44" fontId="3" fillId="0" borderId="6" xfId="0" applyNumberFormat="1" applyFont="1" applyBorder="1" applyAlignment="1">
      <alignment horizontal="center" vertical="top"/>
    </xf>
    <xf numFmtId="0" fontId="11" fillId="0" borderId="28" xfId="0" applyFont="1" applyBorder="1" applyAlignment="1">
      <alignment horizontal="left" vertical="top"/>
    </xf>
    <xf numFmtId="165" fontId="3" fillId="0" borderId="29" xfId="0" applyNumberFormat="1" applyFont="1" applyBorder="1" applyAlignment="1">
      <alignment horizontal="center" vertical="top"/>
    </xf>
    <xf numFmtId="165" fontId="6" fillId="0" borderId="29" xfId="0" applyNumberFormat="1" applyFont="1" applyBorder="1" applyAlignment="1">
      <alignment horizontal="center" vertical="top"/>
    </xf>
    <xf numFmtId="0" fontId="3" fillId="5" borderId="29" xfId="0" applyFont="1" applyFill="1" applyBorder="1" applyAlignment="1">
      <alignment horizontal="center" vertical="top"/>
    </xf>
    <xf numFmtId="44" fontId="3" fillId="0" borderId="30" xfId="0" applyNumberFormat="1" applyFont="1" applyBorder="1" applyAlignment="1">
      <alignment horizontal="center" vertical="top"/>
    </xf>
    <xf numFmtId="0" fontId="6" fillId="2" borderId="3" xfId="0" applyFont="1" applyFill="1" applyBorder="1" applyAlignment="1">
      <alignment horizontal="center" vertical="top"/>
    </xf>
    <xf numFmtId="0" fontId="6" fillId="2" borderId="4" xfId="0" applyFont="1" applyFill="1" applyBorder="1" applyAlignment="1">
      <alignment horizontal="center" vertical="top"/>
    </xf>
    <xf numFmtId="165" fontId="3" fillId="0" borderId="0" xfId="0" applyNumberFormat="1" applyFont="1" applyAlignment="1">
      <alignment horizontal="right" vertical="top"/>
    </xf>
    <xf numFmtId="165" fontId="25" fillId="0" borderId="0" xfId="0" applyNumberFormat="1" applyFont="1" applyAlignment="1">
      <alignment horizontal="left" vertical="top"/>
    </xf>
    <xf numFmtId="0" fontId="19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44" fontId="5" fillId="10" borderId="35" xfId="0" applyNumberFormat="1" applyFont="1" applyFill="1" applyBorder="1" applyAlignment="1">
      <alignment horizontal="left" vertical="top" wrapText="1"/>
    </xf>
    <xf numFmtId="167" fontId="3" fillId="0" borderId="0" xfId="0" applyNumberFormat="1" applyFont="1" applyAlignment="1">
      <alignment horizontal="center" vertical="top"/>
    </xf>
    <xf numFmtId="44" fontId="22" fillId="0" borderId="1" xfId="1" applyFont="1" applyBorder="1" applyAlignment="1">
      <alignment horizontal="left" vertical="top"/>
    </xf>
    <xf numFmtId="44" fontId="22" fillId="0" borderId="1" xfId="1" applyFont="1" applyBorder="1" applyAlignment="1">
      <alignment horizontal="center" vertical="top" wrapText="1"/>
    </xf>
    <xf numFmtId="44" fontId="22" fillId="0" borderId="6" xfId="0" applyNumberFormat="1" applyFont="1" applyBorder="1" applyAlignment="1">
      <alignment horizontal="left" vertical="top" wrapText="1"/>
    </xf>
    <xf numFmtId="0" fontId="22" fillId="0" borderId="0" xfId="0" applyFont="1" applyAlignment="1">
      <alignment horizontal="left" vertical="top"/>
    </xf>
    <xf numFmtId="44" fontId="22" fillId="0" borderId="0" xfId="0" applyNumberFormat="1" applyFont="1" applyAlignment="1">
      <alignment horizontal="left" vertical="top"/>
    </xf>
    <xf numFmtId="0" fontId="20" fillId="0" borderId="0" xfId="0" applyFont="1" applyAlignment="1">
      <alignment horizontal="left" vertical="top"/>
    </xf>
    <xf numFmtId="165" fontId="20" fillId="0" borderId="0" xfId="0" applyNumberFormat="1" applyFont="1" applyAlignment="1">
      <alignment horizontal="left" vertical="top"/>
    </xf>
    <xf numFmtId="0" fontId="26" fillId="0" borderId="0" xfId="0" applyFont="1" applyAlignment="1">
      <alignment horizontal="left" vertical="top"/>
    </xf>
    <xf numFmtId="44" fontId="26" fillId="0" borderId="0" xfId="0" applyNumberFormat="1" applyFont="1" applyAlignment="1">
      <alignment horizontal="left" vertical="top"/>
    </xf>
    <xf numFmtId="0" fontId="23" fillId="0" borderId="0" xfId="0" applyFont="1" applyAlignment="1">
      <alignment horizontal="left" vertical="top"/>
    </xf>
    <xf numFmtId="44" fontId="23" fillId="0" borderId="0" xfId="0" applyNumberFormat="1" applyFont="1" applyAlignment="1">
      <alignment horizontal="left" vertical="top"/>
    </xf>
    <xf numFmtId="0" fontId="27" fillId="0" borderId="0" xfId="0" applyFont="1" applyAlignment="1">
      <alignment horizontal="left" vertical="top"/>
    </xf>
    <xf numFmtId="44" fontId="27" fillId="0" borderId="0" xfId="0" applyNumberFormat="1" applyFont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14" fontId="3" fillId="5" borderId="0" xfId="0" applyNumberFormat="1" applyFont="1" applyFill="1" applyAlignment="1">
      <alignment horizontal="left" vertical="top"/>
    </xf>
    <xf numFmtId="0" fontId="26" fillId="0" borderId="20" xfId="0" applyFont="1" applyBorder="1" applyAlignment="1">
      <alignment horizontal="right" vertical="top"/>
    </xf>
    <xf numFmtId="0" fontId="26" fillId="0" borderId="19" xfId="0" applyFont="1" applyBorder="1" applyAlignment="1">
      <alignment horizontal="center" vertical="top" wrapText="1"/>
    </xf>
    <xf numFmtId="44" fontId="26" fillId="0" borderId="29" xfId="1" applyFont="1" applyBorder="1" applyAlignment="1">
      <alignment horizontal="center" vertical="top" wrapText="1"/>
    </xf>
    <xf numFmtId="44" fontId="26" fillId="0" borderId="30" xfId="0" applyNumberFormat="1" applyFont="1" applyBorder="1" applyAlignment="1">
      <alignment horizontal="left" vertical="top" wrapText="1"/>
    </xf>
    <xf numFmtId="9" fontId="26" fillId="0" borderId="20" xfId="0" applyNumberFormat="1" applyFont="1" applyBorder="1" applyAlignment="1">
      <alignment horizontal="left" vertical="top"/>
    </xf>
    <xf numFmtId="44" fontId="26" fillId="0" borderId="29" xfId="1" applyFont="1" applyBorder="1" applyAlignment="1">
      <alignment horizontal="left" vertical="top"/>
    </xf>
    <xf numFmtId="0" fontId="26" fillId="0" borderId="33" xfId="0" applyFont="1" applyBorder="1" applyAlignment="1">
      <alignment horizontal="left" vertical="top"/>
    </xf>
    <xf numFmtId="0" fontId="27" fillId="0" borderId="1" xfId="0" applyFont="1" applyBorder="1" applyAlignment="1">
      <alignment horizontal="right" vertical="top" wrapText="1"/>
    </xf>
    <xf numFmtId="0" fontId="27" fillId="0" borderId="13" xfId="0" applyFont="1" applyBorder="1" applyAlignment="1">
      <alignment horizontal="center" vertical="top" wrapText="1"/>
    </xf>
    <xf numFmtId="44" fontId="27" fillId="0" borderId="1" xfId="1" applyFont="1" applyBorder="1" applyAlignment="1">
      <alignment horizontal="center" vertical="top" wrapText="1"/>
    </xf>
    <xf numFmtId="44" fontId="27" fillId="0" borderId="6" xfId="0" applyNumberFormat="1" applyFont="1" applyBorder="1" applyAlignment="1">
      <alignment horizontal="left" vertical="top" wrapText="1"/>
    </xf>
    <xf numFmtId="9" fontId="27" fillId="0" borderId="7" xfId="0" applyNumberFormat="1" applyFont="1" applyBorder="1" applyAlignment="1">
      <alignment horizontal="left" vertical="top"/>
    </xf>
    <xf numFmtId="44" fontId="27" fillId="0" borderId="1" xfId="1" applyFont="1" applyBorder="1" applyAlignment="1">
      <alignment horizontal="left" vertical="top"/>
    </xf>
    <xf numFmtId="0" fontId="27" fillId="0" borderId="6" xfId="0" applyFont="1" applyBorder="1" applyAlignment="1">
      <alignment horizontal="left" vertical="top"/>
    </xf>
    <xf numFmtId="0" fontId="28" fillId="0" borderId="1" xfId="0" applyFont="1" applyBorder="1" applyAlignment="1">
      <alignment horizontal="right" vertical="top" wrapText="1"/>
    </xf>
    <xf numFmtId="0" fontId="28" fillId="0" borderId="13" xfId="0" applyFont="1" applyBorder="1" applyAlignment="1">
      <alignment horizontal="center" vertical="top" wrapText="1"/>
    </xf>
    <xf numFmtId="44" fontId="28" fillId="0" borderId="1" xfId="1" applyFont="1" applyBorder="1" applyAlignment="1">
      <alignment horizontal="center" vertical="top" wrapText="1"/>
    </xf>
    <xf numFmtId="44" fontId="28" fillId="0" borderId="6" xfId="0" applyNumberFormat="1" applyFont="1" applyBorder="1" applyAlignment="1">
      <alignment horizontal="left" vertical="top" wrapText="1"/>
    </xf>
    <xf numFmtId="9" fontId="28" fillId="0" borderId="7" xfId="0" applyNumberFormat="1" applyFont="1" applyBorder="1" applyAlignment="1">
      <alignment horizontal="left" vertical="top"/>
    </xf>
    <xf numFmtId="44" fontId="28" fillId="0" borderId="1" xfId="1" applyFont="1" applyBorder="1" applyAlignment="1">
      <alignment horizontal="left" vertical="top"/>
    </xf>
    <xf numFmtId="0" fontId="28" fillId="0" borderId="6" xfId="0" applyFont="1" applyBorder="1" applyAlignment="1">
      <alignment horizontal="left" vertical="top"/>
    </xf>
    <xf numFmtId="0" fontId="28" fillId="0" borderId="0" xfId="0" applyFont="1" applyAlignment="1">
      <alignment horizontal="left" vertical="top"/>
    </xf>
    <xf numFmtId="44" fontId="28" fillId="0" borderId="0" xfId="0" applyNumberFormat="1" applyFont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6" fillId="0" borderId="37" xfId="0" applyFont="1" applyBorder="1" applyAlignment="1">
      <alignment horizontal="left" vertical="top"/>
    </xf>
    <xf numFmtId="165" fontId="3" fillId="0" borderId="38" xfId="0" applyNumberFormat="1" applyFont="1" applyBorder="1" applyAlignment="1">
      <alignment horizontal="left" vertical="top"/>
    </xf>
    <xf numFmtId="0" fontId="2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35" xfId="0" applyFont="1" applyBorder="1" applyAlignment="1">
      <alignment horizontal="center" wrapText="1"/>
    </xf>
    <xf numFmtId="0" fontId="3" fillId="0" borderId="3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5" fillId="0" borderId="12" xfId="0" applyFont="1" applyBorder="1" applyAlignment="1">
      <alignment horizontal="left" vertical="top" wrapText="1"/>
    </xf>
    <xf numFmtId="0" fontId="11" fillId="5" borderId="1" xfId="0" applyFont="1" applyFill="1" applyBorder="1" applyAlignment="1">
      <alignment horizontal="left" vertical="top"/>
    </xf>
    <xf numFmtId="0" fontId="11" fillId="5" borderId="29" xfId="0" applyFont="1" applyFill="1" applyBorder="1" applyAlignment="1">
      <alignment horizontal="left" vertical="top"/>
    </xf>
    <xf numFmtId="9" fontId="9" fillId="0" borderId="7" xfId="0" applyNumberFormat="1" applyFont="1" applyBorder="1" applyAlignment="1">
      <alignment horizontal="left" vertical="top"/>
    </xf>
    <xf numFmtId="9" fontId="9" fillId="0" borderId="31" xfId="0" applyNumberFormat="1" applyFont="1" applyBorder="1" applyAlignment="1">
      <alignment horizontal="left" vertical="top"/>
    </xf>
    <xf numFmtId="9" fontId="6" fillId="0" borderId="10" xfId="2" applyFont="1" applyBorder="1" applyAlignment="1">
      <alignment horizontal="left" vertical="top"/>
    </xf>
    <xf numFmtId="0" fontId="8" fillId="0" borderId="29" xfId="0" applyFont="1" applyBorder="1" applyAlignment="1">
      <alignment horizontal="center" vertical="top" wrapText="1"/>
    </xf>
    <xf numFmtId="9" fontId="9" fillId="5" borderId="1" xfId="0" applyNumberFormat="1" applyFont="1" applyFill="1" applyBorder="1" applyAlignment="1">
      <alignment horizontal="left" vertical="top"/>
    </xf>
    <xf numFmtId="44" fontId="9" fillId="3" borderId="1" xfId="1" applyFont="1" applyFill="1" applyBorder="1" applyAlignment="1">
      <alignment horizontal="left" vertical="top"/>
    </xf>
    <xf numFmtId="44" fontId="9" fillId="5" borderId="1" xfId="1" applyFont="1" applyFill="1" applyBorder="1" applyAlignment="1">
      <alignment horizontal="left" vertical="top"/>
    </xf>
    <xf numFmtId="44" fontId="9" fillId="5" borderId="29" xfId="1" applyFont="1" applyFill="1" applyBorder="1" applyAlignment="1">
      <alignment horizontal="left" vertical="top"/>
    </xf>
    <xf numFmtId="44" fontId="8" fillId="0" borderId="0" xfId="0" applyNumberFormat="1" applyFont="1" applyAlignment="1">
      <alignment horizontal="right" vertical="top" wrapText="1"/>
    </xf>
    <xf numFmtId="44" fontId="5" fillId="0" borderId="26" xfId="0" applyNumberFormat="1" applyFont="1" applyBorder="1" applyAlignment="1">
      <alignment horizontal="center" vertical="top" wrapText="1"/>
    </xf>
    <xf numFmtId="44" fontId="3" fillId="3" borderId="1" xfId="1" applyFont="1" applyFill="1" applyBorder="1" applyAlignment="1">
      <alignment horizontal="left" vertical="top"/>
    </xf>
    <xf numFmtId="44" fontId="28" fillId="3" borderId="1" xfId="1" applyFont="1" applyFill="1" applyBorder="1" applyAlignment="1">
      <alignment horizontal="left" vertical="top"/>
    </xf>
    <xf numFmtId="44" fontId="22" fillId="3" borderId="1" xfId="1" applyFont="1" applyFill="1" applyBorder="1" applyAlignment="1">
      <alignment horizontal="left" vertical="top"/>
    </xf>
    <xf numFmtId="44" fontId="27" fillId="3" borderId="1" xfId="1" applyFont="1" applyFill="1" applyBorder="1" applyAlignment="1">
      <alignment horizontal="left" vertical="top"/>
    </xf>
    <xf numFmtId="44" fontId="23" fillId="3" borderId="1" xfId="1" applyFont="1" applyFill="1" applyBorder="1" applyAlignment="1">
      <alignment horizontal="left" vertical="top"/>
    </xf>
    <xf numFmtId="44" fontId="26" fillId="3" borderId="29" xfId="1" applyFont="1" applyFill="1" applyBorder="1" applyAlignment="1">
      <alignment horizontal="left" vertical="top"/>
    </xf>
    <xf numFmtId="44" fontId="23" fillId="3" borderId="29" xfId="1" applyFont="1" applyFill="1" applyBorder="1" applyAlignment="1">
      <alignment horizontal="left" vertical="top"/>
    </xf>
    <xf numFmtId="0" fontId="6" fillId="2" borderId="39" xfId="0" applyFont="1" applyFill="1" applyBorder="1" applyAlignment="1">
      <alignment horizontal="center" vertical="top"/>
    </xf>
    <xf numFmtId="44" fontId="3" fillId="0" borderId="41" xfId="0" applyNumberFormat="1" applyFont="1" applyBorder="1" applyAlignment="1">
      <alignment horizontal="center" vertical="top"/>
    </xf>
    <xf numFmtId="44" fontId="3" fillId="0" borderId="1" xfId="0" applyNumberFormat="1" applyFont="1" applyBorder="1" applyAlignment="1">
      <alignment horizontal="center" vertical="top"/>
    </xf>
    <xf numFmtId="44" fontId="3" fillId="0" borderId="29" xfId="0" applyNumberFormat="1" applyFont="1" applyBorder="1" applyAlignment="1">
      <alignment horizontal="center" vertical="top"/>
    </xf>
    <xf numFmtId="44" fontId="6" fillId="5" borderId="0" xfId="0" applyNumberFormat="1" applyFont="1" applyFill="1" applyAlignment="1">
      <alignment horizontal="left" vertical="top"/>
    </xf>
    <xf numFmtId="0" fontId="25" fillId="0" borderId="0" xfId="0" applyFont="1" applyAlignment="1">
      <alignment horizontal="left" vertical="top"/>
    </xf>
    <xf numFmtId="44" fontId="20" fillId="3" borderId="1" xfId="1" applyFont="1" applyFill="1" applyBorder="1" applyAlignment="1">
      <alignment horizontal="left" vertical="top"/>
    </xf>
    <xf numFmtId="44" fontId="11" fillId="3" borderId="1" xfId="1" applyFont="1" applyFill="1" applyBorder="1" applyAlignment="1">
      <alignment horizontal="left" vertical="top"/>
    </xf>
    <xf numFmtId="0" fontId="14" fillId="11" borderId="1" xfId="0" applyFont="1" applyFill="1" applyBorder="1"/>
    <xf numFmtId="165" fontId="11" fillId="0" borderId="0" xfId="0" applyNumberFormat="1" applyFont="1" applyAlignment="1">
      <alignment horizontal="left" vertical="top"/>
    </xf>
    <xf numFmtId="165" fontId="23" fillId="0" borderId="0" xfId="0" applyNumberFormat="1" applyFont="1" applyAlignment="1">
      <alignment horizontal="left" vertical="top"/>
    </xf>
    <xf numFmtId="165" fontId="22" fillId="0" borderId="0" xfId="0" applyNumberFormat="1" applyFont="1" applyAlignment="1">
      <alignment horizontal="left" vertical="top"/>
    </xf>
    <xf numFmtId="165" fontId="27" fillId="0" borderId="0" xfId="0" applyNumberFormat="1" applyFont="1" applyAlignment="1">
      <alignment horizontal="left" vertical="top"/>
    </xf>
    <xf numFmtId="165" fontId="3" fillId="0" borderId="42" xfId="0" applyNumberFormat="1" applyFont="1" applyBorder="1" applyAlignment="1">
      <alignment horizontal="left" vertical="top"/>
    </xf>
    <xf numFmtId="0" fontId="10" fillId="2" borderId="2" xfId="0" applyFont="1" applyFill="1" applyBorder="1" applyAlignment="1">
      <alignment vertical="top"/>
    </xf>
    <xf numFmtId="0" fontId="1" fillId="0" borderId="0" xfId="0" applyFont="1" applyAlignment="1">
      <alignment horizontal="left" vertical="top"/>
    </xf>
    <xf numFmtId="9" fontId="0" fillId="5" borderId="0" xfId="2" applyFont="1" applyFill="1" applyAlignment="1">
      <alignment horizontal="center" vertical="top"/>
    </xf>
    <xf numFmtId="0" fontId="6" fillId="5" borderId="0" xfId="0" applyFont="1" applyFill="1" applyAlignment="1">
      <alignment horizontal="left" vertical="top"/>
    </xf>
    <xf numFmtId="165" fontId="3" fillId="0" borderId="6" xfId="0" applyNumberFormat="1" applyFont="1" applyBorder="1" applyAlignment="1">
      <alignment horizontal="center" vertical="top"/>
    </xf>
    <xf numFmtId="165" fontId="3" fillId="0" borderId="30" xfId="0" applyNumberFormat="1" applyFont="1" applyBorder="1" applyAlignment="1">
      <alignment horizontal="center" vertical="top"/>
    </xf>
    <xf numFmtId="1" fontId="6" fillId="0" borderId="0" xfId="0" applyNumberFormat="1" applyFont="1" applyAlignment="1">
      <alignment horizontal="center" vertical="top"/>
    </xf>
    <xf numFmtId="0" fontId="29" fillId="0" borderId="0" xfId="0" applyFont="1" applyAlignment="1">
      <alignment horizontal="left" vertical="top"/>
    </xf>
    <xf numFmtId="0" fontId="30" fillId="0" borderId="1" xfId="4" applyBorder="1"/>
    <xf numFmtId="0" fontId="3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9" fontId="3" fillId="0" borderId="0" xfId="2" applyFont="1" applyAlignment="1">
      <alignment horizontal="left" vertical="top"/>
    </xf>
    <xf numFmtId="0" fontId="11" fillId="5" borderId="17" xfId="0" applyFont="1" applyFill="1" applyBorder="1" applyAlignment="1">
      <alignment horizontal="left" vertical="top"/>
    </xf>
    <xf numFmtId="0" fontId="30" fillId="0" borderId="0" xfId="4" applyAlignment="1">
      <alignment horizontal="left" vertical="top"/>
    </xf>
    <xf numFmtId="0" fontId="31" fillId="0" borderId="0" xfId="0" applyFont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/>
    </xf>
    <xf numFmtId="44" fontId="0" fillId="5" borderId="1" xfId="0" applyNumberFormat="1" applyFill="1" applyBorder="1" applyAlignment="1">
      <alignment horizontal="left" vertical="top"/>
    </xf>
    <xf numFmtId="0" fontId="32" fillId="0" borderId="0" xfId="0" applyFont="1" applyAlignment="1">
      <alignment horizontal="left"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horizontal="right" vertical="top"/>
    </xf>
    <xf numFmtId="8" fontId="15" fillId="7" borderId="0" xfId="0" applyNumberFormat="1" applyFont="1" applyFill="1"/>
    <xf numFmtId="0" fontId="15" fillId="0" borderId="1" xfId="0" applyFont="1" applyBorder="1" applyAlignment="1">
      <alignment horizontal="center"/>
    </xf>
    <xf numFmtId="0" fontId="14" fillId="0" borderId="7" xfId="0" applyFont="1" applyBorder="1" applyAlignment="1">
      <alignment wrapText="1"/>
    </xf>
    <xf numFmtId="44" fontId="14" fillId="0" borderId="1" xfId="0" applyNumberFormat="1" applyFont="1" applyBorder="1"/>
    <xf numFmtId="8" fontId="14" fillId="5" borderId="1" xfId="0" applyNumberFormat="1" applyFont="1" applyFill="1" applyBorder="1"/>
    <xf numFmtId="0" fontId="31" fillId="0" borderId="1" xfId="0" applyFont="1" applyBorder="1" applyAlignment="1">
      <alignment horizontal="center" vertical="top"/>
    </xf>
    <xf numFmtId="0" fontId="10" fillId="2" borderId="44" xfId="0" applyFont="1" applyFill="1" applyBorder="1" applyAlignment="1">
      <alignment vertical="top"/>
    </xf>
    <xf numFmtId="8" fontId="20" fillId="3" borderId="1" xfId="1" applyNumberFormat="1" applyFont="1" applyFill="1" applyBorder="1" applyAlignment="1">
      <alignment horizontal="left" vertical="top"/>
    </xf>
    <xf numFmtId="8" fontId="3" fillId="3" borderId="1" xfId="1" applyNumberFormat="1" applyFont="1" applyFill="1" applyBorder="1" applyAlignment="1">
      <alignment horizontal="left" vertical="top"/>
    </xf>
    <xf numFmtId="8" fontId="28" fillId="3" borderId="1" xfId="1" applyNumberFormat="1" applyFont="1" applyFill="1" applyBorder="1" applyAlignment="1">
      <alignment horizontal="left" vertical="top"/>
    </xf>
    <xf numFmtId="8" fontId="22" fillId="3" borderId="1" xfId="1" applyNumberFormat="1" applyFont="1" applyFill="1" applyBorder="1" applyAlignment="1">
      <alignment horizontal="left" vertical="top"/>
    </xf>
    <xf numFmtId="8" fontId="27" fillId="3" borderId="1" xfId="1" applyNumberFormat="1" applyFont="1" applyFill="1" applyBorder="1" applyAlignment="1">
      <alignment horizontal="left" vertical="top"/>
    </xf>
    <xf numFmtId="8" fontId="23" fillId="3" borderId="1" xfId="1" applyNumberFormat="1" applyFont="1" applyFill="1" applyBorder="1" applyAlignment="1">
      <alignment horizontal="left" vertical="top"/>
    </xf>
    <xf numFmtId="8" fontId="26" fillId="3" borderId="29" xfId="1" applyNumberFormat="1" applyFont="1" applyFill="1" applyBorder="1" applyAlignment="1">
      <alignment horizontal="left" vertical="top"/>
    </xf>
    <xf numFmtId="8" fontId="0" fillId="0" borderId="0" xfId="0" applyNumberFormat="1" applyAlignment="1">
      <alignment horizontal="left" vertical="top"/>
    </xf>
    <xf numFmtId="8" fontId="14" fillId="0" borderId="0" xfId="0" applyNumberFormat="1" applyFont="1"/>
    <xf numFmtId="2" fontId="14" fillId="5" borderId="1" xfId="0" applyNumberFormat="1" applyFont="1" applyFill="1" applyBorder="1"/>
    <xf numFmtId="1" fontId="14" fillId="5" borderId="1" xfId="0" applyNumberFormat="1" applyFont="1" applyFill="1" applyBorder="1"/>
    <xf numFmtId="44" fontId="24" fillId="0" borderId="1" xfId="1" applyFont="1" applyBorder="1" applyAlignment="1">
      <alignment horizontal="center" vertical="top" wrapText="1"/>
    </xf>
    <xf numFmtId="44" fontId="24" fillId="0" borderId="6" xfId="0" applyNumberFormat="1" applyFont="1" applyBorder="1" applyAlignment="1">
      <alignment horizontal="left" vertical="top" wrapText="1"/>
    </xf>
    <xf numFmtId="9" fontId="24" fillId="0" borderId="7" xfId="0" applyNumberFormat="1" applyFont="1" applyBorder="1" applyAlignment="1">
      <alignment horizontal="left" vertical="top"/>
    </xf>
    <xf numFmtId="44" fontId="24" fillId="3" borderId="1" xfId="1" applyFont="1" applyFill="1" applyBorder="1" applyAlignment="1">
      <alignment horizontal="left" vertical="top"/>
    </xf>
    <xf numFmtId="44" fontId="24" fillId="0" borderId="1" xfId="1" applyFont="1" applyBorder="1" applyAlignment="1">
      <alignment horizontal="left" vertical="top"/>
    </xf>
    <xf numFmtId="0" fontId="34" fillId="5" borderId="7" xfId="0" applyFont="1" applyFill="1" applyBorder="1" applyAlignment="1">
      <alignment wrapText="1"/>
    </xf>
    <xf numFmtId="0" fontId="30" fillId="5" borderId="1" xfId="4" applyFill="1" applyBorder="1"/>
    <xf numFmtId="0" fontId="14" fillId="5" borderId="0" xfId="0" applyFont="1" applyFill="1"/>
    <xf numFmtId="0" fontId="0" fillId="5" borderId="0" xfId="0" applyFill="1" applyAlignment="1">
      <alignment horizontal="left" vertical="top"/>
    </xf>
    <xf numFmtId="168" fontId="0" fillId="0" borderId="0" xfId="2" applyNumberFormat="1" applyFont="1" applyAlignment="1">
      <alignment horizontal="left" vertical="top"/>
    </xf>
    <xf numFmtId="10" fontId="3" fillId="5" borderId="0" xfId="0" applyNumberFormat="1" applyFont="1" applyFill="1" applyAlignment="1">
      <alignment horizontal="right" vertical="top"/>
    </xf>
    <xf numFmtId="44" fontId="3" fillId="4" borderId="40" xfId="0" applyNumberFormat="1" applyFont="1" applyFill="1" applyBorder="1" applyAlignment="1">
      <alignment horizontal="center" vertical="top"/>
    </xf>
    <xf numFmtId="0" fontId="10" fillId="2" borderId="43" xfId="0" applyFont="1" applyFill="1" applyBorder="1" applyAlignment="1">
      <alignment horizontal="center" vertical="top"/>
    </xf>
    <xf numFmtId="0" fontId="10" fillId="2" borderId="10" xfId="0" applyFont="1" applyFill="1" applyBorder="1" applyAlignment="1">
      <alignment horizontal="center" vertical="top"/>
    </xf>
    <xf numFmtId="0" fontId="2" fillId="0" borderId="34" xfId="0" applyFont="1" applyBorder="1" applyAlignment="1">
      <alignment horizontal="center" vertical="top" wrapText="1"/>
    </xf>
    <xf numFmtId="0" fontId="2" fillId="0" borderId="20" xfId="0" applyFont="1" applyBorder="1" applyAlignment="1">
      <alignment horizontal="center" vertical="top" wrapText="1"/>
    </xf>
    <xf numFmtId="0" fontId="2" fillId="0" borderId="33" xfId="0" applyFont="1" applyBorder="1" applyAlignment="1">
      <alignment horizontal="center" vertical="top" wrapText="1"/>
    </xf>
  </cellXfs>
  <cellStyles count="5">
    <cellStyle name="Comma" xfId="3" builtinId="3"/>
    <cellStyle name="Currency" xfId="1" builtinId="4"/>
    <cellStyle name="Hyperlink" xfId="4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r.ca.gov/oprl/2024-1/PWD/Determinations/Subtrades/jrnylist.html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laurel-ag.box.com/s/fscobx1vxxwhne2hxnathrnucmlxae6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E24AA-2212-4234-B8DB-3C89EA872194}">
  <dimension ref="A1:P70"/>
  <sheetViews>
    <sheetView tabSelected="1" zoomScaleNormal="100" workbookViewId="0">
      <selection activeCell="B2" sqref="B2"/>
    </sheetView>
  </sheetViews>
  <sheetFormatPr defaultRowHeight="13.2" x14ac:dyDescent="0.25"/>
  <cols>
    <col min="1" max="1" width="11.33203125" bestFit="1" customWidth="1"/>
    <col min="2" max="2" width="14.44140625" customWidth="1"/>
    <col min="3" max="3" width="32.77734375" customWidth="1"/>
    <col min="4" max="4" width="6.44140625" customWidth="1"/>
    <col min="5" max="5" width="5.109375" customWidth="1"/>
    <col min="6" max="6" width="143.77734375" bestFit="1" customWidth="1"/>
    <col min="7" max="7" width="18.44140625" bestFit="1" customWidth="1"/>
    <col min="8" max="8" width="11.33203125" customWidth="1"/>
    <col min="9" max="9" width="17.77734375" bestFit="1" customWidth="1"/>
    <col min="11" max="11" width="6.44140625" customWidth="1"/>
    <col min="12" max="12" width="24.6640625" bestFit="1" customWidth="1"/>
    <col min="13" max="13" width="16.109375" bestFit="1" customWidth="1"/>
    <col min="14" max="14" width="23.44140625" customWidth="1"/>
    <col min="15" max="15" width="14.44140625" bestFit="1" customWidth="1"/>
    <col min="16" max="16" width="16.109375" bestFit="1" customWidth="1"/>
  </cols>
  <sheetData>
    <row r="1" spans="1:16" s="13" customFormat="1" ht="33" x14ac:dyDescent="0.25">
      <c r="B1" s="32" t="s">
        <v>328</v>
      </c>
      <c r="D1" s="14"/>
      <c r="E1" s="14"/>
      <c r="F1" s="14"/>
      <c r="G1" s="35">
        <f>SUM(G4:G68)</f>
        <v>4608257</v>
      </c>
      <c r="H1" s="16"/>
      <c r="I1" s="145">
        <f>SUM(I4:I40)</f>
        <v>5072261</v>
      </c>
      <c r="J1" s="222" t="s">
        <v>0</v>
      </c>
      <c r="K1" s="26"/>
    </row>
    <row r="2" spans="1:16" s="13" customFormat="1" ht="14.25" customHeight="1" thickBot="1" x14ac:dyDescent="0.3">
      <c r="A2" s="234" t="s">
        <v>1</v>
      </c>
      <c r="B2" s="163"/>
      <c r="D2" s="14" t="s">
        <v>2</v>
      </c>
      <c r="I2" s="16"/>
    </row>
    <row r="3" spans="1:16" s="13" customFormat="1" ht="14.25" customHeight="1" x14ac:dyDescent="0.25">
      <c r="D3" s="259" t="s">
        <v>3</v>
      </c>
      <c r="E3" s="283" t="s">
        <v>4</v>
      </c>
      <c r="F3" s="284"/>
      <c r="G3" s="142" t="s">
        <v>5</v>
      </c>
      <c r="H3" s="142" t="s">
        <v>6</v>
      </c>
      <c r="I3" s="142" t="s">
        <v>7</v>
      </c>
      <c r="J3" s="142" t="s">
        <v>8</v>
      </c>
      <c r="K3" s="142" t="s">
        <v>9</v>
      </c>
      <c r="L3" s="217" t="s">
        <v>10</v>
      </c>
      <c r="M3" s="142" t="s">
        <v>11</v>
      </c>
      <c r="N3" s="143" t="s">
        <v>12</v>
      </c>
    </row>
    <row r="4" spans="1:16" s="13" customFormat="1" ht="14.25" customHeight="1" x14ac:dyDescent="0.25">
      <c r="B4" s="17" t="s">
        <v>12</v>
      </c>
      <c r="D4" s="244" t="s">
        <v>13</v>
      </c>
      <c r="E4" s="135">
        <v>1</v>
      </c>
      <c r="F4" s="198" t="s">
        <v>14</v>
      </c>
      <c r="G4" s="132">
        <f>'Bid Schedule'!G20</f>
        <v>54800</v>
      </c>
      <c r="H4" s="132">
        <f t="shared" ref="H4:H40" si="0">IF(F4=0,0,$B$25)</f>
        <v>12888.888888888889</v>
      </c>
      <c r="I4" s="133">
        <f>ROUNDUP(H4+G4,0)</f>
        <v>67689</v>
      </c>
      <c r="J4" s="134">
        <v>1</v>
      </c>
      <c r="K4" s="134" t="s">
        <v>15</v>
      </c>
      <c r="L4" s="282">
        <f t="shared" ref="L4:L38" si="1">I4/J4</f>
        <v>67689</v>
      </c>
      <c r="M4" s="219"/>
      <c r="N4" s="136"/>
      <c r="O4" s="16">
        <f>ROUNDUP(L4,0)</f>
        <v>67689</v>
      </c>
      <c r="P4" s="16">
        <f>O4*J4</f>
        <v>67689</v>
      </c>
    </row>
    <row r="5" spans="1:16" s="13" customFormat="1" ht="14.25" customHeight="1" x14ac:dyDescent="0.25">
      <c r="D5" s="244" t="s">
        <v>13</v>
      </c>
      <c r="E5" s="135">
        <v>2</v>
      </c>
      <c r="F5" s="198" t="s">
        <v>16</v>
      </c>
      <c r="G5" s="132">
        <f>'Bid Schedule'!G30</f>
        <v>21600</v>
      </c>
      <c r="H5" s="132">
        <f t="shared" si="0"/>
        <v>12888.888888888889</v>
      </c>
      <c r="I5" s="133">
        <f t="shared" ref="I5:I40" si="2">ROUNDUP(H5+G5,0)</f>
        <v>34489</v>
      </c>
      <c r="J5" s="134">
        <v>1</v>
      </c>
      <c r="K5" s="134" t="s">
        <v>15</v>
      </c>
      <c r="L5" s="282">
        <f t="shared" si="1"/>
        <v>34489</v>
      </c>
      <c r="M5" s="219"/>
      <c r="N5" s="136"/>
      <c r="O5" s="16">
        <f t="shared" ref="O5:O39" si="3">ROUNDUP(L5,0)</f>
        <v>34489</v>
      </c>
      <c r="P5" s="16">
        <f t="shared" ref="P5:P39" si="4">O5*J5</f>
        <v>34489</v>
      </c>
    </row>
    <row r="6" spans="1:16" s="13" customFormat="1" ht="14.25" customHeight="1" x14ac:dyDescent="0.25">
      <c r="A6" s="13" t="s">
        <v>17</v>
      </c>
      <c r="B6" s="164">
        <v>45807</v>
      </c>
      <c r="D6" s="244" t="s">
        <v>13</v>
      </c>
      <c r="E6" s="135">
        <v>3</v>
      </c>
      <c r="F6" s="198" t="s">
        <v>18</v>
      </c>
      <c r="G6" s="132">
        <f>'Bid Schedule'!G39</f>
        <v>24500</v>
      </c>
      <c r="H6" s="132">
        <f t="shared" si="0"/>
        <v>12888.888888888889</v>
      </c>
      <c r="I6" s="133">
        <f t="shared" si="2"/>
        <v>37389</v>
      </c>
      <c r="J6" s="134">
        <v>1</v>
      </c>
      <c r="K6" s="134" t="s">
        <v>15</v>
      </c>
      <c r="L6" s="282">
        <f t="shared" si="1"/>
        <v>37389</v>
      </c>
      <c r="M6" s="219"/>
      <c r="N6" s="136"/>
      <c r="O6" s="16">
        <f t="shared" si="3"/>
        <v>37389</v>
      </c>
      <c r="P6" s="16">
        <f t="shared" si="4"/>
        <v>37389</v>
      </c>
    </row>
    <row r="7" spans="1:16" s="13" customFormat="1" ht="14.25" customHeight="1" x14ac:dyDescent="0.25">
      <c r="A7" s="13" t="s">
        <v>19</v>
      </c>
      <c r="B7" s="164">
        <v>45823</v>
      </c>
      <c r="D7" s="244" t="s">
        <v>13</v>
      </c>
      <c r="E7" s="135">
        <v>4</v>
      </c>
      <c r="F7" s="198" t="s">
        <v>20</v>
      </c>
      <c r="G7" s="132">
        <f>'Bid Schedule'!G48</f>
        <v>41700</v>
      </c>
      <c r="H7" s="132">
        <f t="shared" si="0"/>
        <v>12888.888888888889</v>
      </c>
      <c r="I7" s="133">
        <f t="shared" si="2"/>
        <v>54589</v>
      </c>
      <c r="J7" s="134">
        <v>1</v>
      </c>
      <c r="K7" s="134"/>
      <c r="L7" s="282">
        <f t="shared" si="1"/>
        <v>54589</v>
      </c>
      <c r="M7" s="219"/>
      <c r="N7" s="136"/>
      <c r="O7" s="16">
        <f t="shared" si="3"/>
        <v>54589</v>
      </c>
      <c r="P7" s="16">
        <f t="shared" si="4"/>
        <v>54589</v>
      </c>
    </row>
    <row r="8" spans="1:16" s="13" customFormat="1" ht="14.25" customHeight="1" x14ac:dyDescent="0.25">
      <c r="A8" s="13" t="s">
        <v>21</v>
      </c>
      <c r="B8" s="164">
        <v>45853</v>
      </c>
      <c r="D8" s="244" t="s">
        <v>13</v>
      </c>
      <c r="E8" s="135">
        <v>5</v>
      </c>
      <c r="F8" s="198" t="s">
        <v>22</v>
      </c>
      <c r="G8" s="132">
        <f>'Bid Schedule'!G57</f>
        <v>31500</v>
      </c>
      <c r="H8" s="132">
        <f t="shared" si="0"/>
        <v>12888.888888888889</v>
      </c>
      <c r="I8" s="133">
        <f t="shared" si="2"/>
        <v>44389</v>
      </c>
      <c r="J8" s="134">
        <v>1</v>
      </c>
      <c r="K8" s="134"/>
      <c r="L8" s="282">
        <f t="shared" si="1"/>
        <v>44389</v>
      </c>
      <c r="M8" s="219"/>
      <c r="N8" s="136"/>
      <c r="O8" s="16">
        <f t="shared" si="3"/>
        <v>44389</v>
      </c>
      <c r="P8" s="16">
        <f t="shared" si="4"/>
        <v>44389</v>
      </c>
    </row>
    <row r="9" spans="1:16" s="13" customFormat="1" ht="14.25" customHeight="1" x14ac:dyDescent="0.25">
      <c r="A9" s="13" t="s">
        <v>23</v>
      </c>
      <c r="B9" s="164">
        <v>45855</v>
      </c>
      <c r="D9" s="244" t="s">
        <v>13</v>
      </c>
      <c r="E9" s="135">
        <v>6</v>
      </c>
      <c r="F9" s="198" t="s">
        <v>24</v>
      </c>
      <c r="G9" s="132">
        <f>'Bid Schedule'!G66</f>
        <v>24200</v>
      </c>
      <c r="H9" s="132">
        <f t="shared" si="0"/>
        <v>12888.888888888889</v>
      </c>
      <c r="I9" s="133">
        <f t="shared" si="2"/>
        <v>37089</v>
      </c>
      <c r="J9" s="134">
        <v>1</v>
      </c>
      <c r="K9" s="134"/>
      <c r="L9" s="282">
        <f t="shared" si="1"/>
        <v>37089</v>
      </c>
      <c r="M9" s="219"/>
      <c r="N9" s="136"/>
      <c r="O9" s="16">
        <f t="shared" si="3"/>
        <v>37089</v>
      </c>
      <c r="P9" s="16">
        <f t="shared" si="4"/>
        <v>37089</v>
      </c>
    </row>
    <row r="10" spans="1:16" s="13" customFormat="1" ht="14.25" customHeight="1" x14ac:dyDescent="0.25">
      <c r="A10" s="13" t="s">
        <v>25</v>
      </c>
      <c r="B10" s="164">
        <v>46053</v>
      </c>
      <c r="D10" s="244" t="s">
        <v>13</v>
      </c>
      <c r="E10" s="135">
        <v>7</v>
      </c>
      <c r="F10" s="198" t="s">
        <v>26</v>
      </c>
      <c r="G10" s="132">
        <f>'Bid Schedule'!G75</f>
        <v>66800</v>
      </c>
      <c r="H10" s="132">
        <f t="shared" si="0"/>
        <v>12888.888888888889</v>
      </c>
      <c r="I10" s="133">
        <f t="shared" si="2"/>
        <v>79689</v>
      </c>
      <c r="J10" s="134">
        <v>1</v>
      </c>
      <c r="K10" s="134"/>
      <c r="L10" s="282">
        <f t="shared" si="1"/>
        <v>79689</v>
      </c>
      <c r="M10" s="219"/>
      <c r="N10" s="136"/>
      <c r="O10" s="16">
        <f t="shared" si="3"/>
        <v>79689</v>
      </c>
      <c r="P10" s="16">
        <f t="shared" si="4"/>
        <v>79689</v>
      </c>
    </row>
    <row r="11" spans="1:16" s="13" customFormat="1" ht="14.25" customHeight="1" x14ac:dyDescent="0.25">
      <c r="D11" s="244" t="s">
        <v>13</v>
      </c>
      <c r="E11" s="135">
        <v>8</v>
      </c>
      <c r="F11" s="198" t="s">
        <v>27</v>
      </c>
      <c r="G11" s="132">
        <f>'Bid Schedule'!G84</f>
        <v>42600</v>
      </c>
      <c r="H11" s="132">
        <f t="shared" si="0"/>
        <v>12888.888888888889</v>
      </c>
      <c r="I11" s="133">
        <f t="shared" si="2"/>
        <v>55489</v>
      </c>
      <c r="J11" s="134">
        <v>1</v>
      </c>
      <c r="K11" s="134"/>
      <c r="L11" s="282">
        <f t="shared" si="1"/>
        <v>55489</v>
      </c>
      <c r="M11" s="219"/>
      <c r="N11" s="136"/>
      <c r="O11" s="16">
        <f t="shared" si="3"/>
        <v>55489</v>
      </c>
      <c r="P11" s="16">
        <f t="shared" si="4"/>
        <v>55489</v>
      </c>
    </row>
    <row r="12" spans="1:16" s="13" customFormat="1" ht="14.25" customHeight="1" x14ac:dyDescent="0.25">
      <c r="A12" s="13" t="s">
        <v>28</v>
      </c>
      <c r="B12" s="13">
        <f>B10-B9</f>
        <v>198</v>
      </c>
      <c r="C12" s="13" t="s">
        <v>29</v>
      </c>
      <c r="D12" s="244" t="s">
        <v>13</v>
      </c>
      <c r="E12" s="135">
        <v>9</v>
      </c>
      <c r="F12" s="198" t="s">
        <v>30</v>
      </c>
      <c r="G12" s="132">
        <f>'Bid Schedule'!G93</f>
        <v>7000</v>
      </c>
      <c r="H12" s="132">
        <f t="shared" si="0"/>
        <v>12888.888888888889</v>
      </c>
      <c r="I12" s="133">
        <f t="shared" si="2"/>
        <v>19889</v>
      </c>
      <c r="J12" s="134">
        <v>1</v>
      </c>
      <c r="K12" s="134"/>
      <c r="L12" s="282">
        <f t="shared" si="1"/>
        <v>19889</v>
      </c>
      <c r="M12" s="219"/>
      <c r="N12" s="136"/>
      <c r="O12" s="16">
        <f t="shared" si="3"/>
        <v>19889</v>
      </c>
      <c r="P12" s="16">
        <f t="shared" si="4"/>
        <v>19889</v>
      </c>
    </row>
    <row r="13" spans="1:16" s="13" customFormat="1" ht="14.25" customHeight="1" x14ac:dyDescent="0.25">
      <c r="D13" s="244" t="s">
        <v>13</v>
      </c>
      <c r="E13" s="135">
        <v>10</v>
      </c>
      <c r="F13" s="198" t="s">
        <v>31</v>
      </c>
      <c r="G13" s="132">
        <f>'Bid Schedule'!G102</f>
        <v>22800</v>
      </c>
      <c r="H13" s="132">
        <f t="shared" si="0"/>
        <v>12888.888888888889</v>
      </c>
      <c r="I13" s="133">
        <f t="shared" si="2"/>
        <v>35689</v>
      </c>
      <c r="J13" s="134">
        <v>7</v>
      </c>
      <c r="K13" s="134"/>
      <c r="L13" s="282">
        <f t="shared" si="1"/>
        <v>5098.4285714285716</v>
      </c>
      <c r="M13" s="219"/>
      <c r="N13" s="136"/>
      <c r="O13" s="16">
        <f t="shared" si="3"/>
        <v>5099</v>
      </c>
      <c r="P13" s="16">
        <f t="shared" si="4"/>
        <v>35693</v>
      </c>
    </row>
    <row r="14" spans="1:16" s="13" customFormat="1" ht="14.25" customHeight="1" x14ac:dyDescent="0.25">
      <c r="D14" s="244" t="s">
        <v>13</v>
      </c>
      <c r="E14" s="135">
        <v>11</v>
      </c>
      <c r="F14" s="198" t="s">
        <v>32</v>
      </c>
      <c r="G14" s="132">
        <f>'Bid Schedule'!G111</f>
        <v>875290</v>
      </c>
      <c r="H14" s="132">
        <f t="shared" si="0"/>
        <v>12888.888888888889</v>
      </c>
      <c r="I14" s="133">
        <f t="shared" si="2"/>
        <v>888179</v>
      </c>
      <c r="J14" s="134">
        <v>4105</v>
      </c>
      <c r="K14" s="134"/>
      <c r="L14" s="282">
        <f t="shared" si="1"/>
        <v>216.36516443361754</v>
      </c>
      <c r="M14" s="219"/>
      <c r="N14" s="136"/>
      <c r="O14" s="16">
        <f t="shared" si="3"/>
        <v>217</v>
      </c>
      <c r="P14" s="16">
        <f t="shared" si="4"/>
        <v>890785</v>
      </c>
    </row>
    <row r="15" spans="1:16" s="13" customFormat="1" ht="14.25" customHeight="1" x14ac:dyDescent="0.25">
      <c r="B15" s="221">
        <v>1000</v>
      </c>
      <c r="C15" s="13" t="s">
        <v>33</v>
      </c>
      <c r="D15" s="244" t="s">
        <v>13</v>
      </c>
      <c r="E15" s="135">
        <v>12</v>
      </c>
      <c r="F15" s="198" t="s">
        <v>34</v>
      </c>
      <c r="G15" s="132">
        <f>'Bid Schedule'!G120</f>
        <v>742390</v>
      </c>
      <c r="H15" s="132">
        <f t="shared" si="0"/>
        <v>12888.888888888889</v>
      </c>
      <c r="I15" s="133">
        <f t="shared" si="2"/>
        <v>755279</v>
      </c>
      <c r="J15" s="134">
        <v>2595</v>
      </c>
      <c r="K15" s="134"/>
      <c r="L15" s="282">
        <f t="shared" si="1"/>
        <v>291.05163776493254</v>
      </c>
      <c r="M15" s="219"/>
      <c r="N15" s="136"/>
      <c r="O15" s="16">
        <f t="shared" si="3"/>
        <v>292</v>
      </c>
      <c r="P15" s="16">
        <f t="shared" si="4"/>
        <v>757740</v>
      </c>
    </row>
    <row r="16" spans="1:16" s="13" customFormat="1" ht="14.25" customHeight="1" x14ac:dyDescent="0.25">
      <c r="D16" s="244" t="s">
        <v>13</v>
      </c>
      <c r="E16" s="135">
        <v>13</v>
      </c>
      <c r="F16" s="198" t="s">
        <v>35</v>
      </c>
      <c r="G16" s="132">
        <f>'Bid Schedule'!G129</f>
        <v>1227877</v>
      </c>
      <c r="H16" s="132">
        <f t="shared" si="0"/>
        <v>12888.888888888889</v>
      </c>
      <c r="I16" s="133">
        <f t="shared" si="2"/>
        <v>1240766</v>
      </c>
      <c r="J16" s="134">
        <v>2544</v>
      </c>
      <c r="K16" s="134"/>
      <c r="L16" s="282">
        <f t="shared" si="1"/>
        <v>487.72248427672957</v>
      </c>
      <c r="M16" s="219"/>
      <c r="N16" s="136"/>
      <c r="O16" s="16">
        <f t="shared" si="3"/>
        <v>488</v>
      </c>
      <c r="P16" s="16">
        <f t="shared" si="4"/>
        <v>1241472</v>
      </c>
    </row>
    <row r="17" spans="2:16" s="13" customFormat="1" ht="14.25" customHeight="1" x14ac:dyDescent="0.25">
      <c r="D17" s="244" t="s">
        <v>13</v>
      </c>
      <c r="E17" s="135">
        <v>14</v>
      </c>
      <c r="F17" s="198" t="s">
        <v>36</v>
      </c>
      <c r="G17" s="132">
        <f>'Bid Schedule'!G138</f>
        <v>15900</v>
      </c>
      <c r="H17" s="132">
        <f t="shared" si="0"/>
        <v>12888.888888888889</v>
      </c>
      <c r="I17" s="133">
        <f t="shared" si="2"/>
        <v>28789</v>
      </c>
      <c r="J17" s="134">
        <v>1</v>
      </c>
      <c r="K17" s="134"/>
      <c r="L17" s="282">
        <f t="shared" si="1"/>
        <v>28789</v>
      </c>
      <c r="M17" s="219"/>
      <c r="N17" s="136"/>
      <c r="O17" s="16">
        <f t="shared" si="3"/>
        <v>28789</v>
      </c>
      <c r="P17" s="16">
        <f t="shared" si="4"/>
        <v>28789</v>
      </c>
    </row>
    <row r="18" spans="2:16" s="13" customFormat="1" ht="14.25" customHeight="1" x14ac:dyDescent="0.25">
      <c r="D18" s="244" t="s">
        <v>13</v>
      </c>
      <c r="E18" s="135">
        <v>15</v>
      </c>
      <c r="F18" s="198" t="s">
        <v>37</v>
      </c>
      <c r="G18" s="132">
        <f>'Bid Schedule'!G147</f>
        <v>13300</v>
      </c>
      <c r="H18" s="132">
        <f t="shared" si="0"/>
        <v>12888.888888888889</v>
      </c>
      <c r="I18" s="133">
        <f t="shared" si="2"/>
        <v>26189</v>
      </c>
      <c r="J18" s="134">
        <v>1</v>
      </c>
      <c r="K18" s="134"/>
      <c r="L18" s="282">
        <f t="shared" si="1"/>
        <v>26189</v>
      </c>
      <c r="M18" s="219"/>
      <c r="N18" s="136"/>
      <c r="O18" s="16">
        <f t="shared" si="3"/>
        <v>26189</v>
      </c>
      <c r="P18" s="16">
        <f t="shared" si="4"/>
        <v>26189</v>
      </c>
    </row>
    <row r="19" spans="2:16" s="13" customFormat="1" ht="14.25" customHeight="1" x14ac:dyDescent="0.25">
      <c r="D19" s="244" t="s">
        <v>13</v>
      </c>
      <c r="E19" s="135">
        <v>16</v>
      </c>
      <c r="F19" s="198" t="s">
        <v>38</v>
      </c>
      <c r="G19" s="132">
        <f>'Bid Schedule'!G156</f>
        <v>25800</v>
      </c>
      <c r="H19" s="132">
        <f t="shared" si="0"/>
        <v>12888.888888888889</v>
      </c>
      <c r="I19" s="133">
        <f t="shared" si="2"/>
        <v>38689</v>
      </c>
      <c r="J19" s="134">
        <v>1</v>
      </c>
      <c r="K19" s="134"/>
      <c r="L19" s="282">
        <f t="shared" si="1"/>
        <v>38689</v>
      </c>
      <c r="M19" s="219"/>
      <c r="N19" s="136"/>
      <c r="O19" s="16">
        <f t="shared" si="3"/>
        <v>38689</v>
      </c>
      <c r="P19" s="16">
        <f t="shared" si="4"/>
        <v>38689</v>
      </c>
    </row>
    <row r="20" spans="2:16" s="13" customFormat="1" ht="14.25" customHeight="1" x14ac:dyDescent="0.25">
      <c r="D20" s="244" t="s">
        <v>13</v>
      </c>
      <c r="E20" s="135">
        <v>17</v>
      </c>
      <c r="F20" s="198" t="s">
        <v>39</v>
      </c>
      <c r="G20" s="132">
        <f>'Bid Schedule'!G165</f>
        <v>61400</v>
      </c>
      <c r="H20" s="132">
        <f t="shared" si="0"/>
        <v>12888.888888888889</v>
      </c>
      <c r="I20" s="133">
        <f t="shared" si="2"/>
        <v>74289</v>
      </c>
      <c r="J20" s="134">
        <v>4</v>
      </c>
      <c r="K20" s="134"/>
      <c r="L20" s="282">
        <f t="shared" si="1"/>
        <v>18572.25</v>
      </c>
      <c r="M20" s="219"/>
      <c r="N20" s="136"/>
      <c r="O20" s="16">
        <f t="shared" si="3"/>
        <v>18573</v>
      </c>
      <c r="P20" s="16">
        <f t="shared" si="4"/>
        <v>74292</v>
      </c>
    </row>
    <row r="21" spans="2:16" s="13" customFormat="1" ht="14.25" customHeight="1" x14ac:dyDescent="0.25">
      <c r="B21" s="144">
        <f>'Bid Schedule'!G8</f>
        <v>464000</v>
      </c>
      <c r="C21" s="13" t="s">
        <v>40</v>
      </c>
      <c r="D21" s="244" t="s">
        <v>13</v>
      </c>
      <c r="E21" s="135">
        <v>18</v>
      </c>
      <c r="F21" s="198" t="s">
        <v>41</v>
      </c>
      <c r="G21" s="132">
        <f>'Bid Schedule'!G174</f>
        <v>27100</v>
      </c>
      <c r="H21" s="132">
        <f t="shared" si="0"/>
        <v>12888.888888888889</v>
      </c>
      <c r="I21" s="133">
        <f t="shared" si="2"/>
        <v>39989</v>
      </c>
      <c r="J21" s="134">
        <v>1</v>
      </c>
      <c r="K21" s="134"/>
      <c r="L21" s="282">
        <f t="shared" si="1"/>
        <v>39989</v>
      </c>
      <c r="M21" s="219"/>
      <c r="N21" s="136"/>
      <c r="O21" s="16">
        <f t="shared" si="3"/>
        <v>39989</v>
      </c>
      <c r="P21" s="16">
        <f t="shared" si="4"/>
        <v>39989</v>
      </c>
    </row>
    <row r="22" spans="2:16" s="13" customFormat="1" ht="14.25" customHeight="1" x14ac:dyDescent="0.25">
      <c r="B22" s="33">
        <v>36</v>
      </c>
      <c r="C22" s="13" t="s">
        <v>42</v>
      </c>
      <c r="D22" s="244" t="s">
        <v>13</v>
      </c>
      <c r="E22" s="135">
        <v>19</v>
      </c>
      <c r="F22" s="198" t="s">
        <v>43</v>
      </c>
      <c r="G22" s="132">
        <f>'Bid Schedule'!G183</f>
        <v>24500</v>
      </c>
      <c r="H22" s="132">
        <f t="shared" si="0"/>
        <v>12888.888888888889</v>
      </c>
      <c r="I22" s="133">
        <f t="shared" si="2"/>
        <v>37389</v>
      </c>
      <c r="J22" s="134">
        <v>1</v>
      </c>
      <c r="K22" s="134"/>
      <c r="L22" s="282">
        <f t="shared" si="1"/>
        <v>37389</v>
      </c>
      <c r="M22" s="219"/>
      <c r="N22" s="136"/>
      <c r="O22" s="16">
        <f t="shared" si="3"/>
        <v>37389</v>
      </c>
      <c r="P22" s="16">
        <f t="shared" si="4"/>
        <v>37389</v>
      </c>
    </row>
    <row r="23" spans="2:16" s="13" customFormat="1" ht="14.25" customHeight="1" x14ac:dyDescent="0.25">
      <c r="B23" s="33"/>
      <c r="D23" s="244" t="s">
        <v>13</v>
      </c>
      <c r="E23" s="135">
        <v>20</v>
      </c>
      <c r="F23" s="198" t="s">
        <v>44</v>
      </c>
      <c r="G23" s="132">
        <f>'Bid Schedule'!G192</f>
        <v>95400</v>
      </c>
      <c r="H23" s="132">
        <f t="shared" ref="H23:H24" si="5">IF(F23=0,0,$B$25)</f>
        <v>12888.888888888889</v>
      </c>
      <c r="I23" s="133">
        <f t="shared" ref="I23:I24" si="6">ROUNDUP(H23+G23,0)</f>
        <v>108289</v>
      </c>
      <c r="J23" s="134">
        <v>1</v>
      </c>
      <c r="K23" s="134"/>
      <c r="L23" s="282">
        <f t="shared" ref="L23:L24" si="7">I23/J23</f>
        <v>108289</v>
      </c>
      <c r="M23" s="219"/>
      <c r="N23" s="136"/>
      <c r="O23" s="16">
        <f t="shared" si="3"/>
        <v>108289</v>
      </c>
      <c r="P23" s="16">
        <f t="shared" si="4"/>
        <v>108289</v>
      </c>
    </row>
    <row r="24" spans="2:16" s="13" customFormat="1" ht="14.25" customHeight="1" x14ac:dyDescent="0.25">
      <c r="B24" s="33"/>
      <c r="D24" s="244" t="s">
        <v>13</v>
      </c>
      <c r="E24" s="135">
        <v>21</v>
      </c>
      <c r="F24" s="198" t="s">
        <v>45</v>
      </c>
      <c r="G24" s="132">
        <f>'Bid Schedule'!G201</f>
        <v>94200</v>
      </c>
      <c r="H24" s="132">
        <f t="shared" si="5"/>
        <v>12888.888888888889</v>
      </c>
      <c r="I24" s="133">
        <f t="shared" si="6"/>
        <v>107089</v>
      </c>
      <c r="J24" s="134">
        <v>1</v>
      </c>
      <c r="K24" s="134"/>
      <c r="L24" s="282">
        <f t="shared" si="7"/>
        <v>107089</v>
      </c>
      <c r="M24" s="219"/>
      <c r="N24" s="136"/>
      <c r="O24" s="16">
        <f t="shared" si="3"/>
        <v>107089</v>
      </c>
      <c r="P24" s="16">
        <f t="shared" si="4"/>
        <v>107089</v>
      </c>
    </row>
    <row r="25" spans="2:16" s="13" customFormat="1" ht="14.25" customHeight="1" x14ac:dyDescent="0.25">
      <c r="B25" s="144">
        <f>B21/B22</f>
        <v>12888.888888888889</v>
      </c>
      <c r="C25" s="13" t="s">
        <v>46</v>
      </c>
      <c r="D25" s="244" t="s">
        <v>13</v>
      </c>
      <c r="E25" s="135">
        <v>22</v>
      </c>
      <c r="F25" s="198" t="s">
        <v>47</v>
      </c>
      <c r="G25" s="132">
        <f>'Bid Schedule'!G210</f>
        <v>56000</v>
      </c>
      <c r="H25" s="132">
        <f t="shared" si="0"/>
        <v>12888.888888888889</v>
      </c>
      <c r="I25" s="133">
        <f t="shared" si="2"/>
        <v>68889</v>
      </c>
      <c r="J25" s="134">
        <v>2</v>
      </c>
      <c r="K25" s="134"/>
      <c r="L25" s="282">
        <f t="shared" si="1"/>
        <v>34444.5</v>
      </c>
      <c r="M25" s="219"/>
      <c r="N25" s="136"/>
      <c r="O25" s="16">
        <f t="shared" si="3"/>
        <v>34445</v>
      </c>
      <c r="P25" s="16">
        <f t="shared" si="4"/>
        <v>68890</v>
      </c>
    </row>
    <row r="26" spans="2:16" s="13" customFormat="1" ht="14.25" customHeight="1" x14ac:dyDescent="0.25">
      <c r="D26" s="244" t="s">
        <v>13</v>
      </c>
      <c r="E26" s="135">
        <v>23</v>
      </c>
      <c r="F26" s="198" t="s">
        <v>48</v>
      </c>
      <c r="G26" s="132">
        <f>'Bid Schedule'!G219</f>
        <v>65700</v>
      </c>
      <c r="H26" s="132">
        <f t="shared" si="0"/>
        <v>12888.888888888889</v>
      </c>
      <c r="I26" s="133">
        <f t="shared" si="2"/>
        <v>78589</v>
      </c>
      <c r="J26" s="134">
        <v>2</v>
      </c>
      <c r="K26" s="134"/>
      <c r="L26" s="282">
        <f t="shared" si="1"/>
        <v>39294.5</v>
      </c>
      <c r="M26" s="219"/>
      <c r="N26" s="136"/>
      <c r="O26" s="16">
        <f t="shared" si="3"/>
        <v>39295</v>
      </c>
      <c r="P26" s="16">
        <f t="shared" si="4"/>
        <v>78590</v>
      </c>
    </row>
    <row r="27" spans="2:16" s="13" customFormat="1" ht="14.25" customHeight="1" x14ac:dyDescent="0.25">
      <c r="B27" s="243">
        <f>B21/I1</f>
        <v>9.1477942479694957E-2</v>
      </c>
      <c r="C27" s="13" t="s">
        <v>49</v>
      </c>
      <c r="D27" s="244" t="s">
        <v>13</v>
      </c>
      <c r="E27" s="135">
        <v>24</v>
      </c>
      <c r="F27" s="198" t="s">
        <v>50</v>
      </c>
      <c r="G27" s="132">
        <f>'Bid Schedule'!G228</f>
        <v>61300</v>
      </c>
      <c r="H27" s="132">
        <f t="shared" si="0"/>
        <v>12888.888888888889</v>
      </c>
      <c r="I27" s="133">
        <f t="shared" si="2"/>
        <v>74189</v>
      </c>
      <c r="J27" s="134">
        <v>1</v>
      </c>
      <c r="K27" s="134"/>
      <c r="L27" s="282">
        <f t="shared" si="1"/>
        <v>74189</v>
      </c>
      <c r="M27" s="219"/>
      <c r="N27" s="136"/>
      <c r="O27" s="16">
        <f t="shared" si="3"/>
        <v>74189</v>
      </c>
      <c r="P27" s="16">
        <f t="shared" si="4"/>
        <v>74189</v>
      </c>
    </row>
    <row r="28" spans="2:16" s="13" customFormat="1" ht="14.25" customHeight="1" x14ac:dyDescent="0.25">
      <c r="D28" s="244" t="s">
        <v>13</v>
      </c>
      <c r="E28" s="135">
        <v>25</v>
      </c>
      <c r="F28" s="198" t="s">
        <v>51</v>
      </c>
      <c r="G28" s="132">
        <f>'Bid Schedule'!G237</f>
        <v>159600</v>
      </c>
      <c r="H28" s="132">
        <f t="shared" si="0"/>
        <v>12888.888888888889</v>
      </c>
      <c r="I28" s="133">
        <f t="shared" si="2"/>
        <v>172489</v>
      </c>
      <c r="J28" s="134">
        <v>1</v>
      </c>
      <c r="K28" s="134"/>
      <c r="L28" s="282">
        <f t="shared" si="1"/>
        <v>172489</v>
      </c>
      <c r="M28" s="219"/>
      <c r="N28" s="136"/>
      <c r="O28" s="16">
        <f t="shared" si="3"/>
        <v>172489</v>
      </c>
      <c r="P28" s="16">
        <f t="shared" si="4"/>
        <v>172489</v>
      </c>
    </row>
    <row r="29" spans="2:16" s="13" customFormat="1" ht="14.25" customHeight="1" x14ac:dyDescent="0.25">
      <c r="D29" s="244" t="s">
        <v>13</v>
      </c>
      <c r="E29" s="135">
        <v>26</v>
      </c>
      <c r="F29" s="198" t="s">
        <v>52</v>
      </c>
      <c r="G29" s="132">
        <f>'Bid Schedule'!G246</f>
        <v>205800</v>
      </c>
      <c r="H29" s="132">
        <f t="shared" si="0"/>
        <v>12888.888888888889</v>
      </c>
      <c r="I29" s="133">
        <f t="shared" si="2"/>
        <v>218689</v>
      </c>
      <c r="J29" s="134">
        <v>1</v>
      </c>
      <c r="K29" s="134"/>
      <c r="L29" s="282">
        <f t="shared" si="1"/>
        <v>218689</v>
      </c>
      <c r="M29" s="219"/>
      <c r="N29" s="136"/>
      <c r="O29" s="16">
        <f t="shared" si="3"/>
        <v>218689</v>
      </c>
      <c r="P29" s="16">
        <f t="shared" si="4"/>
        <v>218689</v>
      </c>
    </row>
    <row r="30" spans="2:16" s="13" customFormat="1" ht="14.25" customHeight="1" x14ac:dyDescent="0.25">
      <c r="D30" s="244" t="s">
        <v>13</v>
      </c>
      <c r="E30" s="135">
        <v>27</v>
      </c>
      <c r="F30" s="198" t="s">
        <v>53</v>
      </c>
      <c r="G30" s="132">
        <f>'Bid Schedule'!G255</f>
        <v>83000</v>
      </c>
      <c r="H30" s="132">
        <f t="shared" si="0"/>
        <v>12888.888888888889</v>
      </c>
      <c r="I30" s="133">
        <f t="shared" si="2"/>
        <v>95889</v>
      </c>
      <c r="J30" s="134">
        <v>1</v>
      </c>
      <c r="K30" s="134"/>
      <c r="L30" s="282">
        <f t="shared" si="1"/>
        <v>95889</v>
      </c>
      <c r="M30" s="219"/>
      <c r="N30" s="136"/>
      <c r="O30" s="16">
        <f t="shared" si="3"/>
        <v>95889</v>
      </c>
      <c r="P30" s="16">
        <f t="shared" si="4"/>
        <v>95889</v>
      </c>
    </row>
    <row r="31" spans="2:16" s="13" customFormat="1" ht="14.25" customHeight="1" x14ac:dyDescent="0.25">
      <c r="D31" s="244" t="s">
        <v>13</v>
      </c>
      <c r="E31" s="135">
        <v>28</v>
      </c>
      <c r="F31" s="198" t="s">
        <v>54</v>
      </c>
      <c r="G31" s="132">
        <f>'Bid Schedule'!G264</f>
        <v>43600</v>
      </c>
      <c r="H31" s="132">
        <f t="shared" si="0"/>
        <v>12888.888888888889</v>
      </c>
      <c r="I31" s="133">
        <f t="shared" si="2"/>
        <v>56489</v>
      </c>
      <c r="J31" s="134">
        <v>1</v>
      </c>
      <c r="K31" s="134"/>
      <c r="L31" s="282">
        <f t="shared" si="1"/>
        <v>56489</v>
      </c>
      <c r="M31" s="219"/>
      <c r="N31" s="136"/>
      <c r="O31" s="16">
        <f t="shared" si="3"/>
        <v>56489</v>
      </c>
      <c r="P31" s="16">
        <f t="shared" si="4"/>
        <v>56489</v>
      </c>
    </row>
    <row r="32" spans="2:16" s="13" customFormat="1" ht="14.25" customHeight="1" x14ac:dyDescent="0.25">
      <c r="D32" s="244" t="s">
        <v>13</v>
      </c>
      <c r="E32" s="135">
        <v>29</v>
      </c>
      <c r="F32" s="198" t="s">
        <v>55</v>
      </c>
      <c r="G32" s="132">
        <f>'Bid Schedule'!G273</f>
        <v>35600</v>
      </c>
      <c r="H32" s="132">
        <f t="shared" si="0"/>
        <v>12888.888888888889</v>
      </c>
      <c r="I32" s="133">
        <f t="shared" si="2"/>
        <v>48489</v>
      </c>
      <c r="J32" s="134">
        <v>3</v>
      </c>
      <c r="K32" s="134"/>
      <c r="L32" s="282">
        <f t="shared" si="1"/>
        <v>16163</v>
      </c>
      <c r="M32" s="219"/>
      <c r="N32" s="136"/>
      <c r="O32" s="16">
        <f t="shared" si="3"/>
        <v>16163</v>
      </c>
      <c r="P32" s="16">
        <f t="shared" si="4"/>
        <v>48489</v>
      </c>
    </row>
    <row r="33" spans="4:16" s="13" customFormat="1" ht="14.25" customHeight="1" x14ac:dyDescent="0.25">
      <c r="D33" s="244" t="s">
        <v>13</v>
      </c>
      <c r="E33" s="135">
        <v>30</v>
      </c>
      <c r="F33" s="198" t="s">
        <v>56</v>
      </c>
      <c r="G33" s="132">
        <f>'Bid Schedule'!G282</f>
        <v>43200</v>
      </c>
      <c r="H33" s="132">
        <f t="shared" si="0"/>
        <v>12888.888888888889</v>
      </c>
      <c r="I33" s="133">
        <f t="shared" si="2"/>
        <v>56089</v>
      </c>
      <c r="J33" s="134">
        <v>3</v>
      </c>
      <c r="K33" s="134"/>
      <c r="L33" s="282">
        <f t="shared" si="1"/>
        <v>18696.333333333332</v>
      </c>
      <c r="M33" s="219"/>
      <c r="N33" s="136"/>
      <c r="O33" s="16">
        <f t="shared" si="3"/>
        <v>18697</v>
      </c>
      <c r="P33" s="16">
        <f t="shared" si="4"/>
        <v>56091</v>
      </c>
    </row>
    <row r="34" spans="4:16" s="13" customFormat="1" ht="14.25" customHeight="1" x14ac:dyDescent="0.25">
      <c r="D34" s="244" t="s">
        <v>13</v>
      </c>
      <c r="E34" s="135">
        <v>31</v>
      </c>
      <c r="F34" s="198" t="s">
        <v>57</v>
      </c>
      <c r="G34" s="132">
        <f>'Bid Schedule'!G291</f>
        <v>17600</v>
      </c>
      <c r="H34" s="132">
        <f t="shared" si="0"/>
        <v>12888.888888888889</v>
      </c>
      <c r="I34" s="133">
        <f t="shared" si="2"/>
        <v>30489</v>
      </c>
      <c r="J34" s="134">
        <v>1</v>
      </c>
      <c r="K34" s="134"/>
      <c r="L34" s="282">
        <f t="shared" si="1"/>
        <v>30489</v>
      </c>
      <c r="M34" s="219"/>
      <c r="N34" s="136"/>
      <c r="O34" s="16">
        <f t="shared" si="3"/>
        <v>30489</v>
      </c>
      <c r="P34" s="16">
        <f t="shared" si="4"/>
        <v>30489</v>
      </c>
    </row>
    <row r="35" spans="4:16" s="13" customFormat="1" ht="14.25" customHeight="1" x14ac:dyDescent="0.25">
      <c r="D35" s="244" t="s">
        <v>13</v>
      </c>
      <c r="E35" s="135">
        <v>32</v>
      </c>
      <c r="F35" s="198" t="s">
        <v>58</v>
      </c>
      <c r="G35" s="132">
        <f>'Bid Schedule'!G300</f>
        <v>86600</v>
      </c>
      <c r="H35" s="132">
        <f t="shared" si="0"/>
        <v>12888.888888888889</v>
      </c>
      <c r="I35" s="133">
        <f t="shared" si="2"/>
        <v>99489</v>
      </c>
      <c r="J35" s="134">
        <v>3</v>
      </c>
      <c r="K35" s="134"/>
      <c r="L35" s="282">
        <f t="shared" si="1"/>
        <v>33163</v>
      </c>
      <c r="M35" s="219"/>
      <c r="N35" s="136"/>
      <c r="O35" s="16">
        <f t="shared" si="3"/>
        <v>33163</v>
      </c>
      <c r="P35" s="16">
        <f t="shared" si="4"/>
        <v>99489</v>
      </c>
    </row>
    <row r="36" spans="4:16" s="13" customFormat="1" ht="14.25" customHeight="1" x14ac:dyDescent="0.25">
      <c r="D36" s="244" t="s">
        <v>13</v>
      </c>
      <c r="E36" s="135">
        <v>33</v>
      </c>
      <c r="F36" s="198" t="s">
        <v>59</v>
      </c>
      <c r="G36" s="132">
        <f>'Bid Schedule'!G309</f>
        <v>25200</v>
      </c>
      <c r="H36" s="132">
        <f t="shared" si="0"/>
        <v>12888.888888888889</v>
      </c>
      <c r="I36" s="133">
        <f t="shared" si="2"/>
        <v>38089</v>
      </c>
      <c r="J36" s="134">
        <v>13</v>
      </c>
      <c r="K36" s="134"/>
      <c r="L36" s="282">
        <f t="shared" si="1"/>
        <v>2929.9230769230771</v>
      </c>
      <c r="M36" s="219"/>
      <c r="N36" s="136"/>
      <c r="O36" s="16">
        <f t="shared" si="3"/>
        <v>2930</v>
      </c>
      <c r="P36" s="16">
        <f t="shared" si="4"/>
        <v>38090</v>
      </c>
    </row>
    <row r="37" spans="4:16" s="13" customFormat="1" ht="14.25" customHeight="1" x14ac:dyDescent="0.25">
      <c r="D37" s="244" t="s">
        <v>13</v>
      </c>
      <c r="E37" s="135">
        <v>34</v>
      </c>
      <c r="F37" s="198" t="s">
        <v>60</v>
      </c>
      <c r="G37" s="132">
        <f>'Bid Schedule'!G318</f>
        <v>55900</v>
      </c>
      <c r="H37" s="132">
        <f t="shared" si="0"/>
        <v>12888.888888888889</v>
      </c>
      <c r="I37" s="133">
        <f t="shared" si="2"/>
        <v>68789</v>
      </c>
      <c r="J37" s="134">
        <v>1</v>
      </c>
      <c r="K37" s="134"/>
      <c r="L37" s="282">
        <f t="shared" si="1"/>
        <v>68789</v>
      </c>
      <c r="M37" s="219"/>
      <c r="N37" s="136"/>
      <c r="O37" s="16">
        <f t="shared" si="3"/>
        <v>68789</v>
      </c>
      <c r="P37" s="16">
        <f t="shared" si="4"/>
        <v>68789</v>
      </c>
    </row>
    <row r="38" spans="4:16" s="13" customFormat="1" ht="14.25" customHeight="1" x14ac:dyDescent="0.25">
      <c r="D38" s="244" t="s">
        <v>13</v>
      </c>
      <c r="E38" s="135">
        <v>35</v>
      </c>
      <c r="F38" s="198" t="s">
        <v>61</v>
      </c>
      <c r="G38" s="132">
        <f>'Bid Schedule'!G327</f>
        <v>48800</v>
      </c>
      <c r="H38" s="132">
        <f t="shared" si="0"/>
        <v>12888.888888888889</v>
      </c>
      <c r="I38" s="133">
        <f t="shared" si="2"/>
        <v>61689</v>
      </c>
      <c r="J38" s="134">
        <v>1</v>
      </c>
      <c r="K38" s="134"/>
      <c r="L38" s="282">
        <f t="shared" si="1"/>
        <v>61689</v>
      </c>
      <c r="M38" s="219"/>
      <c r="N38" s="136"/>
      <c r="O38" s="16">
        <f t="shared" si="3"/>
        <v>61689</v>
      </c>
      <c r="P38" s="16">
        <f t="shared" si="4"/>
        <v>61689</v>
      </c>
    </row>
    <row r="39" spans="4:16" s="13" customFormat="1" ht="14.25" customHeight="1" x14ac:dyDescent="0.25">
      <c r="D39" s="244" t="s">
        <v>13</v>
      </c>
      <c r="E39" s="135">
        <v>36</v>
      </c>
      <c r="F39" s="198" t="s">
        <v>62</v>
      </c>
      <c r="G39" s="132">
        <f>'Bid Schedule'!G336</f>
        <v>79700</v>
      </c>
      <c r="H39" s="132">
        <f t="shared" si="0"/>
        <v>12888.888888888889</v>
      </c>
      <c r="I39" s="133">
        <f t="shared" si="2"/>
        <v>92589</v>
      </c>
      <c r="J39" s="134">
        <v>1</v>
      </c>
      <c r="K39" s="134"/>
      <c r="L39" s="282">
        <f t="shared" ref="L39:L40" si="8">I39/J39</f>
        <v>92589</v>
      </c>
      <c r="M39" s="219"/>
      <c r="N39" s="136"/>
      <c r="O39" s="16">
        <f t="shared" si="3"/>
        <v>92589</v>
      </c>
      <c r="P39" s="16">
        <f t="shared" si="4"/>
        <v>92589</v>
      </c>
    </row>
    <row r="40" spans="4:16" s="13" customFormat="1" ht="14.25" customHeight="1" thickBot="1" x14ac:dyDescent="0.3">
      <c r="D40" s="244" t="s">
        <v>13</v>
      </c>
      <c r="E40" s="135">
        <v>37</v>
      </c>
      <c r="F40" s="199"/>
      <c r="G40" s="138"/>
      <c r="H40" s="138">
        <f t="shared" si="0"/>
        <v>0</v>
      </c>
      <c r="I40" s="139">
        <f t="shared" si="2"/>
        <v>0</v>
      </c>
      <c r="J40" s="140"/>
      <c r="K40" s="140"/>
      <c r="L40" s="218" t="e">
        <f t="shared" si="8"/>
        <v>#DIV/0!</v>
      </c>
      <c r="M40" s="220"/>
      <c r="N40" s="141"/>
      <c r="P40" s="16">
        <f>SUM(P4:P39)</f>
        <v>5078046</v>
      </c>
    </row>
    <row r="41" spans="4:16" s="13" customFormat="1" ht="14.25" customHeight="1" x14ac:dyDescent="0.25">
      <c r="D41" s="14"/>
      <c r="E41" s="14"/>
      <c r="F41" s="14" t="s">
        <v>63</v>
      </c>
      <c r="G41" s="27"/>
      <c r="J41" s="19"/>
      <c r="K41" s="19"/>
      <c r="L41" s="15"/>
      <c r="M41" s="15"/>
      <c r="N41" s="15"/>
      <c r="P41" s="16"/>
    </row>
    <row r="42" spans="4:16" s="13" customFormat="1" ht="14.25" customHeight="1" x14ac:dyDescent="0.25">
      <c r="E42" s="14"/>
      <c r="F42" s="14"/>
      <c r="G42" s="27"/>
      <c r="H42" s="27">
        <f>SUM(H4:H40)</f>
        <v>463999.99999999971</v>
      </c>
      <c r="I42" s="20" t="s">
        <v>64</v>
      </c>
      <c r="J42" s="19"/>
      <c r="K42" s="19"/>
      <c r="L42" s="15"/>
      <c r="M42" s="15"/>
      <c r="N42" s="15"/>
    </row>
    <row r="43" spans="4:16" s="13" customFormat="1" ht="14.25" customHeight="1" x14ac:dyDescent="0.25">
      <c r="D43" s="14"/>
      <c r="E43" s="14"/>
      <c r="F43" s="14"/>
      <c r="G43" s="27"/>
      <c r="H43" s="27"/>
      <c r="I43" s="25"/>
      <c r="J43" s="19"/>
      <c r="K43" s="19"/>
      <c r="L43" s="15"/>
      <c r="M43" s="15"/>
      <c r="N43" s="15"/>
    </row>
    <row r="44" spans="4:16" s="13" customFormat="1" ht="14.25" customHeight="1" x14ac:dyDescent="0.25">
      <c r="D44" s="14"/>
      <c r="E44" s="14"/>
      <c r="F44" s="14"/>
      <c r="G44" s="27"/>
      <c r="H44" s="27"/>
      <c r="I44" s="25"/>
      <c r="J44" s="19"/>
      <c r="K44" s="19"/>
      <c r="L44" s="15"/>
      <c r="M44" s="15"/>
      <c r="N44" s="15"/>
    </row>
    <row r="45" spans="4:16" s="13" customFormat="1" ht="14.25" customHeight="1" x14ac:dyDescent="0.25">
      <c r="D45" s="14"/>
      <c r="E45" s="14"/>
      <c r="F45" s="14"/>
      <c r="G45" s="27"/>
      <c r="H45" s="27"/>
      <c r="I45" s="25"/>
      <c r="J45" s="19"/>
      <c r="K45" s="19"/>
      <c r="L45" s="15"/>
      <c r="M45" s="15"/>
      <c r="N45" s="15"/>
    </row>
    <row r="46" spans="4:16" s="13" customFormat="1" ht="14.25" customHeight="1" x14ac:dyDescent="0.25">
      <c r="D46" s="14"/>
      <c r="E46" s="14"/>
      <c r="F46" s="14"/>
      <c r="G46" s="27"/>
      <c r="H46" s="27"/>
      <c r="I46" s="25"/>
      <c r="J46" s="19"/>
      <c r="K46" s="19"/>
      <c r="L46" s="15"/>
      <c r="M46" s="15"/>
      <c r="N46" s="15"/>
    </row>
    <row r="47" spans="4:16" s="13" customFormat="1" ht="14.25" customHeight="1" x14ac:dyDescent="0.25">
      <c r="D47" s="14"/>
      <c r="E47" s="14"/>
      <c r="F47" s="14"/>
      <c r="G47" s="27"/>
      <c r="H47" s="27"/>
      <c r="I47" s="25"/>
      <c r="J47" s="19"/>
      <c r="K47" s="19"/>
      <c r="L47" s="15"/>
      <c r="M47" s="15"/>
      <c r="N47" s="15"/>
    </row>
    <row r="48" spans="4:16" s="13" customFormat="1" ht="14.25" customHeight="1" x14ac:dyDescent="0.25">
      <c r="D48" s="14"/>
      <c r="E48" s="14"/>
      <c r="F48" s="14"/>
      <c r="G48" s="27"/>
      <c r="H48" s="27"/>
      <c r="I48" s="25"/>
      <c r="J48" s="19"/>
      <c r="K48" s="19"/>
      <c r="L48" s="15"/>
      <c r="M48" s="15"/>
      <c r="N48" s="15"/>
    </row>
    <row r="49" spans="4:14" s="13" customFormat="1" ht="14.25" customHeight="1" x14ac:dyDescent="0.25">
      <c r="D49" s="14"/>
      <c r="E49" s="14"/>
      <c r="F49" s="14"/>
      <c r="G49" s="27"/>
      <c r="H49" s="27"/>
      <c r="I49" s="25"/>
      <c r="J49" s="19"/>
      <c r="K49" s="19"/>
      <c r="L49" s="15"/>
      <c r="M49" s="15"/>
      <c r="N49" s="15"/>
    </row>
    <row r="50" spans="4:14" s="13" customFormat="1" ht="14.25" customHeight="1" x14ac:dyDescent="0.25">
      <c r="D50" s="14"/>
      <c r="E50" s="14"/>
      <c r="F50" s="14"/>
      <c r="G50" s="27"/>
      <c r="H50" s="27"/>
      <c r="I50" s="25"/>
      <c r="J50" s="19"/>
      <c r="K50" s="19"/>
      <c r="L50" s="15"/>
      <c r="M50" s="15"/>
      <c r="N50" s="15"/>
    </row>
    <row r="51" spans="4:14" s="13" customFormat="1" ht="14.25" customHeight="1" x14ac:dyDescent="0.25">
      <c r="D51" s="14"/>
      <c r="E51" s="14"/>
      <c r="F51" s="14"/>
      <c r="G51" s="27"/>
      <c r="H51" s="27"/>
      <c r="I51" s="25"/>
      <c r="J51" s="19"/>
      <c r="K51" s="19"/>
      <c r="L51" s="15"/>
      <c r="M51" s="15"/>
      <c r="N51" s="15"/>
    </row>
    <row r="52" spans="4:14" s="13" customFormat="1" ht="14.25" customHeight="1" x14ac:dyDescent="0.25">
      <c r="D52" s="14"/>
      <c r="E52" s="14"/>
      <c r="F52" s="14"/>
      <c r="G52" s="27"/>
      <c r="H52" s="27"/>
      <c r="I52" s="25"/>
      <c r="J52" s="19"/>
      <c r="K52" s="19"/>
      <c r="L52" s="15"/>
      <c r="M52" s="15"/>
      <c r="N52" s="15"/>
    </row>
    <row r="53" spans="4:14" s="13" customFormat="1" ht="14.25" customHeight="1" x14ac:dyDescent="0.25">
      <c r="D53" s="14"/>
      <c r="E53" s="14"/>
      <c r="F53" s="14"/>
      <c r="G53" s="27"/>
      <c r="H53" s="27"/>
      <c r="I53" s="25"/>
      <c r="J53" s="19"/>
      <c r="K53" s="19"/>
      <c r="L53" s="15"/>
      <c r="M53" s="15"/>
      <c r="N53" s="15"/>
    </row>
    <row r="54" spans="4:14" s="13" customFormat="1" ht="14.25" customHeight="1" x14ac:dyDescent="0.25">
      <c r="D54" s="14"/>
      <c r="E54" s="14"/>
      <c r="F54" s="14"/>
      <c r="G54" s="27"/>
      <c r="H54" s="27"/>
      <c r="I54" s="25"/>
      <c r="J54" s="19"/>
      <c r="K54" s="19"/>
      <c r="L54" s="15"/>
      <c r="M54" s="15"/>
      <c r="N54" s="15"/>
    </row>
    <row r="55" spans="4:14" s="13" customFormat="1" ht="14.25" customHeight="1" x14ac:dyDescent="0.25">
      <c r="D55" s="14"/>
      <c r="E55" s="14"/>
      <c r="F55" s="14"/>
      <c r="G55" s="27"/>
      <c r="H55" s="27"/>
      <c r="I55" s="25"/>
      <c r="J55" s="19"/>
      <c r="K55" s="19"/>
      <c r="L55" s="15"/>
      <c r="M55" s="15"/>
      <c r="N55" s="15"/>
    </row>
    <row r="56" spans="4:14" s="13" customFormat="1" ht="14.25" customHeight="1" x14ac:dyDescent="0.25">
      <c r="D56" s="14"/>
      <c r="E56" s="14"/>
      <c r="F56" s="14"/>
      <c r="G56" s="27"/>
      <c r="H56" s="27"/>
      <c r="I56" s="25"/>
      <c r="J56" s="19"/>
      <c r="K56" s="19"/>
      <c r="L56" s="15"/>
      <c r="M56" s="15"/>
      <c r="N56" s="15"/>
    </row>
    <row r="57" spans="4:14" s="13" customFormat="1" ht="14.25" customHeight="1" x14ac:dyDescent="0.25">
      <c r="D57" s="14"/>
      <c r="E57" s="14"/>
      <c r="F57" s="14"/>
      <c r="G57" s="27"/>
      <c r="H57" s="27"/>
      <c r="I57" s="25"/>
      <c r="J57" s="19"/>
      <c r="K57" s="19"/>
      <c r="L57" s="15"/>
      <c r="M57" s="15"/>
      <c r="N57" s="15"/>
    </row>
    <row r="58" spans="4:14" s="13" customFormat="1" ht="14.25" customHeight="1" x14ac:dyDescent="0.25">
      <c r="D58" s="14"/>
      <c r="E58" s="14"/>
      <c r="F58" s="14"/>
      <c r="G58" s="27"/>
      <c r="H58" s="27"/>
      <c r="I58" s="25"/>
      <c r="J58" s="19"/>
      <c r="K58" s="19"/>
      <c r="L58" s="15"/>
      <c r="M58" s="15"/>
      <c r="N58" s="15"/>
    </row>
    <row r="59" spans="4:14" s="13" customFormat="1" ht="14.25" customHeight="1" x14ac:dyDescent="0.25">
      <c r="D59" s="14"/>
      <c r="E59" s="14"/>
      <c r="F59" s="14"/>
      <c r="G59" s="27"/>
      <c r="H59" s="27"/>
      <c r="I59" s="25"/>
      <c r="J59" s="19"/>
      <c r="K59" s="19"/>
      <c r="L59" s="15"/>
      <c r="M59" s="15"/>
      <c r="N59" s="15"/>
    </row>
    <row r="60" spans="4:14" s="13" customFormat="1" ht="14.25" customHeight="1" x14ac:dyDescent="0.25">
      <c r="D60" s="14"/>
      <c r="E60" s="14"/>
      <c r="F60" s="14"/>
      <c r="G60" s="27"/>
      <c r="H60" s="27"/>
      <c r="I60" s="25"/>
      <c r="J60" s="19"/>
      <c r="K60" s="19"/>
      <c r="L60" s="15"/>
      <c r="M60" s="15"/>
      <c r="N60" s="15"/>
    </row>
    <row r="61" spans="4:14" s="13" customFormat="1" ht="14.25" customHeight="1" x14ac:dyDescent="0.25">
      <c r="D61" s="14"/>
      <c r="E61" s="14"/>
      <c r="F61" s="14"/>
      <c r="G61" s="27"/>
      <c r="H61" s="27"/>
      <c r="I61" s="25"/>
      <c r="J61" s="19"/>
      <c r="K61" s="19"/>
      <c r="L61" s="15"/>
      <c r="M61" s="15"/>
      <c r="N61" s="15"/>
    </row>
    <row r="62" spans="4:14" s="13" customFormat="1" ht="14.25" customHeight="1" x14ac:dyDescent="0.25">
      <c r="D62" s="14"/>
      <c r="E62" s="14"/>
      <c r="F62" s="14"/>
      <c r="G62" s="27"/>
      <c r="H62" s="27"/>
      <c r="I62" s="25"/>
      <c r="J62" s="19"/>
      <c r="K62" s="19"/>
      <c r="L62" s="15"/>
      <c r="M62" s="15"/>
      <c r="N62" s="15"/>
    </row>
    <row r="63" spans="4:14" s="13" customFormat="1" ht="14.25" customHeight="1" x14ac:dyDescent="0.25">
      <c r="D63" s="14"/>
      <c r="E63" s="14"/>
      <c r="F63" s="14"/>
      <c r="G63" s="27"/>
      <c r="H63" s="27"/>
      <c r="I63" s="25"/>
      <c r="J63" s="19"/>
      <c r="K63" s="19"/>
      <c r="L63" s="15"/>
      <c r="M63" s="15"/>
      <c r="N63" s="15"/>
    </row>
    <row r="64" spans="4:14" s="13" customFormat="1" ht="14.25" customHeight="1" x14ac:dyDescent="0.25">
      <c r="D64" s="14"/>
      <c r="E64" s="14"/>
      <c r="F64" s="14"/>
      <c r="G64" s="27"/>
      <c r="H64" s="27"/>
      <c r="I64" s="25"/>
      <c r="J64" s="19"/>
      <c r="K64" s="19"/>
      <c r="L64" s="15"/>
      <c r="M64" s="15"/>
      <c r="N64" s="15"/>
    </row>
    <row r="65" spans="1:14" s="13" customFormat="1" ht="14.25" customHeight="1" x14ac:dyDescent="0.25">
      <c r="D65" s="14"/>
      <c r="E65" s="14"/>
      <c r="F65" s="14"/>
      <c r="G65" s="27"/>
      <c r="H65" s="27"/>
      <c r="I65" s="25"/>
      <c r="J65" s="19"/>
      <c r="K65" s="19"/>
      <c r="L65" s="15"/>
      <c r="M65" s="15"/>
      <c r="N65" s="15"/>
    </row>
    <row r="66" spans="1:14" s="13" customFormat="1" ht="14.25" customHeight="1" x14ac:dyDescent="0.25">
      <c r="D66" s="14"/>
      <c r="E66" s="14"/>
      <c r="F66" s="14"/>
      <c r="G66" s="27"/>
      <c r="H66" s="27"/>
      <c r="I66" s="25"/>
      <c r="J66" s="19"/>
      <c r="K66" s="19"/>
      <c r="L66" s="15"/>
      <c r="M66" s="15"/>
      <c r="N66" s="15"/>
    </row>
    <row r="67" spans="1:14" s="13" customFormat="1" ht="14.25" customHeight="1" x14ac:dyDescent="0.25">
      <c r="D67" s="14"/>
      <c r="E67" s="14"/>
      <c r="F67" s="14"/>
      <c r="G67" s="27"/>
      <c r="H67" s="27"/>
      <c r="I67" s="25"/>
      <c r="J67" s="19"/>
      <c r="K67" s="19"/>
      <c r="L67" s="15"/>
      <c r="M67" s="15"/>
      <c r="N67" s="15"/>
    </row>
    <row r="68" spans="1:14" s="13" customFormat="1" ht="14.1" customHeight="1" x14ac:dyDescent="0.25">
      <c r="D68" s="14"/>
      <c r="E68" s="14"/>
      <c r="F68" s="14"/>
      <c r="G68" s="15"/>
      <c r="H68" s="15"/>
      <c r="I68" s="15"/>
      <c r="K68" s="19"/>
    </row>
    <row r="69" spans="1:14" s="13" customFormat="1" ht="14.25" customHeight="1" x14ac:dyDescent="0.25">
      <c r="D69" s="14"/>
      <c r="E69" s="14"/>
      <c r="F69" s="14"/>
    </row>
    <row r="70" spans="1:14" x14ac:dyDescent="0.25">
      <c r="A70" s="13"/>
      <c r="B70" s="13"/>
      <c r="C70" s="13"/>
      <c r="D70" s="14"/>
      <c r="E70" s="14"/>
      <c r="F70" s="14"/>
    </row>
  </sheetData>
  <mergeCells count="1">
    <mergeCell ref="E3:F3"/>
  </mergeCells>
  <phoneticPr fontId="3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79746-0237-422D-B3BD-035F56E4295D}">
  <sheetPr>
    <tabColor rgb="FF92D050"/>
  </sheetPr>
  <dimension ref="A1:M60"/>
  <sheetViews>
    <sheetView zoomScale="90" zoomScaleNormal="90" workbookViewId="0">
      <selection activeCell="F19" sqref="F19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3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2" t="s">
        <v>147</v>
      </c>
      <c r="J1" s="253">
        <f>J4+J15+J26+J33+J40+J47+J54</f>
        <v>18649.310000000001</v>
      </c>
      <c r="K1" t="s">
        <v>96</v>
      </c>
    </row>
    <row r="2" spans="1:13" ht="18" x14ac:dyDescent="0.3">
      <c r="B2" s="146" t="str">
        <f>'Bid Summary'!F9</f>
        <v xml:space="preserve">Lateral DE-1-A Connection (21-inch Asbestos-Cement at STA 51+04.05) 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148</v>
      </c>
      <c r="C3" s="49" t="s">
        <v>149</v>
      </c>
      <c r="D3" s="49" t="s">
        <v>8</v>
      </c>
      <c r="E3" s="49" t="s">
        <v>150</v>
      </c>
      <c r="F3" s="49" t="s">
        <v>151</v>
      </c>
      <c r="G3" s="49" t="s">
        <v>152</v>
      </c>
      <c r="H3" s="49" t="s">
        <v>175</v>
      </c>
      <c r="I3" s="49" t="s">
        <v>153</v>
      </c>
      <c r="J3" s="49" t="s">
        <v>94</v>
      </c>
      <c r="K3" s="49" t="s">
        <v>154</v>
      </c>
      <c r="L3" s="29"/>
      <c r="M3" s="29"/>
    </row>
    <row r="4" spans="1:13" ht="14.4" x14ac:dyDescent="0.3">
      <c r="A4" s="188"/>
      <c r="B4" s="52" t="s">
        <v>109</v>
      </c>
      <c r="C4" s="30"/>
      <c r="D4" s="30"/>
      <c r="E4" s="30"/>
      <c r="F4" s="30"/>
      <c r="G4" s="30"/>
      <c r="H4" s="30"/>
      <c r="I4" s="30"/>
      <c r="J4" s="56">
        <f>SUM(J5:J14)</f>
        <v>7404.16</v>
      </c>
      <c r="K4" s="30"/>
      <c r="L4" s="29"/>
      <c r="M4" s="29"/>
    </row>
    <row r="5" spans="1:13" ht="14.4" x14ac:dyDescent="0.3">
      <c r="A5" s="53">
        <v>1</v>
      </c>
      <c r="B5" s="255" t="str">
        <f>'Prevailing Wage'!C14</f>
        <v>Labor Lead</v>
      </c>
      <c r="C5" s="31"/>
      <c r="D5" s="60">
        <v>16</v>
      </c>
      <c r="E5" s="31" t="s">
        <v>118</v>
      </c>
      <c r="F5" s="256">
        <f>'Prevailing Wage'!D14</f>
        <v>74.69</v>
      </c>
      <c r="G5" s="31"/>
      <c r="H5" s="31"/>
      <c r="I5" s="31"/>
      <c r="J5" s="50">
        <f>D5*F5</f>
        <v>1195.04</v>
      </c>
      <c r="K5" s="31" t="s">
        <v>158</v>
      </c>
      <c r="L5" s="29"/>
      <c r="M5" s="29"/>
    </row>
    <row r="6" spans="1:13" ht="14.4" x14ac:dyDescent="0.3">
      <c r="A6" s="53">
        <v>2</v>
      </c>
      <c r="B6" s="255" t="str">
        <f>'Prevailing Wage'!C15</f>
        <v>Laborer</v>
      </c>
      <c r="C6" s="31"/>
      <c r="D6" s="225">
        <f>D5*'Bid Schedule'!$N$3</f>
        <v>48</v>
      </c>
      <c r="E6" s="31" t="s">
        <v>118</v>
      </c>
      <c r="F6" s="256">
        <f>'Prevailing Wage'!D15</f>
        <v>71.69</v>
      </c>
      <c r="G6" s="31"/>
      <c r="H6" s="31"/>
      <c r="I6" s="31"/>
      <c r="J6" s="50">
        <f t="shared" ref="J6:J12" si="0">D6*F6</f>
        <v>3441.12</v>
      </c>
      <c r="K6" s="225" t="s">
        <v>159</v>
      </c>
      <c r="L6" s="29"/>
      <c r="M6" s="29"/>
    </row>
    <row r="7" spans="1:13" ht="14.4" x14ac:dyDescent="0.3">
      <c r="A7" s="53">
        <v>3</v>
      </c>
      <c r="B7" s="255" t="str">
        <f>'Prevailing Wage'!C16</f>
        <v>Operator</v>
      </c>
      <c r="C7" s="31"/>
      <c r="D7" s="60">
        <v>16</v>
      </c>
      <c r="E7" s="31" t="s">
        <v>118</v>
      </c>
      <c r="F7" s="256">
        <f>'Prevailing Wage'!D16</f>
        <v>96.29</v>
      </c>
      <c r="G7" s="31"/>
      <c r="H7" s="31"/>
      <c r="I7" s="31"/>
      <c r="J7" s="50">
        <f t="shared" si="0"/>
        <v>1540.64</v>
      </c>
      <c r="K7" s="31"/>
      <c r="L7" s="29"/>
      <c r="M7" s="29"/>
    </row>
    <row r="8" spans="1:13" ht="14.4" x14ac:dyDescent="0.3">
      <c r="A8" s="53">
        <v>4</v>
      </c>
      <c r="B8" s="255" t="str">
        <f>'Prevailing Wage'!C17</f>
        <v>Driver</v>
      </c>
      <c r="C8" s="31"/>
      <c r="D8" s="60">
        <v>16</v>
      </c>
      <c r="E8" s="31" t="s">
        <v>118</v>
      </c>
      <c r="F8" s="256">
        <f>'Prevailing Wage'!D17</f>
        <v>76.709999999999994</v>
      </c>
      <c r="G8" s="31"/>
      <c r="H8" s="31"/>
      <c r="I8" s="31"/>
      <c r="J8" s="50">
        <f t="shared" si="0"/>
        <v>1227.3599999999999</v>
      </c>
      <c r="K8" s="31"/>
      <c r="L8" s="29"/>
      <c r="M8" s="29"/>
    </row>
    <row r="9" spans="1:13" ht="14.4" x14ac:dyDescent="0.3">
      <c r="A9" s="53">
        <v>5</v>
      </c>
      <c r="B9" s="255" t="str">
        <f>'Prevailing Wage'!C18</f>
        <v>Landscaper</v>
      </c>
      <c r="C9" s="31"/>
      <c r="D9" s="60"/>
      <c r="E9" s="31" t="s">
        <v>118</v>
      </c>
      <c r="F9" s="256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5" t="str">
        <f>'Prevailing Wage'!C19</f>
        <v>Pipefitter</v>
      </c>
      <c r="C10" s="31"/>
      <c r="D10" s="60"/>
      <c r="E10" s="31" t="s">
        <v>118</v>
      </c>
      <c r="F10" s="256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5" t="str">
        <f>'Prevailing Wage'!C20</f>
        <v>Etc</v>
      </c>
      <c r="C11" s="31"/>
      <c r="D11" s="60"/>
      <c r="E11" s="31" t="s">
        <v>118</v>
      </c>
      <c r="F11" s="256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5" t="str">
        <f>'Prevailing Wage'!C21</f>
        <v>Etc</v>
      </c>
      <c r="C12" s="31"/>
      <c r="D12" s="60"/>
      <c r="E12" s="31" t="s">
        <v>118</v>
      </c>
      <c r="F12" s="256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157</v>
      </c>
      <c r="B13" s="58"/>
      <c r="C13" s="31"/>
      <c r="D13" s="60"/>
      <c r="E13" s="31" t="s">
        <v>118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112</v>
      </c>
      <c r="C15" s="30"/>
      <c r="D15" s="30"/>
      <c r="E15" s="30"/>
      <c r="F15" s="30"/>
      <c r="G15" s="30"/>
      <c r="H15" s="30"/>
      <c r="I15" s="30"/>
      <c r="J15" s="56">
        <f>SUM(J16:J25)</f>
        <v>8644.25</v>
      </c>
      <c r="K15" s="30"/>
      <c r="L15" s="29"/>
      <c r="M15" s="29"/>
    </row>
    <row r="16" spans="1:13" ht="14.4" x14ac:dyDescent="0.3">
      <c r="A16" s="53">
        <v>1</v>
      </c>
      <c r="B16" s="57" t="s">
        <v>199</v>
      </c>
      <c r="C16" s="31"/>
      <c r="D16" s="60">
        <v>1</v>
      </c>
      <c r="E16" s="31" t="s">
        <v>160</v>
      </c>
      <c r="F16" s="59">
        <v>6000</v>
      </c>
      <c r="G16" s="31"/>
      <c r="H16" s="31"/>
      <c r="I16" s="31"/>
      <c r="J16" s="50">
        <f>D16*F16</f>
        <v>6000</v>
      </c>
      <c r="K16" s="31"/>
      <c r="L16" s="29"/>
      <c r="M16" s="29"/>
    </row>
    <row r="17" spans="1:13" ht="14.4" x14ac:dyDescent="0.3">
      <c r="A17" s="53">
        <v>2</v>
      </c>
      <c r="B17" s="58" t="s">
        <v>200</v>
      </c>
      <c r="C17" s="31"/>
      <c r="D17" s="60">
        <v>20</v>
      </c>
      <c r="E17" s="31" t="s">
        <v>196</v>
      </c>
      <c r="F17" s="59">
        <v>35</v>
      </c>
      <c r="G17" s="31"/>
      <c r="H17" s="31"/>
      <c r="I17" s="31"/>
      <c r="J17" s="50">
        <f t="shared" ref="J17:J25" si="2">D17*F17</f>
        <v>700</v>
      </c>
      <c r="K17" s="31"/>
      <c r="L17" s="29"/>
      <c r="M17" s="29"/>
    </row>
    <row r="18" spans="1:13" ht="14.4" x14ac:dyDescent="0.3">
      <c r="A18" s="53">
        <v>3</v>
      </c>
      <c r="B18" s="58" t="s">
        <v>201</v>
      </c>
      <c r="C18" s="31"/>
      <c r="D18" s="60">
        <v>1</v>
      </c>
      <c r="E18" s="31" t="s">
        <v>160</v>
      </c>
      <c r="F18" s="59">
        <v>944.25</v>
      </c>
      <c r="G18" s="31"/>
      <c r="H18" s="31"/>
      <c r="I18" s="31"/>
      <c r="J18" s="50">
        <f t="shared" si="2"/>
        <v>944.25</v>
      </c>
      <c r="K18" s="31"/>
      <c r="L18" s="29"/>
      <c r="M18" s="29"/>
    </row>
    <row r="19" spans="1:13" ht="14.4" x14ac:dyDescent="0.3">
      <c r="A19" s="53">
        <v>4</v>
      </c>
      <c r="B19" s="58" t="s">
        <v>202</v>
      </c>
      <c r="C19" s="31"/>
      <c r="D19" s="60">
        <v>1</v>
      </c>
      <c r="E19" s="31" t="s">
        <v>160</v>
      </c>
      <c r="F19" s="59">
        <v>1000</v>
      </c>
      <c r="G19" s="31"/>
      <c r="H19" s="31"/>
      <c r="I19" s="31"/>
      <c r="J19" s="50">
        <f t="shared" si="2"/>
        <v>1000</v>
      </c>
      <c r="K19" s="31"/>
      <c r="L19" s="29"/>
      <c r="M19" s="29"/>
    </row>
    <row r="20" spans="1:13" ht="14.4" x14ac:dyDescent="0.3">
      <c r="A20" s="53">
        <v>5</v>
      </c>
      <c r="B20" s="57" t="s">
        <v>198</v>
      </c>
      <c r="C20" s="31"/>
      <c r="D20" s="60">
        <v>1</v>
      </c>
      <c r="E20" s="31" t="s">
        <v>160</v>
      </c>
      <c r="F20" s="59">
        <v>550</v>
      </c>
      <c r="G20" s="31"/>
      <c r="H20" s="31"/>
      <c r="I20" s="31"/>
      <c r="J20" s="50"/>
      <c r="K20" s="31"/>
      <c r="L20" s="29"/>
      <c r="M20" s="29"/>
    </row>
    <row r="21" spans="1:13" ht="14.4" x14ac:dyDescent="0.3">
      <c r="A21" s="53">
        <v>6</v>
      </c>
      <c r="B21" s="58"/>
      <c r="C21" s="31"/>
      <c r="D21" s="60"/>
      <c r="E21" s="31"/>
      <c r="F21" s="59"/>
      <c r="G21" s="31"/>
      <c r="H21" s="31"/>
      <c r="I21" s="31"/>
      <c r="J21" s="50"/>
      <c r="K21" s="31"/>
      <c r="L21" s="29"/>
      <c r="M21" s="29"/>
    </row>
    <row r="22" spans="1:13" ht="14.4" x14ac:dyDescent="0.3">
      <c r="A22" s="53">
        <v>7</v>
      </c>
      <c r="B22" s="58"/>
      <c r="C22" s="31"/>
      <c r="D22" s="60"/>
      <c r="E22" s="31"/>
      <c r="F22" s="59"/>
      <c r="G22" s="31"/>
      <c r="H22" s="31"/>
      <c r="I22" s="31"/>
      <c r="J22" s="50"/>
      <c r="K22" s="31"/>
      <c r="L22" s="29"/>
      <c r="M22" s="29"/>
    </row>
    <row r="23" spans="1:13" ht="14.4" x14ac:dyDescent="0.3">
      <c r="A23" s="53">
        <v>8</v>
      </c>
      <c r="B23" s="58"/>
      <c r="C23" s="31"/>
      <c r="D23" s="60"/>
      <c r="E23" s="31"/>
      <c r="F23" s="59"/>
      <c r="G23" s="31"/>
      <c r="H23" s="31"/>
      <c r="I23" s="31"/>
      <c r="J23" s="50"/>
      <c r="K23" s="31"/>
      <c r="L23" s="29"/>
      <c r="M23" s="29"/>
    </row>
    <row r="24" spans="1:13" ht="14.4" x14ac:dyDescent="0.3">
      <c r="A24" s="53" t="s">
        <v>157</v>
      </c>
      <c r="B24" s="58"/>
      <c r="C24" s="31"/>
      <c r="D24" s="60"/>
      <c r="E24" s="31"/>
      <c r="F24" s="59"/>
      <c r="G24" s="31"/>
      <c r="H24" s="31"/>
      <c r="I24" s="31"/>
      <c r="J24" s="50">
        <f t="shared" si="2"/>
        <v>0</v>
      </c>
      <c r="K24" s="31"/>
      <c r="L24" s="29"/>
      <c r="M24" s="29"/>
    </row>
    <row r="25" spans="1:13" ht="14.4" hidden="1" customHeight="1" x14ac:dyDescent="0.3">
      <c r="A25" s="54" t="s">
        <v>162</v>
      </c>
      <c r="B25" s="58"/>
      <c r="C25" s="31"/>
      <c r="D25" s="60"/>
      <c r="E25" s="31"/>
      <c r="F25" s="59"/>
      <c r="G25" s="31"/>
      <c r="H25" s="31"/>
      <c r="I25" s="31"/>
      <c r="J25" s="50">
        <f t="shared" si="2"/>
        <v>0</v>
      </c>
      <c r="K25" s="31"/>
      <c r="L25" s="29"/>
      <c r="M25" s="29"/>
    </row>
    <row r="26" spans="1:13" ht="14.4" x14ac:dyDescent="0.3">
      <c r="A26" s="188"/>
      <c r="B26" s="52" t="s">
        <v>116</v>
      </c>
      <c r="C26" s="30"/>
      <c r="D26" s="30"/>
      <c r="E26" s="30"/>
      <c r="F26" s="30"/>
      <c r="G26" s="30"/>
      <c r="H26" s="30"/>
      <c r="I26" s="30"/>
      <c r="J26" s="56">
        <f>SUM(J27:J32)</f>
        <v>0</v>
      </c>
      <c r="K26" s="30"/>
    </row>
    <row r="27" spans="1:13" ht="14.4" x14ac:dyDescent="0.3">
      <c r="A27" s="53">
        <v>1</v>
      </c>
      <c r="B27" s="57"/>
      <c r="C27" s="31"/>
      <c r="D27" s="60"/>
      <c r="E27" s="31"/>
      <c r="F27" s="59"/>
      <c r="G27" s="31"/>
      <c r="H27" s="31"/>
      <c r="I27" s="31"/>
      <c r="J27" s="50">
        <f>D27*F27</f>
        <v>0</v>
      </c>
      <c r="K27" s="31"/>
    </row>
    <row r="28" spans="1:13" ht="14.4" x14ac:dyDescent="0.3">
      <c r="A28" s="53">
        <v>2</v>
      </c>
      <c r="B28" s="58"/>
      <c r="C28" s="31"/>
      <c r="D28" s="60"/>
      <c r="E28" s="31"/>
      <c r="F28" s="59"/>
      <c r="G28" s="31"/>
      <c r="H28" s="31"/>
      <c r="I28" s="31"/>
      <c r="J28" s="50">
        <f t="shared" ref="J28:J32" si="3">D28*F28</f>
        <v>0</v>
      </c>
      <c r="K28" s="239"/>
    </row>
    <row r="29" spans="1:13" ht="14.4" x14ac:dyDescent="0.3">
      <c r="A29" s="53">
        <v>3</v>
      </c>
      <c r="B29" s="58"/>
      <c r="C29" s="31"/>
      <c r="D29" s="60"/>
      <c r="E29" s="31"/>
      <c r="F29" s="59"/>
      <c r="G29" s="31"/>
      <c r="H29" s="31"/>
      <c r="I29" s="31"/>
      <c r="J29" s="50">
        <f t="shared" si="3"/>
        <v>0</v>
      </c>
      <c r="K29" s="31"/>
    </row>
    <row r="30" spans="1:13" ht="14.4" x14ac:dyDescent="0.3">
      <c r="A30" s="53">
        <v>4</v>
      </c>
      <c r="B30" s="58"/>
      <c r="C30" s="31"/>
      <c r="D30" s="60"/>
      <c r="E30" s="31"/>
      <c r="F30" s="59"/>
      <c r="G30" s="31"/>
      <c r="H30" s="31"/>
      <c r="I30" s="31"/>
      <c r="J30" s="50">
        <f t="shared" si="3"/>
        <v>0</v>
      </c>
      <c r="K30" s="31"/>
    </row>
    <row r="31" spans="1:13" ht="14.4" x14ac:dyDescent="0.3">
      <c r="A31" s="53" t="s">
        <v>157</v>
      </c>
      <c r="B31" s="58"/>
      <c r="C31" s="31"/>
      <c r="D31" s="60"/>
      <c r="E31" s="31"/>
      <c r="F31" s="59"/>
      <c r="G31" s="31"/>
      <c r="H31" s="31"/>
      <c r="I31" s="31"/>
      <c r="J31" s="50">
        <f t="shared" si="3"/>
        <v>0</v>
      </c>
      <c r="K31" s="31"/>
    </row>
    <row r="32" spans="1:13" ht="14.4" hidden="1" x14ac:dyDescent="0.3">
      <c r="A32" s="54" t="s">
        <v>162</v>
      </c>
      <c r="B32" s="58"/>
      <c r="C32" s="31"/>
      <c r="D32" s="60"/>
      <c r="E32" s="31"/>
      <c r="F32" s="59"/>
      <c r="G32" s="31"/>
      <c r="H32" s="31"/>
      <c r="I32" s="31"/>
      <c r="J32" s="50">
        <f t="shared" si="3"/>
        <v>0</v>
      </c>
      <c r="K32" s="31"/>
    </row>
    <row r="33" spans="1:11" ht="14.4" x14ac:dyDescent="0.3">
      <c r="A33" s="188"/>
      <c r="B33" s="52" t="s">
        <v>136</v>
      </c>
      <c r="C33" s="30"/>
      <c r="D33" s="30"/>
      <c r="E33" s="30"/>
      <c r="F33" s="30"/>
      <c r="G33" s="30"/>
      <c r="H33" s="30"/>
      <c r="I33" s="30"/>
      <c r="J33" s="56">
        <f>SUM(J34:J39)</f>
        <v>0</v>
      </c>
      <c r="K33" s="30"/>
    </row>
    <row r="34" spans="1:11" ht="14.4" x14ac:dyDescent="0.3">
      <c r="A34" s="53">
        <v>1</v>
      </c>
      <c r="B34" s="57"/>
      <c r="C34" s="31"/>
      <c r="D34" s="60"/>
      <c r="E34" s="31"/>
      <c r="F34" s="59"/>
      <c r="G34" s="31"/>
      <c r="H34" s="31"/>
      <c r="I34" s="31"/>
      <c r="J34" s="50">
        <f>D34*F34</f>
        <v>0</v>
      </c>
      <c r="K34" s="31"/>
    </row>
    <row r="35" spans="1:11" ht="14.4" x14ac:dyDescent="0.3">
      <c r="A35" s="53">
        <v>2</v>
      </c>
      <c r="B35" s="58"/>
      <c r="C35" s="31"/>
      <c r="D35" s="60"/>
      <c r="E35" s="31"/>
      <c r="F35" s="59"/>
      <c r="G35" s="31"/>
      <c r="H35" s="31"/>
      <c r="I35" s="31"/>
      <c r="J35" s="50">
        <f t="shared" ref="J35:J39" si="4">D35*F35</f>
        <v>0</v>
      </c>
      <c r="K35" s="31"/>
    </row>
    <row r="36" spans="1:11" ht="14.4" x14ac:dyDescent="0.3">
      <c r="A36" s="53">
        <v>3</v>
      </c>
      <c r="B36" s="58"/>
      <c r="C36" s="31"/>
      <c r="D36" s="60"/>
      <c r="E36" s="31"/>
      <c r="F36" s="59"/>
      <c r="G36" s="31"/>
      <c r="H36" s="31"/>
      <c r="I36" s="31"/>
      <c r="J36" s="50">
        <f t="shared" si="4"/>
        <v>0</v>
      </c>
      <c r="K36" s="31"/>
    </row>
    <row r="37" spans="1:11" ht="14.4" x14ac:dyDescent="0.3">
      <c r="A37" s="53">
        <v>4</v>
      </c>
      <c r="B37" s="58"/>
      <c r="C37" s="31"/>
      <c r="D37" s="60"/>
      <c r="E37" s="31"/>
      <c r="F37" s="59"/>
      <c r="G37" s="31"/>
      <c r="H37" s="31"/>
      <c r="I37" s="31"/>
      <c r="J37" s="50">
        <f t="shared" si="4"/>
        <v>0</v>
      </c>
      <c r="K37" s="31"/>
    </row>
    <row r="38" spans="1:11" ht="14.4" x14ac:dyDescent="0.3">
      <c r="A38" s="53" t="s">
        <v>157</v>
      </c>
      <c r="B38" s="58"/>
      <c r="C38" s="31"/>
      <c r="D38" s="60"/>
      <c r="E38" s="31"/>
      <c r="F38" s="59"/>
      <c r="G38" s="31"/>
      <c r="H38" s="31"/>
      <c r="I38" s="31"/>
      <c r="J38" s="50">
        <f t="shared" si="4"/>
        <v>0</v>
      </c>
      <c r="K38" s="31"/>
    </row>
    <row r="39" spans="1:11" ht="14.4" hidden="1" x14ac:dyDescent="0.3">
      <c r="A39" s="54" t="s">
        <v>162</v>
      </c>
      <c r="B39" s="58"/>
      <c r="C39" s="31"/>
      <c r="D39" s="60"/>
      <c r="E39" s="31"/>
      <c r="F39" s="59"/>
      <c r="G39" s="31"/>
      <c r="H39" s="31"/>
      <c r="I39" s="31"/>
      <c r="J39" s="50">
        <f t="shared" si="4"/>
        <v>0</v>
      </c>
      <c r="K39" s="31"/>
    </row>
    <row r="40" spans="1:11" ht="14.4" x14ac:dyDescent="0.3">
      <c r="A40" s="188"/>
      <c r="B40" s="52" t="s">
        <v>121</v>
      </c>
      <c r="C40" s="30"/>
      <c r="D40" s="30"/>
      <c r="E40" s="30"/>
      <c r="F40" s="30"/>
      <c r="G40" s="30"/>
      <c r="H40" s="30"/>
      <c r="I40" s="30"/>
      <c r="J40" s="56">
        <f>SUM(J41:J46)</f>
        <v>1160.9000000000001</v>
      </c>
      <c r="K40" s="30"/>
    </row>
    <row r="41" spans="1:11" ht="14.4" x14ac:dyDescent="0.3">
      <c r="A41" s="53">
        <v>1</v>
      </c>
      <c r="B41" s="57" t="s">
        <v>164</v>
      </c>
      <c r="C41" s="31"/>
      <c r="D41" s="60">
        <f>2/20</f>
        <v>0.1</v>
      </c>
      <c r="E41" s="31" t="s">
        <v>165</v>
      </c>
      <c r="F41" s="59">
        <v>6054</v>
      </c>
      <c r="G41" s="31"/>
      <c r="H41" s="31"/>
      <c r="I41" s="31"/>
      <c r="J41" s="50">
        <f>D41*F41</f>
        <v>605.4</v>
      </c>
      <c r="K41" s="31" t="s">
        <v>166</v>
      </c>
    </row>
    <row r="42" spans="1:11" ht="14.4" x14ac:dyDescent="0.3">
      <c r="A42" s="53">
        <v>2</v>
      </c>
      <c r="B42" s="58" t="s">
        <v>167</v>
      </c>
      <c r="C42" s="31"/>
      <c r="D42" s="60">
        <f>2/20</f>
        <v>0.1</v>
      </c>
      <c r="E42" s="31" t="s">
        <v>165</v>
      </c>
      <c r="F42" s="59">
        <v>4345</v>
      </c>
      <c r="G42" s="31"/>
      <c r="H42" s="31"/>
      <c r="I42" s="31"/>
      <c r="J42" s="50">
        <f t="shared" ref="J42:J43" si="5">D42*F42</f>
        <v>434.5</v>
      </c>
      <c r="K42" s="239" t="s">
        <v>168</v>
      </c>
    </row>
    <row r="43" spans="1:11" ht="14.4" x14ac:dyDescent="0.3">
      <c r="A43" s="53">
        <v>3</v>
      </c>
      <c r="B43" s="58" t="s">
        <v>169</v>
      </c>
      <c r="C43" s="31"/>
      <c r="D43" s="269">
        <f>4/20</f>
        <v>0.2</v>
      </c>
      <c r="E43" s="31" t="s">
        <v>165</v>
      </c>
      <c r="F43" s="59">
        <v>605</v>
      </c>
      <c r="G43" s="31"/>
      <c r="H43" s="31"/>
      <c r="I43" s="31"/>
      <c r="J43" s="50">
        <f t="shared" si="5"/>
        <v>121</v>
      </c>
      <c r="K43" s="31"/>
    </row>
    <row r="44" spans="1:11" ht="14.4" x14ac:dyDescent="0.3">
      <c r="A44" s="53">
        <v>4</v>
      </c>
      <c r="B44" s="58"/>
      <c r="C44" s="31"/>
      <c r="D44" s="60"/>
      <c r="E44" s="31"/>
      <c r="F44" s="59"/>
      <c r="G44" s="31"/>
      <c r="H44" s="31"/>
      <c r="I44" s="31"/>
      <c r="J44" s="50">
        <f t="shared" ref="J44:J46" si="6">D44*F44</f>
        <v>0</v>
      </c>
      <c r="K44" s="31"/>
    </row>
    <row r="45" spans="1:11" ht="14.4" x14ac:dyDescent="0.3">
      <c r="A45" s="53" t="s">
        <v>157</v>
      </c>
      <c r="B45" s="58"/>
      <c r="C45" s="31"/>
      <c r="D45" s="60"/>
      <c r="E45" s="31"/>
      <c r="F45" s="59"/>
      <c r="G45" s="31"/>
      <c r="H45" s="31"/>
      <c r="I45" s="31"/>
      <c r="J45" s="50">
        <f t="shared" si="6"/>
        <v>0</v>
      </c>
      <c r="K45" s="31"/>
    </row>
    <row r="46" spans="1:11" ht="14.4" hidden="1" x14ac:dyDescent="0.3">
      <c r="A46" s="54" t="s">
        <v>162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188"/>
      <c r="B47" s="52" t="s">
        <v>123</v>
      </c>
      <c r="C47" s="30"/>
      <c r="D47" s="30"/>
      <c r="E47" s="30"/>
      <c r="F47" s="30"/>
      <c r="G47" s="30"/>
      <c r="H47" s="30"/>
      <c r="I47" s="30"/>
      <c r="J47" s="56">
        <f>SUM(J48:J53)</f>
        <v>1440</v>
      </c>
      <c r="K47" s="30"/>
    </row>
    <row r="48" spans="1:11" ht="14.4" x14ac:dyDescent="0.3">
      <c r="A48" s="53">
        <v>1</v>
      </c>
      <c r="B48" s="57" t="s">
        <v>170</v>
      </c>
      <c r="C48" s="31"/>
      <c r="D48" s="60">
        <f>D7*15</f>
        <v>240</v>
      </c>
      <c r="E48" s="31" t="s">
        <v>171</v>
      </c>
      <c r="F48" s="59">
        <v>6</v>
      </c>
      <c r="G48" s="31"/>
      <c r="H48" s="31"/>
      <c r="I48" s="31"/>
      <c r="J48" s="50">
        <f>D48*F48</f>
        <v>1440</v>
      </c>
      <c r="K48" s="31"/>
    </row>
    <row r="49" spans="1:11" ht="14.4" x14ac:dyDescent="0.3">
      <c r="A49" s="53">
        <v>2</v>
      </c>
      <c r="B49" s="58" t="s">
        <v>172</v>
      </c>
      <c r="C49" s="31"/>
      <c r="D49" s="60"/>
      <c r="E49" s="31"/>
      <c r="F49" s="59"/>
      <c r="G49" s="31"/>
      <c r="H49" s="31"/>
      <c r="I49" s="31"/>
      <c r="J49" s="50">
        <f t="shared" ref="J49:J53" si="7">D49*F49</f>
        <v>0</v>
      </c>
      <c r="K49" s="31"/>
    </row>
    <row r="50" spans="1:11" ht="14.4" x14ac:dyDescent="0.3">
      <c r="A50" s="53">
        <v>3</v>
      </c>
      <c r="B50" s="58"/>
      <c r="C50" s="31"/>
      <c r="D50" s="60"/>
      <c r="E50" s="31"/>
      <c r="F50" s="59"/>
      <c r="G50" s="31"/>
      <c r="H50" s="31"/>
      <c r="I50" s="31"/>
      <c r="J50" s="50">
        <f t="shared" si="7"/>
        <v>0</v>
      </c>
      <c r="K50" s="31"/>
    </row>
    <row r="51" spans="1:11" ht="14.4" x14ac:dyDescent="0.3">
      <c r="A51" s="53">
        <v>4</v>
      </c>
      <c r="B51" s="58"/>
      <c r="C51" s="31"/>
      <c r="D51" s="60"/>
      <c r="E51" s="31"/>
      <c r="F51" s="59"/>
      <c r="G51" s="31"/>
      <c r="H51" s="31"/>
      <c r="I51" s="31"/>
      <c r="J51" s="50">
        <f t="shared" si="7"/>
        <v>0</v>
      </c>
      <c r="K51" s="31"/>
    </row>
    <row r="52" spans="1:11" ht="14.4" x14ac:dyDescent="0.3">
      <c r="A52" s="53" t="s">
        <v>157</v>
      </c>
      <c r="B52" s="58"/>
      <c r="C52" s="31"/>
      <c r="D52" s="60"/>
      <c r="E52" s="31"/>
      <c r="F52" s="59"/>
      <c r="G52" s="31"/>
      <c r="H52" s="31"/>
      <c r="I52" s="31"/>
      <c r="J52" s="50">
        <f t="shared" si="7"/>
        <v>0</v>
      </c>
      <c r="K52" s="31"/>
    </row>
    <row r="53" spans="1:11" ht="14.4" hidden="1" x14ac:dyDescent="0.3">
      <c r="A53" s="54" t="s">
        <v>162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188"/>
      <c r="B54" s="52" t="s">
        <v>120</v>
      </c>
      <c r="C54" s="30"/>
      <c r="D54" s="30"/>
      <c r="E54" s="30"/>
      <c r="F54" s="30"/>
      <c r="G54" s="30"/>
      <c r="H54" s="30"/>
      <c r="I54" s="30"/>
      <c r="J54" s="56">
        <f>SUM(J55:J60)</f>
        <v>0</v>
      </c>
      <c r="K54" s="30"/>
    </row>
    <row r="55" spans="1:11" ht="14.4" x14ac:dyDescent="0.3">
      <c r="A55" s="53">
        <v>1</v>
      </c>
      <c r="B55" s="57"/>
      <c r="C55" s="31"/>
      <c r="D55" s="60"/>
      <c r="E55" s="31"/>
      <c r="F55" s="59"/>
      <c r="G55" s="31"/>
      <c r="H55" s="31"/>
      <c r="I55" s="31"/>
      <c r="J55" s="50">
        <f>D55*F55</f>
        <v>0</v>
      </c>
      <c r="K55" s="31"/>
    </row>
    <row r="56" spans="1:11" ht="14.4" x14ac:dyDescent="0.3">
      <c r="A56" s="53">
        <v>2</v>
      </c>
      <c r="B56" s="58"/>
      <c r="C56" s="31"/>
      <c r="D56" s="60"/>
      <c r="E56" s="31"/>
      <c r="F56" s="59"/>
      <c r="G56" s="31"/>
      <c r="H56" s="31"/>
      <c r="I56" s="31"/>
      <c r="J56" s="50">
        <f t="shared" ref="J56:J60" si="8">D56*F56</f>
        <v>0</v>
      </c>
      <c r="K56" s="31"/>
    </row>
    <row r="57" spans="1:11" ht="14.4" x14ac:dyDescent="0.3">
      <c r="A57" s="53">
        <v>3</v>
      </c>
      <c r="B57" s="58"/>
      <c r="C57" s="31"/>
      <c r="D57" s="60"/>
      <c r="E57" s="31"/>
      <c r="F57" s="59"/>
      <c r="G57" s="31"/>
      <c r="H57" s="31"/>
      <c r="I57" s="31"/>
      <c r="J57" s="50">
        <f t="shared" si="8"/>
        <v>0</v>
      </c>
      <c r="K57" s="31"/>
    </row>
    <row r="58" spans="1:11" ht="14.4" x14ac:dyDescent="0.3">
      <c r="A58" s="53">
        <v>4</v>
      </c>
      <c r="B58" s="58"/>
      <c r="C58" s="31"/>
      <c r="D58" s="60"/>
      <c r="E58" s="31"/>
      <c r="F58" s="59"/>
      <c r="G58" s="31"/>
      <c r="H58" s="31"/>
      <c r="I58" s="31"/>
      <c r="J58" s="50">
        <f t="shared" si="8"/>
        <v>0</v>
      </c>
      <c r="K58" s="31"/>
    </row>
    <row r="59" spans="1:11" ht="14.4" x14ac:dyDescent="0.3">
      <c r="A59" s="53" t="s">
        <v>157</v>
      </c>
      <c r="B59" s="58"/>
      <c r="C59" s="31"/>
      <c r="D59" s="60"/>
      <c r="E59" s="31"/>
      <c r="F59" s="59"/>
      <c r="G59" s="31"/>
      <c r="H59" s="31"/>
      <c r="I59" s="31"/>
      <c r="J59" s="50">
        <f t="shared" si="8"/>
        <v>0</v>
      </c>
      <c r="K59" s="31"/>
    </row>
    <row r="60" spans="1:11" ht="14.4" hidden="1" x14ac:dyDescent="0.3">
      <c r="A60" s="54" t="s">
        <v>162</v>
      </c>
      <c r="B60" s="58"/>
      <c r="C60" s="31"/>
      <c r="D60" s="60"/>
      <c r="E60" s="31"/>
      <c r="F60" s="59"/>
      <c r="G60" s="31"/>
      <c r="H60" s="31"/>
      <c r="I60" s="31"/>
      <c r="J60" s="50">
        <f t="shared" si="8"/>
        <v>0</v>
      </c>
      <c r="K60" s="31"/>
    </row>
  </sheetData>
  <hyperlinks>
    <hyperlink ref="K42" r:id="rId1" xr:uid="{099AC516-8AB9-4E31-8F50-165EB117C32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0739A-75BE-4332-BEA3-0BFD06B96214}">
  <sheetPr>
    <tabColor rgb="FF92D050"/>
  </sheetPr>
  <dimension ref="A1:O60"/>
  <sheetViews>
    <sheetView zoomScale="90" zoomScaleNormal="90" workbookViewId="0">
      <selection activeCell="C24" sqref="C24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4.109375" customWidth="1"/>
    <col min="11" max="11" width="72.6640625" customWidth="1"/>
    <col min="12" max="12" width="10.109375" bestFit="1" customWidth="1"/>
  </cols>
  <sheetData>
    <row r="1" spans="1:15" ht="14.4" x14ac:dyDescent="0.3">
      <c r="I1" s="252" t="s">
        <v>147</v>
      </c>
      <c r="J1" s="253">
        <f>J4+J15+J26+J33+J40+J47+J54</f>
        <v>52821.26</v>
      </c>
      <c r="K1" t="s">
        <v>96</v>
      </c>
    </row>
    <row r="2" spans="1:15" ht="18" x14ac:dyDescent="0.3">
      <c r="B2" s="146" t="str">
        <f>'Bid Summary'!F10</f>
        <v xml:space="preserve">Removal and Disposal of Existing Laterals (Lat DE, Lat DE-1, Lat DE-1-A, and BPS Steel Pipe on C-101, C-301, C-302, C-304, C-305, C-402, C-403) 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5" ht="14.4" x14ac:dyDescent="0.3">
      <c r="A3" s="53"/>
      <c r="B3" s="51" t="s">
        <v>148</v>
      </c>
      <c r="C3" s="49" t="s">
        <v>149</v>
      </c>
      <c r="D3" s="49" t="s">
        <v>8</v>
      </c>
      <c r="E3" s="49" t="s">
        <v>150</v>
      </c>
      <c r="F3" s="49" t="s">
        <v>151</v>
      </c>
      <c r="G3" s="49" t="s">
        <v>152</v>
      </c>
      <c r="H3" s="49" t="s">
        <v>175</v>
      </c>
      <c r="I3" s="49" t="s">
        <v>153</v>
      </c>
      <c r="J3" s="49" t="s">
        <v>94</v>
      </c>
      <c r="K3" s="49" t="s">
        <v>154</v>
      </c>
      <c r="L3" s="29"/>
      <c r="M3" s="29">
        <v>42</v>
      </c>
      <c r="N3">
        <v>57</v>
      </c>
    </row>
    <row r="4" spans="1:15" ht="14.4" x14ac:dyDescent="0.3">
      <c r="A4" s="188"/>
      <c r="B4" s="52" t="s">
        <v>109</v>
      </c>
      <c r="C4" s="30"/>
      <c r="D4" s="30"/>
      <c r="E4" s="30"/>
      <c r="F4" s="30"/>
      <c r="G4" s="30"/>
      <c r="H4" s="30"/>
      <c r="I4" s="30"/>
      <c r="J4" s="56">
        <f>SUM(J5:J14)</f>
        <v>25018.560000000005</v>
      </c>
      <c r="K4" s="30"/>
      <c r="L4" s="29"/>
      <c r="M4" s="29">
        <v>36</v>
      </c>
      <c r="N4">
        <v>107</v>
      </c>
    </row>
    <row r="5" spans="1:15" ht="14.4" x14ac:dyDescent="0.3">
      <c r="A5" s="53">
        <v>1</v>
      </c>
      <c r="B5" s="255" t="str">
        <f>'Prevailing Wage'!C14</f>
        <v>Labor Lead</v>
      </c>
      <c r="C5" s="31"/>
      <c r="D5" s="60">
        <v>48</v>
      </c>
      <c r="E5" s="31" t="s">
        <v>118</v>
      </c>
      <c r="F5" s="256">
        <f>'Prevailing Wage'!D14</f>
        <v>74.69</v>
      </c>
      <c r="G5" s="31"/>
      <c r="H5" s="31"/>
      <c r="I5" s="31"/>
      <c r="J5" s="50">
        <f>D5*F5</f>
        <v>3585.12</v>
      </c>
      <c r="K5" s="31" t="s">
        <v>158</v>
      </c>
      <c r="L5" s="29"/>
      <c r="M5" s="29">
        <v>27</v>
      </c>
      <c r="N5">
        <v>76</v>
      </c>
    </row>
    <row r="6" spans="1:15" ht="14.4" x14ac:dyDescent="0.3">
      <c r="A6" s="53">
        <v>2</v>
      </c>
      <c r="B6" s="255" t="str">
        <f>'Prevailing Wage'!C15</f>
        <v>Laborer</v>
      </c>
      <c r="C6" s="31"/>
      <c r="D6" s="225">
        <f>D5*'Bid Schedule'!$N$3</f>
        <v>144</v>
      </c>
      <c r="E6" s="31" t="s">
        <v>118</v>
      </c>
      <c r="F6" s="256">
        <f>'Prevailing Wage'!D15</f>
        <v>71.69</v>
      </c>
      <c r="G6" s="31"/>
      <c r="H6" s="31"/>
      <c r="I6" s="31"/>
      <c r="J6" s="50">
        <f t="shared" ref="J6:J12" si="0">D6*F6</f>
        <v>10323.36</v>
      </c>
      <c r="K6" s="225" t="s">
        <v>159</v>
      </c>
      <c r="L6" s="29"/>
      <c r="M6" s="29">
        <v>30</v>
      </c>
      <c r="N6">
        <v>30</v>
      </c>
    </row>
    <row r="7" spans="1:15" ht="14.4" x14ac:dyDescent="0.3">
      <c r="A7" s="53">
        <v>3</v>
      </c>
      <c r="B7" s="255" t="str">
        <f>'Prevailing Wage'!C16</f>
        <v>Operator</v>
      </c>
      <c r="C7" s="31"/>
      <c r="D7" s="60">
        <v>48</v>
      </c>
      <c r="E7" s="31" t="s">
        <v>118</v>
      </c>
      <c r="F7" s="256">
        <f>'Prevailing Wage'!D16</f>
        <v>96.29</v>
      </c>
      <c r="G7" s="31"/>
      <c r="H7" s="31"/>
      <c r="I7" s="31"/>
      <c r="J7" s="50">
        <f t="shared" si="0"/>
        <v>4621.92</v>
      </c>
      <c r="K7" s="31"/>
      <c r="L7" s="29"/>
      <c r="M7" s="29">
        <v>24</v>
      </c>
      <c r="N7">
        <v>205</v>
      </c>
      <c r="O7" s="232" t="s">
        <v>203</v>
      </c>
    </row>
    <row r="8" spans="1:15" ht="14.4" x14ac:dyDescent="0.3">
      <c r="A8" s="53">
        <v>4</v>
      </c>
      <c r="B8" s="255" t="str">
        <f>'Prevailing Wage'!C17</f>
        <v>Driver</v>
      </c>
      <c r="C8" s="31"/>
      <c r="D8" s="60">
        <v>48</v>
      </c>
      <c r="E8" s="31" t="s">
        <v>118</v>
      </c>
      <c r="F8" s="256">
        <f>'Prevailing Wage'!D17</f>
        <v>76.709999999999994</v>
      </c>
      <c r="G8" s="31"/>
      <c r="H8" s="31"/>
      <c r="I8" s="31"/>
      <c r="J8" s="50">
        <f t="shared" si="0"/>
        <v>3682.08</v>
      </c>
      <c r="K8" s="31"/>
      <c r="L8" s="29"/>
      <c r="M8" s="29"/>
    </row>
    <row r="9" spans="1:15" ht="14.4" x14ac:dyDescent="0.3">
      <c r="A9" s="53">
        <v>5</v>
      </c>
      <c r="B9" s="255" t="str">
        <f>'Prevailing Wage'!C18</f>
        <v>Landscaper</v>
      </c>
      <c r="C9" s="31"/>
      <c r="D9" s="60"/>
      <c r="E9" s="31" t="s">
        <v>118</v>
      </c>
      <c r="F9" s="256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  <c r="N9">
        <f>SUM(N3:N7)</f>
        <v>475</v>
      </c>
    </row>
    <row r="10" spans="1:15" ht="14.4" x14ac:dyDescent="0.3">
      <c r="A10" s="53">
        <v>6</v>
      </c>
      <c r="B10" s="255" t="str">
        <f>'Prevailing Wage'!C19</f>
        <v>Pipefitter</v>
      </c>
      <c r="C10" s="31"/>
      <c r="D10" s="60">
        <v>32</v>
      </c>
      <c r="E10" s="31" t="s">
        <v>118</v>
      </c>
      <c r="F10" s="256">
        <f>'Prevailing Wage'!D19</f>
        <v>87.69</v>
      </c>
      <c r="G10" s="31"/>
      <c r="H10" s="31"/>
      <c r="I10" s="31"/>
      <c r="J10" s="50">
        <f t="shared" si="0"/>
        <v>2806.08</v>
      </c>
      <c r="K10" s="31"/>
      <c r="L10" s="29"/>
      <c r="M10" s="29"/>
    </row>
    <row r="11" spans="1:15" ht="14.4" x14ac:dyDescent="0.3">
      <c r="A11" s="53">
        <v>7</v>
      </c>
      <c r="B11" s="255" t="str">
        <f>'Prevailing Wage'!C20</f>
        <v>Etc</v>
      </c>
      <c r="C11" s="31"/>
      <c r="D11" s="60"/>
      <c r="E11" s="31" t="s">
        <v>118</v>
      </c>
      <c r="F11" s="256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5" ht="14.4" x14ac:dyDescent="0.3">
      <c r="A12" s="53">
        <v>8</v>
      </c>
      <c r="B12" s="255" t="str">
        <f>'Prevailing Wage'!C21</f>
        <v>Etc</v>
      </c>
      <c r="C12" s="31"/>
      <c r="D12" s="60"/>
      <c r="E12" s="31" t="s">
        <v>118</v>
      </c>
      <c r="F12" s="256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5" ht="14.4" x14ac:dyDescent="0.3">
      <c r="A13" s="53" t="s">
        <v>157</v>
      </c>
      <c r="B13" s="58"/>
      <c r="C13" s="31"/>
      <c r="D13" s="60"/>
      <c r="E13" s="31" t="s">
        <v>118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5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5" ht="14.4" x14ac:dyDescent="0.3">
      <c r="A15" s="188"/>
      <c r="B15" s="52" t="s">
        <v>112</v>
      </c>
      <c r="C15" s="30"/>
      <c r="D15" s="30"/>
      <c r="E15" s="30"/>
      <c r="F15" s="30"/>
      <c r="G15" s="30"/>
      <c r="H15" s="30"/>
      <c r="I15" s="30"/>
      <c r="J15" s="56">
        <f>SUM(J16:J25)</f>
        <v>15000</v>
      </c>
      <c r="K15" s="30"/>
      <c r="L15" s="29"/>
      <c r="M15" s="29"/>
    </row>
    <row r="16" spans="1:15" ht="14.4" x14ac:dyDescent="0.3">
      <c r="A16" s="53">
        <v>1</v>
      </c>
      <c r="B16" s="57" t="s">
        <v>324</v>
      </c>
      <c r="C16" s="31"/>
      <c r="D16" s="60">
        <v>15</v>
      </c>
      <c r="E16" s="31" t="s">
        <v>160</v>
      </c>
      <c r="F16" s="59">
        <v>1000</v>
      </c>
      <c r="G16" s="31"/>
      <c r="H16" s="31"/>
      <c r="I16" s="31"/>
      <c r="J16" s="50">
        <f>D16*F16</f>
        <v>15000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5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>
        <v>5</v>
      </c>
      <c r="B20" s="58"/>
      <c r="C20" s="31"/>
      <c r="D20" s="60"/>
      <c r="E20" s="31"/>
      <c r="F20" s="59"/>
      <c r="G20" s="31"/>
      <c r="H20" s="31"/>
      <c r="I20" s="31"/>
      <c r="J20" s="50"/>
      <c r="K20" s="31"/>
      <c r="L20" s="29"/>
      <c r="M20" s="29"/>
    </row>
    <row r="21" spans="1:13" ht="14.4" x14ac:dyDescent="0.3">
      <c r="A21" s="53">
        <v>6</v>
      </c>
      <c r="B21" s="58"/>
      <c r="C21" s="31"/>
      <c r="D21" s="60"/>
      <c r="E21" s="31"/>
      <c r="F21" s="59"/>
      <c r="G21" s="31"/>
      <c r="H21" s="31"/>
      <c r="I21" s="31"/>
      <c r="J21" s="50"/>
      <c r="K21" s="31"/>
      <c r="L21" s="29"/>
      <c r="M21" s="29"/>
    </row>
    <row r="22" spans="1:13" ht="14.4" x14ac:dyDescent="0.3">
      <c r="A22" s="53">
        <v>7</v>
      </c>
      <c r="B22" s="58"/>
      <c r="C22" s="31"/>
      <c r="D22" s="60"/>
      <c r="E22" s="31"/>
      <c r="F22" s="59"/>
      <c r="G22" s="31"/>
      <c r="H22" s="31"/>
      <c r="I22" s="31"/>
      <c r="J22" s="50"/>
      <c r="K22" s="31"/>
      <c r="L22" s="29"/>
      <c r="M22" s="29"/>
    </row>
    <row r="23" spans="1:13" ht="14.4" x14ac:dyDescent="0.3">
      <c r="A23" s="53">
        <v>8</v>
      </c>
      <c r="B23" s="58"/>
      <c r="C23" s="31"/>
      <c r="D23" s="60"/>
      <c r="E23" s="31"/>
      <c r="F23" s="59"/>
      <c r="G23" s="31"/>
      <c r="H23" s="31"/>
      <c r="I23" s="31"/>
      <c r="J23" s="50"/>
      <c r="K23" s="31"/>
      <c r="L23" s="29"/>
      <c r="M23" s="29"/>
    </row>
    <row r="24" spans="1:13" ht="14.4" x14ac:dyDescent="0.3">
      <c r="A24" s="53" t="s">
        <v>157</v>
      </c>
      <c r="B24" s="58"/>
      <c r="C24" s="31"/>
      <c r="D24" s="60"/>
      <c r="E24" s="31"/>
      <c r="F24" s="59"/>
      <c r="G24" s="31"/>
      <c r="H24" s="31"/>
      <c r="I24" s="31"/>
      <c r="J24" s="50">
        <f t="shared" si="2"/>
        <v>0</v>
      </c>
      <c r="K24" s="31"/>
      <c r="L24" s="29"/>
      <c r="M24" s="29"/>
    </row>
    <row r="25" spans="1:13" ht="14.4" hidden="1" customHeight="1" x14ac:dyDescent="0.3">
      <c r="A25" s="54" t="s">
        <v>162</v>
      </c>
      <c r="B25" s="58"/>
      <c r="C25" s="31"/>
      <c r="D25" s="60"/>
      <c r="E25" s="31"/>
      <c r="F25" s="59"/>
      <c r="G25" s="31"/>
      <c r="H25" s="31"/>
      <c r="I25" s="31"/>
      <c r="J25" s="50">
        <f t="shared" si="2"/>
        <v>0</v>
      </c>
      <c r="K25" s="31"/>
      <c r="L25" s="29"/>
      <c r="M25" s="29"/>
    </row>
    <row r="26" spans="1:13" ht="14.4" x14ac:dyDescent="0.3">
      <c r="A26" s="188"/>
      <c r="B26" s="52" t="s">
        <v>116</v>
      </c>
      <c r="C26" s="30"/>
      <c r="D26" s="30"/>
      <c r="E26" s="30"/>
      <c r="F26" s="30"/>
      <c r="G26" s="30"/>
      <c r="H26" s="30"/>
      <c r="I26" s="30"/>
      <c r="J26" s="56">
        <f>SUM(J27:J32)</f>
        <v>0</v>
      </c>
      <c r="K26" s="30"/>
    </row>
    <row r="27" spans="1:13" ht="14.4" x14ac:dyDescent="0.3">
      <c r="A27" s="53">
        <v>1</v>
      </c>
      <c r="B27" s="57"/>
      <c r="C27" s="31"/>
      <c r="D27" s="60"/>
      <c r="E27" s="31"/>
      <c r="F27" s="59"/>
      <c r="G27" s="31"/>
      <c r="H27" s="31"/>
      <c r="I27" s="31"/>
      <c r="J27" s="50">
        <f>D27*F27</f>
        <v>0</v>
      </c>
      <c r="K27" s="31"/>
    </row>
    <row r="28" spans="1:13" ht="14.4" x14ac:dyDescent="0.3">
      <c r="A28" s="53">
        <v>2</v>
      </c>
      <c r="B28" s="58"/>
      <c r="C28" s="31"/>
      <c r="D28" s="60"/>
      <c r="E28" s="31"/>
      <c r="F28" s="59"/>
      <c r="G28" s="31"/>
      <c r="H28" s="31"/>
      <c r="I28" s="31"/>
      <c r="J28" s="50">
        <f t="shared" ref="J28:J32" si="3">D28*F28</f>
        <v>0</v>
      </c>
      <c r="K28" s="239"/>
    </row>
    <row r="29" spans="1:13" ht="14.4" x14ac:dyDescent="0.3">
      <c r="A29" s="53">
        <v>3</v>
      </c>
      <c r="B29" s="58"/>
      <c r="C29" s="31"/>
      <c r="D29" s="60"/>
      <c r="E29" s="31"/>
      <c r="F29" s="59"/>
      <c r="G29" s="31"/>
      <c r="H29" s="31"/>
      <c r="I29" s="31"/>
      <c r="J29" s="50">
        <f t="shared" si="3"/>
        <v>0</v>
      </c>
      <c r="K29" s="31"/>
    </row>
    <row r="30" spans="1:13" ht="14.4" x14ac:dyDescent="0.3">
      <c r="A30" s="53">
        <v>4</v>
      </c>
      <c r="B30" s="58"/>
      <c r="C30" s="31"/>
      <c r="D30" s="60"/>
      <c r="E30" s="31"/>
      <c r="F30" s="59"/>
      <c r="G30" s="31"/>
      <c r="H30" s="31"/>
      <c r="I30" s="31"/>
      <c r="J30" s="50">
        <f t="shared" si="3"/>
        <v>0</v>
      </c>
      <c r="K30" s="31"/>
    </row>
    <row r="31" spans="1:13" ht="14.4" x14ac:dyDescent="0.3">
      <c r="A31" s="53" t="s">
        <v>157</v>
      </c>
      <c r="B31" s="58"/>
      <c r="C31" s="31"/>
      <c r="D31" s="60"/>
      <c r="E31" s="31"/>
      <c r="F31" s="59"/>
      <c r="G31" s="31"/>
      <c r="H31" s="31"/>
      <c r="I31" s="31"/>
      <c r="J31" s="50">
        <f t="shared" si="3"/>
        <v>0</v>
      </c>
      <c r="K31" s="31"/>
    </row>
    <row r="32" spans="1:13" ht="14.4" hidden="1" x14ac:dyDescent="0.3">
      <c r="A32" s="54" t="s">
        <v>162</v>
      </c>
      <c r="B32" s="58"/>
      <c r="C32" s="31"/>
      <c r="D32" s="60"/>
      <c r="E32" s="31"/>
      <c r="F32" s="59"/>
      <c r="G32" s="31"/>
      <c r="H32" s="31"/>
      <c r="I32" s="31"/>
      <c r="J32" s="50">
        <f t="shared" si="3"/>
        <v>0</v>
      </c>
      <c r="K32" s="31"/>
    </row>
    <row r="33" spans="1:11" ht="14.4" x14ac:dyDescent="0.3">
      <c r="A33" s="188"/>
      <c r="B33" s="52" t="s">
        <v>136</v>
      </c>
      <c r="C33" s="30"/>
      <c r="D33" s="30"/>
      <c r="E33" s="30"/>
      <c r="F33" s="30"/>
      <c r="G33" s="30"/>
      <c r="H33" s="30"/>
      <c r="I33" s="30"/>
      <c r="J33" s="56">
        <f>SUM(J34:J39)</f>
        <v>0</v>
      </c>
      <c r="K33" s="30"/>
    </row>
    <row r="34" spans="1:11" ht="14.4" x14ac:dyDescent="0.3">
      <c r="A34" s="53">
        <v>1</v>
      </c>
      <c r="B34" s="57"/>
      <c r="C34" s="31"/>
      <c r="D34" s="60"/>
      <c r="E34" s="31"/>
      <c r="F34" s="59"/>
      <c r="G34" s="31"/>
      <c r="H34" s="31"/>
      <c r="I34" s="31"/>
      <c r="J34" s="50">
        <f>D34*F34</f>
        <v>0</v>
      </c>
      <c r="K34" s="31"/>
    </row>
    <row r="35" spans="1:11" ht="14.4" x14ac:dyDescent="0.3">
      <c r="A35" s="53">
        <v>2</v>
      </c>
      <c r="B35" s="58"/>
      <c r="C35" s="31"/>
      <c r="D35" s="60"/>
      <c r="E35" s="31"/>
      <c r="F35" s="59"/>
      <c r="G35" s="31"/>
      <c r="H35" s="31"/>
      <c r="I35" s="31"/>
      <c r="J35" s="50">
        <f t="shared" ref="J35:J39" si="4">D35*F35</f>
        <v>0</v>
      </c>
      <c r="K35" s="31"/>
    </row>
    <row r="36" spans="1:11" ht="14.4" x14ac:dyDescent="0.3">
      <c r="A36" s="53">
        <v>3</v>
      </c>
      <c r="B36" s="58"/>
      <c r="C36" s="31"/>
      <c r="D36" s="60"/>
      <c r="E36" s="31"/>
      <c r="F36" s="59"/>
      <c r="G36" s="31"/>
      <c r="H36" s="31"/>
      <c r="I36" s="31"/>
      <c r="J36" s="50">
        <f t="shared" si="4"/>
        <v>0</v>
      </c>
      <c r="K36" s="31"/>
    </row>
    <row r="37" spans="1:11" ht="14.4" x14ac:dyDescent="0.3">
      <c r="A37" s="53">
        <v>4</v>
      </c>
      <c r="B37" s="58"/>
      <c r="C37" s="31"/>
      <c r="D37" s="60"/>
      <c r="E37" s="31"/>
      <c r="F37" s="59"/>
      <c r="G37" s="31"/>
      <c r="H37" s="31"/>
      <c r="I37" s="31"/>
      <c r="J37" s="50">
        <f t="shared" si="4"/>
        <v>0</v>
      </c>
      <c r="K37" s="31"/>
    </row>
    <row r="38" spans="1:11" ht="14.4" x14ac:dyDescent="0.3">
      <c r="A38" s="53" t="s">
        <v>157</v>
      </c>
      <c r="B38" s="58"/>
      <c r="C38" s="31"/>
      <c r="D38" s="60"/>
      <c r="E38" s="31"/>
      <c r="F38" s="59"/>
      <c r="G38" s="31"/>
      <c r="H38" s="31"/>
      <c r="I38" s="31"/>
      <c r="J38" s="50">
        <f t="shared" si="4"/>
        <v>0</v>
      </c>
      <c r="K38" s="31"/>
    </row>
    <row r="39" spans="1:11" ht="14.4" hidden="1" x14ac:dyDescent="0.3">
      <c r="A39" s="54" t="s">
        <v>162</v>
      </c>
      <c r="B39" s="58"/>
      <c r="C39" s="31"/>
      <c r="D39" s="60"/>
      <c r="E39" s="31"/>
      <c r="F39" s="59"/>
      <c r="G39" s="31"/>
      <c r="H39" s="31"/>
      <c r="I39" s="31"/>
      <c r="J39" s="50">
        <f t="shared" si="4"/>
        <v>0</v>
      </c>
      <c r="K39" s="31"/>
    </row>
    <row r="40" spans="1:11" ht="14.4" x14ac:dyDescent="0.3">
      <c r="A40" s="188"/>
      <c r="B40" s="52" t="s">
        <v>121</v>
      </c>
      <c r="C40" s="30"/>
      <c r="D40" s="30"/>
      <c r="E40" s="30"/>
      <c r="F40" s="30"/>
      <c r="G40" s="30"/>
      <c r="H40" s="30"/>
      <c r="I40" s="30"/>
      <c r="J40" s="56">
        <f>SUM(J41:J46)</f>
        <v>3482.7</v>
      </c>
      <c r="K40" s="30"/>
    </row>
    <row r="41" spans="1:11" ht="14.4" x14ac:dyDescent="0.3">
      <c r="A41" s="53">
        <v>1</v>
      </c>
      <c r="B41" s="57" t="s">
        <v>164</v>
      </c>
      <c r="C41" s="31"/>
      <c r="D41" s="60">
        <f>6/20</f>
        <v>0.3</v>
      </c>
      <c r="E41" s="31" t="s">
        <v>165</v>
      </c>
      <c r="F41" s="59">
        <v>6054</v>
      </c>
      <c r="G41" s="31"/>
      <c r="H41" s="31"/>
      <c r="I41" s="31"/>
      <c r="J41" s="50">
        <f>D41*F41</f>
        <v>1816.2</v>
      </c>
      <c r="K41" s="31" t="s">
        <v>166</v>
      </c>
    </row>
    <row r="42" spans="1:11" ht="14.4" x14ac:dyDescent="0.3">
      <c r="A42" s="53">
        <v>2</v>
      </c>
      <c r="B42" s="58" t="s">
        <v>167</v>
      </c>
      <c r="C42" s="31"/>
      <c r="D42" s="60">
        <f>6/20</f>
        <v>0.3</v>
      </c>
      <c r="E42" s="31" t="s">
        <v>165</v>
      </c>
      <c r="F42" s="59">
        <v>4345</v>
      </c>
      <c r="G42" s="31"/>
      <c r="H42" s="31"/>
      <c r="I42" s="31"/>
      <c r="J42" s="50">
        <f t="shared" ref="J42:J43" si="5">D42*F42</f>
        <v>1303.5</v>
      </c>
      <c r="K42" s="239" t="s">
        <v>168</v>
      </c>
    </row>
    <row r="43" spans="1:11" ht="14.4" x14ac:dyDescent="0.3">
      <c r="A43" s="53">
        <v>3</v>
      </c>
      <c r="B43" s="58" t="s">
        <v>169</v>
      </c>
      <c r="C43" s="31"/>
      <c r="D43" s="269">
        <f>12/20</f>
        <v>0.6</v>
      </c>
      <c r="E43" s="31" t="s">
        <v>165</v>
      </c>
      <c r="F43" s="59">
        <v>605</v>
      </c>
      <c r="G43" s="31"/>
      <c r="H43" s="31"/>
      <c r="I43" s="31"/>
      <c r="J43" s="50">
        <f t="shared" si="5"/>
        <v>363</v>
      </c>
      <c r="K43" s="31"/>
    </row>
    <row r="44" spans="1:11" ht="14.4" x14ac:dyDescent="0.3">
      <c r="A44" s="53">
        <v>4</v>
      </c>
      <c r="B44" s="58"/>
      <c r="C44" s="31"/>
      <c r="D44" s="60"/>
      <c r="E44" s="31"/>
      <c r="F44" s="59"/>
      <c r="G44" s="31"/>
      <c r="H44" s="31"/>
      <c r="I44" s="31"/>
      <c r="J44" s="50">
        <f t="shared" ref="J44:J46" si="6">D44*F44</f>
        <v>0</v>
      </c>
      <c r="K44" s="31"/>
    </row>
    <row r="45" spans="1:11" ht="14.4" x14ac:dyDescent="0.3">
      <c r="A45" s="53" t="s">
        <v>157</v>
      </c>
      <c r="B45" s="58"/>
      <c r="C45" s="31"/>
      <c r="D45" s="60"/>
      <c r="E45" s="31"/>
      <c r="F45" s="59"/>
      <c r="G45" s="31"/>
      <c r="H45" s="31"/>
      <c r="I45" s="31"/>
      <c r="J45" s="50">
        <f t="shared" si="6"/>
        <v>0</v>
      </c>
      <c r="K45" s="31"/>
    </row>
    <row r="46" spans="1:11" ht="14.4" hidden="1" x14ac:dyDescent="0.3">
      <c r="A46" s="54" t="s">
        <v>162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188"/>
      <c r="B47" s="52" t="s">
        <v>123</v>
      </c>
      <c r="C47" s="30"/>
      <c r="D47" s="30"/>
      <c r="E47" s="30"/>
      <c r="F47" s="30"/>
      <c r="G47" s="30"/>
      <c r="H47" s="30"/>
      <c r="I47" s="30"/>
      <c r="J47" s="56">
        <f>SUM(J48:J53)</f>
        <v>4320</v>
      </c>
      <c r="K47" s="30"/>
    </row>
    <row r="48" spans="1:11" ht="14.4" x14ac:dyDescent="0.3">
      <c r="A48" s="53">
        <v>1</v>
      </c>
      <c r="B48" s="57" t="s">
        <v>170</v>
      </c>
      <c r="C48" s="31"/>
      <c r="D48" s="60">
        <f>D7*15</f>
        <v>720</v>
      </c>
      <c r="E48" s="31" t="s">
        <v>171</v>
      </c>
      <c r="F48" s="59">
        <v>6</v>
      </c>
      <c r="G48" s="31"/>
      <c r="H48" s="31"/>
      <c r="I48" s="31"/>
      <c r="J48" s="50">
        <f>D48*F48</f>
        <v>4320</v>
      </c>
      <c r="K48" s="31"/>
    </row>
    <row r="49" spans="1:11" ht="14.4" x14ac:dyDescent="0.3">
      <c r="A49" s="53">
        <v>2</v>
      </c>
      <c r="B49" s="58" t="s">
        <v>172</v>
      </c>
      <c r="C49" s="31"/>
      <c r="D49" s="60"/>
      <c r="E49" s="31"/>
      <c r="F49" s="59"/>
      <c r="G49" s="31"/>
      <c r="H49" s="31"/>
      <c r="I49" s="31"/>
      <c r="J49" s="50">
        <f t="shared" ref="J49:J53" si="7">D49*F49</f>
        <v>0</v>
      </c>
      <c r="K49" s="31"/>
    </row>
    <row r="50" spans="1:11" ht="14.4" x14ac:dyDescent="0.3">
      <c r="A50" s="53">
        <v>3</v>
      </c>
      <c r="B50" s="58"/>
      <c r="C50" s="31"/>
      <c r="D50" s="60"/>
      <c r="E50" s="31"/>
      <c r="F50" s="59"/>
      <c r="G50" s="31"/>
      <c r="H50" s="31"/>
      <c r="I50" s="31"/>
      <c r="J50" s="50">
        <f t="shared" si="7"/>
        <v>0</v>
      </c>
      <c r="K50" s="31"/>
    </row>
    <row r="51" spans="1:11" ht="14.4" x14ac:dyDescent="0.3">
      <c r="A51" s="53">
        <v>4</v>
      </c>
      <c r="B51" s="58"/>
      <c r="C51" s="31"/>
      <c r="D51" s="60"/>
      <c r="E51" s="31"/>
      <c r="F51" s="59"/>
      <c r="G51" s="31"/>
      <c r="H51" s="31"/>
      <c r="I51" s="31"/>
      <c r="J51" s="50">
        <f t="shared" si="7"/>
        <v>0</v>
      </c>
      <c r="K51" s="31"/>
    </row>
    <row r="52" spans="1:11" ht="14.4" x14ac:dyDescent="0.3">
      <c r="A52" s="53" t="s">
        <v>157</v>
      </c>
      <c r="B52" s="58"/>
      <c r="C52" s="31"/>
      <c r="D52" s="60"/>
      <c r="E52" s="31"/>
      <c r="F52" s="59"/>
      <c r="G52" s="31"/>
      <c r="H52" s="31"/>
      <c r="I52" s="31"/>
      <c r="J52" s="50">
        <f t="shared" si="7"/>
        <v>0</v>
      </c>
      <c r="K52" s="31"/>
    </row>
    <row r="53" spans="1:11" ht="14.4" hidden="1" x14ac:dyDescent="0.3">
      <c r="A53" s="54" t="s">
        <v>162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188"/>
      <c r="B54" s="52" t="s">
        <v>120</v>
      </c>
      <c r="C54" s="30"/>
      <c r="D54" s="30"/>
      <c r="E54" s="30"/>
      <c r="F54" s="30"/>
      <c r="G54" s="30"/>
      <c r="H54" s="30"/>
      <c r="I54" s="30"/>
      <c r="J54" s="56">
        <f>SUM(J55:J60)</f>
        <v>5000</v>
      </c>
      <c r="K54" s="30"/>
    </row>
    <row r="55" spans="1:11" ht="14.4" x14ac:dyDescent="0.3">
      <c r="A55" s="53">
        <v>1</v>
      </c>
      <c r="B55" s="57" t="s">
        <v>204</v>
      </c>
      <c r="C55" s="31"/>
      <c r="D55" s="60">
        <v>2</v>
      </c>
      <c r="E55" s="31" t="s">
        <v>205</v>
      </c>
      <c r="F55" s="59">
        <v>2500</v>
      </c>
      <c r="G55" s="31"/>
      <c r="H55" s="31"/>
      <c r="I55" s="31"/>
      <c r="J55" s="50">
        <f>D55*F55</f>
        <v>5000</v>
      </c>
      <c r="K55" s="31"/>
    </row>
    <row r="56" spans="1:11" ht="14.4" x14ac:dyDescent="0.3">
      <c r="A56" s="53">
        <v>2</v>
      </c>
      <c r="B56" s="58"/>
      <c r="C56" s="31"/>
      <c r="D56" s="60"/>
      <c r="E56" s="31"/>
      <c r="F56" s="59"/>
      <c r="G56" s="31"/>
      <c r="H56" s="31"/>
      <c r="I56" s="31"/>
      <c r="J56" s="50">
        <f t="shared" ref="J56:J60" si="8">D56*F56</f>
        <v>0</v>
      </c>
      <c r="K56" s="31"/>
    </row>
    <row r="57" spans="1:11" ht="14.4" x14ac:dyDescent="0.3">
      <c r="A57" s="53">
        <v>3</v>
      </c>
      <c r="B57" s="58"/>
      <c r="C57" s="31"/>
      <c r="D57" s="60"/>
      <c r="E57" s="31"/>
      <c r="F57" s="59"/>
      <c r="G57" s="31"/>
      <c r="H57" s="31"/>
      <c r="I57" s="31"/>
      <c r="J57" s="50">
        <f t="shared" si="8"/>
        <v>0</v>
      </c>
      <c r="K57" s="31"/>
    </row>
    <row r="58" spans="1:11" ht="14.4" x14ac:dyDescent="0.3">
      <c r="A58" s="53">
        <v>4</v>
      </c>
      <c r="B58" s="58"/>
      <c r="C58" s="31"/>
      <c r="D58" s="60"/>
      <c r="E58" s="31"/>
      <c r="F58" s="59"/>
      <c r="G58" s="31"/>
      <c r="H58" s="31"/>
      <c r="I58" s="31"/>
      <c r="J58" s="50">
        <f t="shared" si="8"/>
        <v>0</v>
      </c>
      <c r="K58" s="31"/>
    </row>
    <row r="59" spans="1:11" ht="14.4" x14ac:dyDescent="0.3">
      <c r="A59" s="53" t="s">
        <v>157</v>
      </c>
      <c r="B59" s="58"/>
      <c r="C59" s="31"/>
      <c r="D59" s="60"/>
      <c r="E59" s="31"/>
      <c r="F59" s="59"/>
      <c r="G59" s="31"/>
      <c r="H59" s="31"/>
      <c r="I59" s="31"/>
      <c r="J59" s="50">
        <f t="shared" si="8"/>
        <v>0</v>
      </c>
      <c r="K59" s="31"/>
    </row>
    <row r="60" spans="1:11" ht="14.4" hidden="1" x14ac:dyDescent="0.3">
      <c r="A60" s="54" t="s">
        <v>162</v>
      </c>
      <c r="B60" s="58"/>
      <c r="C60" s="31"/>
      <c r="D60" s="60"/>
      <c r="E60" s="31"/>
      <c r="F60" s="59"/>
      <c r="G60" s="31"/>
      <c r="H60" s="31"/>
      <c r="I60" s="31"/>
      <c r="J60" s="50">
        <f t="shared" si="8"/>
        <v>0</v>
      </c>
      <c r="K60" s="31"/>
    </row>
  </sheetData>
  <hyperlinks>
    <hyperlink ref="K42" r:id="rId1" xr:uid="{3125101A-4C40-4299-B466-521E7B53F3D9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C7B20-9B40-46F0-8BB4-64599EA5628D}">
  <sheetPr>
    <tabColor rgb="FF92D050"/>
  </sheetPr>
  <dimension ref="A1:M56"/>
  <sheetViews>
    <sheetView zoomScale="90" zoomScaleNormal="90" workbookViewId="0">
      <selection activeCell="B17" sqref="B17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3.44140625" bestFit="1" customWidth="1"/>
    <col min="7" max="7" width="13.77734375" customWidth="1"/>
    <col min="8" max="8" width="11.77734375" bestFit="1" customWidth="1"/>
    <col min="9" max="9" width="13.6640625" customWidth="1"/>
    <col min="10" max="10" width="13.44140625" customWidth="1"/>
    <col min="11" max="11" width="72.6640625" customWidth="1"/>
    <col min="12" max="12" width="10.109375" bestFit="1" customWidth="1"/>
  </cols>
  <sheetData>
    <row r="1" spans="1:13" ht="14.4" x14ac:dyDescent="0.3">
      <c r="I1" s="252" t="s">
        <v>147</v>
      </c>
      <c r="J1" s="253">
        <f>J4+J15+J22+J29+J36+J43+J50</f>
        <v>33502.53</v>
      </c>
      <c r="K1" t="s">
        <v>96</v>
      </c>
    </row>
    <row r="2" spans="1:13" ht="18" x14ac:dyDescent="0.3">
      <c r="B2" s="146" t="str">
        <f>'Bid Summary'!F11</f>
        <v>Removal and Disposal of Existing Laterals and Turnout Connections (Asbestos Cement Pipe on C-302 and C-305)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148</v>
      </c>
      <c r="C3" s="49" t="s">
        <v>149</v>
      </c>
      <c r="D3" s="49" t="s">
        <v>8</v>
      </c>
      <c r="E3" s="49" t="s">
        <v>150</v>
      </c>
      <c r="F3" s="49" t="s">
        <v>151</v>
      </c>
      <c r="G3" s="49" t="s">
        <v>152</v>
      </c>
      <c r="H3" s="49" t="s">
        <v>175</v>
      </c>
      <c r="I3" s="49" t="s">
        <v>153</v>
      </c>
      <c r="J3" s="49" t="s">
        <v>94</v>
      </c>
      <c r="K3" s="49" t="s">
        <v>154</v>
      </c>
      <c r="L3" s="29"/>
      <c r="M3" s="29"/>
    </row>
    <row r="4" spans="1:13" ht="14.4" x14ac:dyDescent="0.3">
      <c r="A4" s="188"/>
      <c r="B4" s="52" t="s">
        <v>109</v>
      </c>
      <c r="C4" s="30"/>
      <c r="D4" s="30"/>
      <c r="E4" s="30"/>
      <c r="F4" s="30"/>
      <c r="G4" s="30"/>
      <c r="H4" s="30"/>
      <c r="I4" s="30"/>
      <c r="J4" s="56">
        <f>SUM(J5:J14)</f>
        <v>3702.08</v>
      </c>
      <c r="K4" s="30"/>
      <c r="L4" s="29"/>
      <c r="M4" s="29"/>
    </row>
    <row r="5" spans="1:13" ht="14.4" x14ac:dyDescent="0.3">
      <c r="A5" s="53">
        <v>1</v>
      </c>
      <c r="B5" s="255" t="str">
        <f>'Prevailing Wage'!C14</f>
        <v>Labor Lead</v>
      </c>
      <c r="C5" s="31"/>
      <c r="D5" s="60">
        <v>8</v>
      </c>
      <c r="E5" s="31" t="s">
        <v>118</v>
      </c>
      <c r="F5" s="256">
        <f>'Prevailing Wage'!D14</f>
        <v>74.69</v>
      </c>
      <c r="G5" s="31"/>
      <c r="H5" s="31"/>
      <c r="I5" s="31"/>
      <c r="J5" s="50">
        <f>D5*F5</f>
        <v>597.52</v>
      </c>
      <c r="K5" s="31" t="s">
        <v>158</v>
      </c>
      <c r="L5" s="29"/>
      <c r="M5" s="29"/>
    </row>
    <row r="6" spans="1:13" ht="14.4" x14ac:dyDescent="0.3">
      <c r="A6" s="53">
        <v>2</v>
      </c>
      <c r="B6" s="255" t="str">
        <f>'Prevailing Wage'!C15</f>
        <v>Laborer</v>
      </c>
      <c r="C6" s="31"/>
      <c r="D6" s="225">
        <f>D5*'Bid Schedule'!$N$3</f>
        <v>24</v>
      </c>
      <c r="E6" s="31" t="s">
        <v>118</v>
      </c>
      <c r="F6" s="256">
        <f>'Prevailing Wage'!D15</f>
        <v>71.69</v>
      </c>
      <c r="G6" s="31"/>
      <c r="H6" s="31"/>
      <c r="I6" s="31"/>
      <c r="J6" s="50">
        <f t="shared" ref="J6:J12" si="0">D6*F6</f>
        <v>1720.56</v>
      </c>
      <c r="K6" s="225" t="s">
        <v>159</v>
      </c>
      <c r="L6" s="29"/>
      <c r="M6" s="29"/>
    </row>
    <row r="7" spans="1:13" ht="14.4" x14ac:dyDescent="0.3">
      <c r="A7" s="53">
        <v>3</v>
      </c>
      <c r="B7" s="255" t="str">
        <f>'Prevailing Wage'!C16</f>
        <v>Operator</v>
      </c>
      <c r="C7" s="31"/>
      <c r="D7" s="60">
        <v>8</v>
      </c>
      <c r="E7" s="31" t="s">
        <v>118</v>
      </c>
      <c r="F7" s="256">
        <f>'Prevailing Wage'!D16</f>
        <v>96.29</v>
      </c>
      <c r="G7" s="31"/>
      <c r="H7" s="31"/>
      <c r="I7" s="31"/>
      <c r="J7" s="50">
        <f t="shared" si="0"/>
        <v>770.32</v>
      </c>
      <c r="K7" s="31"/>
      <c r="L7" s="29"/>
      <c r="M7" s="29"/>
    </row>
    <row r="8" spans="1:13" ht="14.4" x14ac:dyDescent="0.3">
      <c r="A8" s="53">
        <v>4</v>
      </c>
      <c r="B8" s="255" t="str">
        <f>'Prevailing Wage'!C17</f>
        <v>Driver</v>
      </c>
      <c r="C8" s="31"/>
      <c r="D8" s="60">
        <v>8</v>
      </c>
      <c r="E8" s="31" t="s">
        <v>118</v>
      </c>
      <c r="F8" s="256">
        <f>'Prevailing Wage'!D17</f>
        <v>76.709999999999994</v>
      </c>
      <c r="G8" s="31"/>
      <c r="H8" s="31"/>
      <c r="I8" s="31"/>
      <c r="J8" s="50">
        <f t="shared" si="0"/>
        <v>613.67999999999995</v>
      </c>
      <c r="K8" s="31"/>
      <c r="L8" s="29"/>
      <c r="M8" s="29"/>
    </row>
    <row r="9" spans="1:13" ht="14.4" x14ac:dyDescent="0.3">
      <c r="A9" s="53">
        <v>5</v>
      </c>
      <c r="B9" s="255" t="str">
        <f>'Prevailing Wage'!C18</f>
        <v>Landscaper</v>
      </c>
      <c r="C9" s="31"/>
      <c r="D9" s="60"/>
      <c r="E9" s="31" t="s">
        <v>118</v>
      </c>
      <c r="F9" s="256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5" t="str">
        <f>'Prevailing Wage'!C19</f>
        <v>Pipefitter</v>
      </c>
      <c r="C10" s="31"/>
      <c r="D10" s="60"/>
      <c r="E10" s="31" t="s">
        <v>118</v>
      </c>
      <c r="F10" s="256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5" t="str">
        <f>'Prevailing Wage'!C20</f>
        <v>Etc</v>
      </c>
      <c r="C11" s="31"/>
      <c r="D11" s="60"/>
      <c r="E11" s="31" t="s">
        <v>118</v>
      </c>
      <c r="F11" s="256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5" t="str">
        <f>'Prevailing Wage'!C21</f>
        <v>Etc</v>
      </c>
      <c r="C12" s="31"/>
      <c r="D12" s="60"/>
      <c r="E12" s="31" t="s">
        <v>118</v>
      </c>
      <c r="F12" s="256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157</v>
      </c>
      <c r="B13" s="58"/>
      <c r="C13" s="31"/>
      <c r="D13" s="60"/>
      <c r="E13" s="31" t="s">
        <v>118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112</v>
      </c>
      <c r="C15" s="30"/>
      <c r="D15" s="30"/>
      <c r="E15" s="30"/>
      <c r="F15" s="30"/>
      <c r="G15" s="30"/>
      <c r="H15" s="30"/>
      <c r="I15" s="30"/>
      <c r="J15" s="56">
        <f>SUM(J16:J21)</f>
        <v>12000</v>
      </c>
      <c r="K15" s="30"/>
      <c r="L15" s="29"/>
      <c r="M15" s="29"/>
    </row>
    <row r="16" spans="1:13" ht="14.4" x14ac:dyDescent="0.3">
      <c r="A16" s="53">
        <v>1</v>
      </c>
      <c r="B16" s="57" t="s">
        <v>324</v>
      </c>
      <c r="C16" s="31"/>
      <c r="D16" s="60">
        <v>12</v>
      </c>
      <c r="E16" s="31"/>
      <c r="F16" s="59">
        <v>1000</v>
      </c>
      <c r="G16" s="31"/>
      <c r="H16" s="31"/>
      <c r="I16" s="31"/>
      <c r="J16" s="50">
        <f>D16*F16</f>
        <v>12000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157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162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116</v>
      </c>
      <c r="C22" s="30"/>
      <c r="D22" s="30"/>
      <c r="E22" s="30"/>
      <c r="F22" s="30"/>
      <c r="G22" s="30"/>
      <c r="H22" s="30"/>
      <c r="I22" s="30"/>
      <c r="J22" s="56">
        <f>SUM(J23:J28)</f>
        <v>1500</v>
      </c>
      <c r="K22" s="30"/>
    </row>
    <row r="23" spans="1:13" ht="14.4" x14ac:dyDescent="0.3">
      <c r="A23" s="53">
        <v>1</v>
      </c>
      <c r="B23" s="57" t="s">
        <v>206</v>
      </c>
      <c r="C23" s="31"/>
      <c r="D23" s="60">
        <v>1</v>
      </c>
      <c r="E23" s="31" t="s">
        <v>207</v>
      </c>
      <c r="F23" s="59">
        <v>1500</v>
      </c>
      <c r="G23" s="31"/>
      <c r="H23" s="31"/>
      <c r="I23" s="31"/>
      <c r="J23" s="50">
        <f>D23*F23</f>
        <v>1500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9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157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162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136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157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162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121</v>
      </c>
      <c r="C36" s="30"/>
      <c r="D36" s="30"/>
      <c r="E36" s="30"/>
      <c r="F36" s="30"/>
      <c r="G36" s="30"/>
      <c r="H36" s="30"/>
      <c r="I36" s="30"/>
      <c r="J36" s="56">
        <f>SUM(J37:J42)</f>
        <v>580.45000000000005</v>
      </c>
      <c r="K36" s="30"/>
    </row>
    <row r="37" spans="1:11" ht="14.4" x14ac:dyDescent="0.3">
      <c r="A37" s="53">
        <v>1</v>
      </c>
      <c r="B37" s="57" t="s">
        <v>164</v>
      </c>
      <c r="C37" s="31"/>
      <c r="D37" s="60">
        <f>1/20</f>
        <v>0.05</v>
      </c>
      <c r="E37" s="31" t="s">
        <v>165</v>
      </c>
      <c r="F37" s="59">
        <v>6054</v>
      </c>
      <c r="G37" s="31"/>
      <c r="H37" s="31"/>
      <c r="I37" s="31"/>
      <c r="J37" s="50">
        <f>D37*F37</f>
        <v>302.7</v>
      </c>
      <c r="K37" s="31" t="s">
        <v>166</v>
      </c>
    </row>
    <row r="38" spans="1:11" ht="14.4" x14ac:dyDescent="0.3">
      <c r="A38" s="53">
        <v>2</v>
      </c>
      <c r="B38" s="58" t="s">
        <v>167</v>
      </c>
      <c r="C38" s="31"/>
      <c r="D38" s="60">
        <f>1/20</f>
        <v>0.05</v>
      </c>
      <c r="E38" s="31" t="s">
        <v>165</v>
      </c>
      <c r="F38" s="59">
        <v>4345</v>
      </c>
      <c r="G38" s="31"/>
      <c r="H38" s="31"/>
      <c r="I38" s="31"/>
      <c r="J38" s="50">
        <f t="shared" ref="J38:J39" si="5">D38*F38</f>
        <v>217.25</v>
      </c>
      <c r="K38" s="239" t="s">
        <v>168</v>
      </c>
    </row>
    <row r="39" spans="1:11" ht="14.4" x14ac:dyDescent="0.3">
      <c r="A39" s="53">
        <v>3</v>
      </c>
      <c r="B39" s="58" t="s">
        <v>169</v>
      </c>
      <c r="C39" s="31"/>
      <c r="D39" s="269">
        <f>2/20</f>
        <v>0.1</v>
      </c>
      <c r="E39" s="31" t="s">
        <v>165</v>
      </c>
      <c r="F39" s="59">
        <v>605</v>
      </c>
      <c r="G39" s="31"/>
      <c r="H39" s="31"/>
      <c r="I39" s="31"/>
      <c r="J39" s="50">
        <f t="shared" si="5"/>
        <v>60.5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ref="J40:J42" si="6">D40*F40</f>
        <v>0</v>
      </c>
      <c r="K40" s="31"/>
    </row>
    <row r="41" spans="1:11" ht="14.4" x14ac:dyDescent="0.3">
      <c r="A41" s="53" t="s">
        <v>157</v>
      </c>
      <c r="B41" s="58"/>
      <c r="C41" s="31"/>
      <c r="D41" s="60"/>
      <c r="E41" s="31"/>
      <c r="F41" s="59"/>
      <c r="G41" s="31"/>
      <c r="H41" s="31"/>
      <c r="I41" s="31"/>
      <c r="J41" s="50">
        <f t="shared" si="6"/>
        <v>0</v>
      </c>
      <c r="K41" s="31"/>
    </row>
    <row r="42" spans="1:11" ht="14.4" hidden="1" x14ac:dyDescent="0.3">
      <c r="A42" s="54" t="s">
        <v>162</v>
      </c>
      <c r="B42" s="58"/>
      <c r="C42" s="31"/>
      <c r="D42" s="60"/>
      <c r="E42" s="31"/>
      <c r="F42" s="59"/>
      <c r="G42" s="31"/>
      <c r="H42" s="31"/>
      <c r="I42" s="31"/>
      <c r="J42" s="50">
        <f t="shared" si="6"/>
        <v>0</v>
      </c>
      <c r="K42" s="31"/>
    </row>
    <row r="43" spans="1:11" ht="14.4" x14ac:dyDescent="0.3">
      <c r="A43" s="188"/>
      <c r="B43" s="52" t="s">
        <v>123</v>
      </c>
      <c r="C43" s="30"/>
      <c r="D43" s="30"/>
      <c r="E43" s="30"/>
      <c r="F43" s="30"/>
      <c r="G43" s="30"/>
      <c r="H43" s="30"/>
      <c r="I43" s="30"/>
      <c r="J43" s="56">
        <f>SUM(J44:J49)</f>
        <v>720</v>
      </c>
      <c r="K43" s="30"/>
    </row>
    <row r="44" spans="1:11" ht="14.4" x14ac:dyDescent="0.3">
      <c r="A44" s="53">
        <v>1</v>
      </c>
      <c r="B44" s="57" t="s">
        <v>170</v>
      </c>
      <c r="C44" s="31"/>
      <c r="D44" s="60">
        <f>D7*15</f>
        <v>120</v>
      </c>
      <c r="E44" s="31" t="s">
        <v>171</v>
      </c>
      <c r="F44" s="59">
        <v>6</v>
      </c>
      <c r="G44" s="31"/>
      <c r="H44" s="31"/>
      <c r="I44" s="31"/>
      <c r="J44" s="50">
        <f>D44*F44</f>
        <v>720</v>
      </c>
      <c r="K44" s="31"/>
    </row>
    <row r="45" spans="1:11" ht="14.4" x14ac:dyDescent="0.3">
      <c r="A45" s="53">
        <v>2</v>
      </c>
      <c r="B45" s="58" t="s">
        <v>172</v>
      </c>
      <c r="C45" s="31"/>
      <c r="D45" s="60"/>
      <c r="E45" s="31"/>
      <c r="F45" s="59"/>
      <c r="G45" s="31"/>
      <c r="H45" s="31"/>
      <c r="I45" s="31"/>
      <c r="J45" s="50">
        <f t="shared" ref="J45:J49" si="7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7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7"/>
        <v>0</v>
      </c>
      <c r="K47" s="31"/>
    </row>
    <row r="48" spans="1:11" ht="14.4" x14ac:dyDescent="0.3">
      <c r="A48" s="53" t="s">
        <v>157</v>
      </c>
      <c r="B48" s="58"/>
      <c r="C48" s="31"/>
      <c r="D48" s="60"/>
      <c r="E48" s="31"/>
      <c r="F48" s="59"/>
      <c r="G48" s="31"/>
      <c r="H48" s="31"/>
      <c r="I48" s="31"/>
      <c r="J48" s="50">
        <f t="shared" si="7"/>
        <v>0</v>
      </c>
      <c r="K48" s="31"/>
    </row>
    <row r="49" spans="1:11" ht="14.4" hidden="1" x14ac:dyDescent="0.3">
      <c r="A49" s="54" t="s">
        <v>162</v>
      </c>
      <c r="B49" s="58"/>
      <c r="C49" s="31"/>
      <c r="D49" s="60"/>
      <c r="E49" s="31"/>
      <c r="F49" s="59"/>
      <c r="G49" s="31"/>
      <c r="H49" s="31"/>
      <c r="I49" s="31"/>
      <c r="J49" s="50">
        <f t="shared" si="7"/>
        <v>0</v>
      </c>
      <c r="K49" s="31"/>
    </row>
    <row r="50" spans="1:11" ht="14.4" x14ac:dyDescent="0.3">
      <c r="A50" s="188"/>
      <c r="B50" s="52" t="s">
        <v>120</v>
      </c>
      <c r="C50" s="30"/>
      <c r="D50" s="30"/>
      <c r="E50" s="30"/>
      <c r="F50" s="30"/>
      <c r="G50" s="30"/>
      <c r="H50" s="30"/>
      <c r="I50" s="30"/>
      <c r="J50" s="56">
        <f>SUM(J51:J56)</f>
        <v>15000</v>
      </c>
      <c r="K50" s="30"/>
    </row>
    <row r="51" spans="1:11" ht="14.4" x14ac:dyDescent="0.3">
      <c r="A51" s="53">
        <v>1</v>
      </c>
      <c r="B51" s="57" t="s">
        <v>204</v>
      </c>
      <c r="C51" s="31"/>
      <c r="D51" s="60">
        <v>1</v>
      </c>
      <c r="E51" s="31" t="s">
        <v>160</v>
      </c>
      <c r="F51" s="59">
        <v>15000</v>
      </c>
      <c r="G51" s="31"/>
      <c r="H51" s="31"/>
      <c r="I51" s="31"/>
      <c r="J51" s="50">
        <f>D51*F51</f>
        <v>15000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8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8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8"/>
        <v>0</v>
      </c>
      <c r="K54" s="31"/>
    </row>
    <row r="55" spans="1:11" ht="14.4" x14ac:dyDescent="0.3">
      <c r="A55" s="53" t="s">
        <v>157</v>
      </c>
      <c r="B55" s="58"/>
      <c r="C55" s="31"/>
      <c r="D55" s="60"/>
      <c r="E55" s="31"/>
      <c r="F55" s="59"/>
      <c r="G55" s="31"/>
      <c r="H55" s="31"/>
      <c r="I55" s="31"/>
      <c r="J55" s="50">
        <f t="shared" si="8"/>
        <v>0</v>
      </c>
      <c r="K55" s="31"/>
    </row>
    <row r="56" spans="1:11" ht="14.4" hidden="1" x14ac:dyDescent="0.3">
      <c r="A56" s="54" t="s">
        <v>162</v>
      </c>
      <c r="B56" s="58"/>
      <c r="C56" s="31"/>
      <c r="D56" s="60"/>
      <c r="E56" s="31"/>
      <c r="F56" s="59"/>
      <c r="G56" s="31"/>
      <c r="H56" s="31"/>
      <c r="I56" s="31"/>
      <c r="J56" s="50">
        <f t="shared" si="8"/>
        <v>0</v>
      </c>
      <c r="K56" s="31"/>
    </row>
  </sheetData>
  <hyperlinks>
    <hyperlink ref="K38" r:id="rId1" xr:uid="{029203A4-4731-4654-B315-D252662E02EE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69CD7-D9D6-4B2F-922E-C2391B846103}">
  <sheetPr>
    <tabColor rgb="FF92D050"/>
  </sheetPr>
  <dimension ref="A1:M56"/>
  <sheetViews>
    <sheetView zoomScale="90" zoomScaleNormal="90" workbookViewId="0">
      <selection activeCell="H33" sqref="H33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2" t="s">
        <v>147</v>
      </c>
      <c r="J1" s="253">
        <f>J4+J15+J22+J29+J36+J43+J50</f>
        <v>5388.85</v>
      </c>
      <c r="K1" t="s">
        <v>96</v>
      </c>
    </row>
    <row r="2" spans="1:13" ht="18" x14ac:dyDescent="0.3">
      <c r="B2" s="146" t="str">
        <f>'Bid Summary'!F12</f>
        <v xml:space="preserve">Removal and Disposal of Existing Turnout Connections (PVC Pipe on C-402 and C-403) 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148</v>
      </c>
      <c r="C3" s="49" t="s">
        <v>149</v>
      </c>
      <c r="D3" s="49" t="s">
        <v>8</v>
      </c>
      <c r="E3" s="49" t="s">
        <v>150</v>
      </c>
      <c r="F3" s="49" t="s">
        <v>151</v>
      </c>
      <c r="G3" s="49" t="s">
        <v>152</v>
      </c>
      <c r="H3" s="49" t="s">
        <v>175</v>
      </c>
      <c r="I3" s="49" t="s">
        <v>153</v>
      </c>
      <c r="J3" s="49" t="s">
        <v>94</v>
      </c>
      <c r="K3" s="49" t="s">
        <v>154</v>
      </c>
      <c r="L3" s="29"/>
      <c r="M3" s="29"/>
    </row>
    <row r="4" spans="1:13" ht="14.4" x14ac:dyDescent="0.3">
      <c r="A4" s="188"/>
      <c r="B4" s="52" t="s">
        <v>109</v>
      </c>
      <c r="C4" s="30"/>
      <c r="D4" s="30"/>
      <c r="E4" s="30"/>
      <c r="F4" s="30"/>
      <c r="G4" s="30"/>
      <c r="H4" s="30"/>
      <c r="I4" s="30"/>
      <c r="J4" s="56">
        <f>SUM(J5:J14)</f>
        <v>3088.4</v>
      </c>
      <c r="K4" s="30"/>
      <c r="L4" s="29"/>
      <c r="M4" s="29"/>
    </row>
    <row r="5" spans="1:13" ht="14.4" x14ac:dyDescent="0.3">
      <c r="A5" s="53">
        <v>1</v>
      </c>
      <c r="B5" s="255" t="str">
        <f>'Prevailing Wage'!C14</f>
        <v>Labor Lead</v>
      </c>
      <c r="C5" s="31"/>
      <c r="D5" s="60">
        <v>8</v>
      </c>
      <c r="E5" s="31" t="s">
        <v>118</v>
      </c>
      <c r="F5" s="256">
        <f>'Prevailing Wage'!D14</f>
        <v>74.69</v>
      </c>
      <c r="G5" s="31"/>
      <c r="H5" s="31"/>
      <c r="I5" s="31"/>
      <c r="J5" s="50">
        <f>D5*F5</f>
        <v>597.52</v>
      </c>
      <c r="K5" s="31" t="s">
        <v>158</v>
      </c>
      <c r="L5" s="29"/>
      <c r="M5" s="29"/>
    </row>
    <row r="6" spans="1:13" ht="14.4" x14ac:dyDescent="0.3">
      <c r="A6" s="53">
        <v>2</v>
      </c>
      <c r="B6" s="255" t="str">
        <f>'Prevailing Wage'!C15</f>
        <v>Laborer</v>
      </c>
      <c r="C6" s="31"/>
      <c r="D6" s="225">
        <f>D5*'Bid Schedule'!$N$3</f>
        <v>24</v>
      </c>
      <c r="E6" s="31" t="s">
        <v>118</v>
      </c>
      <c r="F6" s="256">
        <f>'Prevailing Wage'!D15</f>
        <v>71.69</v>
      </c>
      <c r="G6" s="31"/>
      <c r="H6" s="31"/>
      <c r="I6" s="31"/>
      <c r="J6" s="50">
        <f t="shared" ref="J6:J12" si="0">D6*F6</f>
        <v>1720.56</v>
      </c>
      <c r="K6" s="225" t="s">
        <v>159</v>
      </c>
      <c r="L6" s="29"/>
      <c r="M6" s="29"/>
    </row>
    <row r="7" spans="1:13" ht="14.4" x14ac:dyDescent="0.3">
      <c r="A7" s="53">
        <v>3</v>
      </c>
      <c r="B7" s="255" t="str">
        <f>'Prevailing Wage'!C16</f>
        <v>Operator</v>
      </c>
      <c r="C7" s="31"/>
      <c r="D7" s="60">
        <v>8</v>
      </c>
      <c r="E7" s="31" t="s">
        <v>118</v>
      </c>
      <c r="F7" s="256">
        <f>'Prevailing Wage'!D16</f>
        <v>96.29</v>
      </c>
      <c r="G7" s="31"/>
      <c r="H7" s="31"/>
      <c r="I7" s="31"/>
      <c r="J7" s="50">
        <f t="shared" si="0"/>
        <v>770.32</v>
      </c>
      <c r="K7" s="31"/>
      <c r="L7" s="29"/>
      <c r="M7" s="29"/>
    </row>
    <row r="8" spans="1:13" ht="14.4" x14ac:dyDescent="0.3">
      <c r="A8" s="53">
        <v>4</v>
      </c>
      <c r="B8" s="255" t="str">
        <f>'Prevailing Wage'!C17</f>
        <v>Driver</v>
      </c>
      <c r="C8" s="31"/>
      <c r="D8" s="60"/>
      <c r="E8" s="31" t="s">
        <v>118</v>
      </c>
      <c r="F8" s="256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5" t="str">
        <f>'Prevailing Wage'!C18</f>
        <v>Landscaper</v>
      </c>
      <c r="C9" s="31"/>
      <c r="D9" s="60"/>
      <c r="E9" s="31" t="s">
        <v>118</v>
      </c>
      <c r="F9" s="256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5" t="str">
        <f>'Prevailing Wage'!C19</f>
        <v>Pipefitter</v>
      </c>
      <c r="C10" s="31"/>
      <c r="D10" s="60"/>
      <c r="E10" s="31" t="s">
        <v>118</v>
      </c>
      <c r="F10" s="256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5" t="str">
        <f>'Prevailing Wage'!C20</f>
        <v>Etc</v>
      </c>
      <c r="C11" s="31"/>
      <c r="D11" s="60"/>
      <c r="E11" s="31" t="s">
        <v>118</v>
      </c>
      <c r="F11" s="256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5" t="str">
        <f>'Prevailing Wage'!C21</f>
        <v>Etc</v>
      </c>
      <c r="C12" s="31"/>
      <c r="D12" s="60"/>
      <c r="E12" s="31" t="s">
        <v>118</v>
      </c>
      <c r="F12" s="256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157</v>
      </c>
      <c r="B13" s="58"/>
      <c r="C13" s="31"/>
      <c r="D13" s="60"/>
      <c r="E13" s="31" t="s">
        <v>118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112</v>
      </c>
      <c r="C15" s="30"/>
      <c r="D15" s="30"/>
      <c r="E15" s="30"/>
      <c r="F15" s="30"/>
      <c r="G15" s="30"/>
      <c r="H15" s="30"/>
      <c r="I15" s="30"/>
      <c r="J15" s="56">
        <f>SUM(J16:J21)</f>
        <v>500</v>
      </c>
      <c r="K15" s="30"/>
      <c r="L15" s="29"/>
      <c r="M15" s="29"/>
    </row>
    <row r="16" spans="1:13" ht="14.4" x14ac:dyDescent="0.3">
      <c r="A16" s="53">
        <v>1</v>
      </c>
      <c r="B16" s="57" t="s">
        <v>208</v>
      </c>
      <c r="C16" s="31"/>
      <c r="D16" s="60">
        <v>1</v>
      </c>
      <c r="E16" s="31" t="s">
        <v>107</v>
      </c>
      <c r="F16" s="59">
        <v>500</v>
      </c>
      <c r="G16" s="31"/>
      <c r="H16" s="31"/>
      <c r="I16" s="31"/>
      <c r="J16" s="50">
        <f>D16*F16</f>
        <v>500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157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162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116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9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157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162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136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157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162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121</v>
      </c>
      <c r="C36" s="30"/>
      <c r="D36" s="30"/>
      <c r="E36" s="30"/>
      <c r="F36" s="30"/>
      <c r="G36" s="30"/>
      <c r="H36" s="30"/>
      <c r="I36" s="30"/>
      <c r="J36" s="56">
        <f>SUM(J37:J42)</f>
        <v>580.45000000000005</v>
      </c>
      <c r="K36" s="30"/>
    </row>
    <row r="37" spans="1:11" ht="14.4" x14ac:dyDescent="0.3">
      <c r="A37" s="53">
        <v>1</v>
      </c>
      <c r="B37" s="57" t="s">
        <v>164</v>
      </c>
      <c r="C37" s="31"/>
      <c r="D37" s="60">
        <f>1/20</f>
        <v>0.05</v>
      </c>
      <c r="E37" s="31" t="s">
        <v>165</v>
      </c>
      <c r="F37" s="59">
        <v>6054</v>
      </c>
      <c r="G37" s="31"/>
      <c r="H37" s="31"/>
      <c r="I37" s="31"/>
      <c r="J37" s="50">
        <f>D37*F37</f>
        <v>302.7</v>
      </c>
      <c r="K37" s="31" t="s">
        <v>166</v>
      </c>
    </row>
    <row r="38" spans="1:11" ht="14.4" x14ac:dyDescent="0.3">
      <c r="A38" s="53">
        <v>2</v>
      </c>
      <c r="B38" s="58" t="s">
        <v>167</v>
      </c>
      <c r="C38" s="31"/>
      <c r="D38" s="60">
        <f>1/20</f>
        <v>0.05</v>
      </c>
      <c r="E38" s="31" t="s">
        <v>165</v>
      </c>
      <c r="F38" s="59">
        <v>4345</v>
      </c>
      <c r="G38" s="31"/>
      <c r="H38" s="31"/>
      <c r="I38" s="31"/>
      <c r="J38" s="50">
        <f t="shared" ref="J38:J42" si="5">D38*F38</f>
        <v>217.25</v>
      </c>
      <c r="K38" s="239" t="s">
        <v>168</v>
      </c>
    </row>
    <row r="39" spans="1:11" ht="14.4" x14ac:dyDescent="0.3">
      <c r="A39" s="53">
        <v>3</v>
      </c>
      <c r="B39" s="58" t="s">
        <v>169</v>
      </c>
      <c r="C39" s="31"/>
      <c r="D39" s="269">
        <f>2/20</f>
        <v>0.1</v>
      </c>
      <c r="E39" s="31" t="s">
        <v>165</v>
      </c>
      <c r="F39" s="59">
        <v>605</v>
      </c>
      <c r="G39" s="31"/>
      <c r="H39" s="31"/>
      <c r="I39" s="31"/>
      <c r="J39" s="50">
        <f t="shared" si="5"/>
        <v>60.5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157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162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123</v>
      </c>
      <c r="C43" s="30"/>
      <c r="D43" s="30"/>
      <c r="E43" s="30"/>
      <c r="F43" s="30"/>
      <c r="G43" s="30"/>
      <c r="H43" s="30"/>
      <c r="I43" s="30"/>
      <c r="J43" s="56">
        <f>SUM(J44:J49)</f>
        <v>720</v>
      </c>
      <c r="K43" s="30"/>
    </row>
    <row r="44" spans="1:11" ht="14.4" x14ac:dyDescent="0.3">
      <c r="A44" s="53">
        <v>1</v>
      </c>
      <c r="B44" s="57" t="s">
        <v>170</v>
      </c>
      <c r="C44" s="31"/>
      <c r="D44" s="60">
        <f>D7*15</f>
        <v>120</v>
      </c>
      <c r="E44" s="31" t="s">
        <v>171</v>
      </c>
      <c r="F44" s="59">
        <v>6</v>
      </c>
      <c r="G44" s="31"/>
      <c r="H44" s="31"/>
      <c r="I44" s="31"/>
      <c r="J44" s="50">
        <f>D44*F44</f>
        <v>720</v>
      </c>
      <c r="K44" s="31"/>
    </row>
    <row r="45" spans="1:11" ht="14.4" x14ac:dyDescent="0.3">
      <c r="A45" s="53">
        <v>2</v>
      </c>
      <c r="B45" s="58" t="s">
        <v>172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157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162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120</v>
      </c>
      <c r="C50" s="30"/>
      <c r="D50" s="30"/>
      <c r="E50" s="30"/>
      <c r="F50" s="30"/>
      <c r="G50" s="30"/>
      <c r="H50" s="30"/>
      <c r="I50" s="30"/>
      <c r="J50" s="56">
        <f>SUM(J51:J56)</f>
        <v>500</v>
      </c>
      <c r="K50" s="30"/>
    </row>
    <row r="51" spans="1:11" ht="14.4" x14ac:dyDescent="0.3">
      <c r="A51" s="53">
        <v>1</v>
      </c>
      <c r="B51" s="57" t="s">
        <v>209</v>
      </c>
      <c r="C51" s="31"/>
      <c r="D51" s="60">
        <v>1</v>
      </c>
      <c r="E51" s="31" t="s">
        <v>107</v>
      </c>
      <c r="F51" s="59">
        <v>500</v>
      </c>
      <c r="G51" s="31"/>
      <c r="H51" s="31"/>
      <c r="I51" s="31"/>
      <c r="J51" s="50">
        <f>D51*F51</f>
        <v>500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157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162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3D82E465-8BFC-4A91-BB5E-4F50EE07B2B4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C8B7A-F513-427C-8F2E-61AFDCE15E29}">
  <sheetPr>
    <tabColor rgb="FF92D050"/>
  </sheetPr>
  <dimension ref="A1:M56"/>
  <sheetViews>
    <sheetView zoomScale="90" zoomScaleNormal="90" workbookViewId="0">
      <selection activeCell="D44" sqref="D44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2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2" t="s">
        <v>147</v>
      </c>
      <c r="J1" s="253">
        <f>J4+J15+J22+J29+J36+J43+J50</f>
        <v>18225.72</v>
      </c>
      <c r="K1" t="s">
        <v>96</v>
      </c>
    </row>
    <row r="2" spans="1:13" ht="18" x14ac:dyDescent="0.3">
      <c r="B2" s="146" t="str">
        <f>'Bid Summary'!F13</f>
        <v xml:space="preserve">Removal and Disposal of Existing Marker Posts and Cathodic Protection Test Stations 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148</v>
      </c>
      <c r="C3" s="49" t="s">
        <v>149</v>
      </c>
      <c r="D3" s="49" t="s">
        <v>8</v>
      </c>
      <c r="E3" s="49" t="s">
        <v>150</v>
      </c>
      <c r="F3" s="49" t="s">
        <v>151</v>
      </c>
      <c r="G3" s="49" t="s">
        <v>152</v>
      </c>
      <c r="H3" s="49" t="s">
        <v>175</v>
      </c>
      <c r="I3" s="49" t="s">
        <v>153</v>
      </c>
      <c r="J3" s="49" t="s">
        <v>94</v>
      </c>
      <c r="K3" s="49" t="s">
        <v>154</v>
      </c>
      <c r="L3" s="29"/>
      <c r="M3" s="29"/>
    </row>
    <row r="4" spans="1:13" ht="14.4" x14ac:dyDescent="0.3">
      <c r="A4" s="188"/>
      <c r="B4" s="52" t="s">
        <v>109</v>
      </c>
      <c r="C4" s="30"/>
      <c r="D4" s="30"/>
      <c r="E4" s="30"/>
      <c r="F4" s="30"/>
      <c r="G4" s="30"/>
      <c r="H4" s="30"/>
      <c r="I4" s="30"/>
      <c r="J4" s="56">
        <f>SUM(J5:J14)</f>
        <v>10185.720000000001</v>
      </c>
      <c r="K4" s="30"/>
      <c r="L4" s="29"/>
      <c r="M4" s="29"/>
    </row>
    <row r="5" spans="1:13" ht="14.4" x14ac:dyDescent="0.3">
      <c r="A5" s="53">
        <v>1</v>
      </c>
      <c r="B5" s="255" t="str">
        <f>'Prevailing Wage'!C14</f>
        <v>Labor Lead</v>
      </c>
      <c r="C5" s="31"/>
      <c r="D5" s="60">
        <v>24</v>
      </c>
      <c r="E5" s="31" t="s">
        <v>118</v>
      </c>
      <c r="F5" s="256">
        <f>'Prevailing Wage'!D14</f>
        <v>74.69</v>
      </c>
      <c r="G5" s="31"/>
      <c r="H5" s="31"/>
      <c r="I5" s="31"/>
      <c r="J5" s="50">
        <f>D5*F5</f>
        <v>1792.56</v>
      </c>
      <c r="K5" s="31" t="s">
        <v>158</v>
      </c>
      <c r="L5" s="29"/>
      <c r="M5" s="29"/>
    </row>
    <row r="6" spans="1:13" ht="14.4" x14ac:dyDescent="0.3">
      <c r="A6" s="53">
        <v>2</v>
      </c>
      <c r="B6" s="255" t="str">
        <f>'Prevailing Wage'!C15</f>
        <v>Laborer</v>
      </c>
      <c r="C6" s="31"/>
      <c r="D6" s="225">
        <f>D5*'Bid Schedule'!$N$3</f>
        <v>72</v>
      </c>
      <c r="E6" s="31" t="s">
        <v>118</v>
      </c>
      <c r="F6" s="256">
        <f>'Prevailing Wage'!D15</f>
        <v>71.69</v>
      </c>
      <c r="G6" s="31"/>
      <c r="H6" s="31"/>
      <c r="I6" s="31"/>
      <c r="J6" s="50">
        <f t="shared" ref="J6:J12" si="0">D6*F6</f>
        <v>5161.68</v>
      </c>
      <c r="K6" s="225" t="s">
        <v>159</v>
      </c>
      <c r="L6" s="29"/>
      <c r="M6" s="29"/>
    </row>
    <row r="7" spans="1:13" ht="14.4" x14ac:dyDescent="0.3">
      <c r="A7" s="53">
        <v>3</v>
      </c>
      <c r="B7" s="255" t="str">
        <f>'Prevailing Wage'!C16</f>
        <v>Operator</v>
      </c>
      <c r="C7" s="31"/>
      <c r="D7" s="60">
        <v>24</v>
      </c>
      <c r="E7" s="31" t="s">
        <v>118</v>
      </c>
      <c r="F7" s="256">
        <f>'Prevailing Wage'!D16</f>
        <v>96.29</v>
      </c>
      <c r="G7" s="31"/>
      <c r="H7" s="31"/>
      <c r="I7" s="31"/>
      <c r="J7" s="50">
        <f t="shared" si="0"/>
        <v>2310.96</v>
      </c>
      <c r="K7" s="31"/>
      <c r="L7" s="29"/>
      <c r="M7" s="29"/>
    </row>
    <row r="8" spans="1:13" ht="14.4" x14ac:dyDescent="0.3">
      <c r="A8" s="53">
        <v>4</v>
      </c>
      <c r="B8" s="255" t="str">
        <f>'Prevailing Wage'!C17</f>
        <v>Driver</v>
      </c>
      <c r="C8" s="31"/>
      <c r="D8" s="60">
        <v>12</v>
      </c>
      <c r="E8" s="31" t="s">
        <v>118</v>
      </c>
      <c r="F8" s="256">
        <f>'Prevailing Wage'!D17</f>
        <v>76.709999999999994</v>
      </c>
      <c r="G8" s="31"/>
      <c r="H8" s="31"/>
      <c r="I8" s="31"/>
      <c r="J8" s="50">
        <f t="shared" si="0"/>
        <v>920.52</v>
      </c>
      <c r="K8" s="31"/>
      <c r="L8" s="29"/>
      <c r="M8" s="29"/>
    </row>
    <row r="9" spans="1:13" ht="14.4" x14ac:dyDescent="0.3">
      <c r="A9" s="53">
        <v>5</v>
      </c>
      <c r="B9" s="255" t="str">
        <f>'Prevailing Wage'!C18</f>
        <v>Landscaper</v>
      </c>
      <c r="C9" s="31"/>
      <c r="D9" s="60"/>
      <c r="E9" s="31" t="s">
        <v>118</v>
      </c>
      <c r="F9" s="256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5" t="str">
        <f>'Prevailing Wage'!C19</f>
        <v>Pipefitter</v>
      </c>
      <c r="C10" s="31"/>
      <c r="D10" s="60"/>
      <c r="E10" s="31" t="s">
        <v>118</v>
      </c>
      <c r="F10" s="256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5" t="str">
        <f>'Prevailing Wage'!C20</f>
        <v>Etc</v>
      </c>
      <c r="C11" s="31"/>
      <c r="D11" s="60"/>
      <c r="E11" s="31" t="s">
        <v>118</v>
      </c>
      <c r="F11" s="256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5" t="str">
        <f>'Prevailing Wage'!C21</f>
        <v>Etc</v>
      </c>
      <c r="C12" s="31"/>
      <c r="D12" s="60"/>
      <c r="E12" s="31" t="s">
        <v>118</v>
      </c>
      <c r="F12" s="256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157</v>
      </c>
      <c r="B13" s="58"/>
      <c r="C13" s="31"/>
      <c r="D13" s="60"/>
      <c r="E13" s="31" t="s">
        <v>118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112</v>
      </c>
      <c r="C15" s="30"/>
      <c r="D15" s="30"/>
      <c r="E15" s="30"/>
      <c r="F15" s="30"/>
      <c r="G15" s="30"/>
      <c r="H15" s="30"/>
      <c r="I15" s="30"/>
      <c r="J15" s="56">
        <f>SUM(J16:J21)</f>
        <v>500</v>
      </c>
      <c r="K15" s="30"/>
      <c r="L15" s="29"/>
      <c r="M15" s="29"/>
    </row>
    <row r="16" spans="1:13" ht="14.4" x14ac:dyDescent="0.3">
      <c r="A16" s="53">
        <v>1</v>
      </c>
      <c r="B16" s="57" t="s">
        <v>208</v>
      </c>
      <c r="C16" s="31"/>
      <c r="D16" s="60">
        <v>1</v>
      </c>
      <c r="E16" s="31" t="s">
        <v>160</v>
      </c>
      <c r="F16" s="59">
        <v>500</v>
      </c>
      <c r="G16" s="31"/>
      <c r="H16" s="31"/>
      <c r="I16" s="31"/>
      <c r="J16" s="50">
        <f>D16*F16</f>
        <v>500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157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162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116</v>
      </c>
      <c r="C22" s="30"/>
      <c r="D22" s="30"/>
      <c r="E22" s="30"/>
      <c r="F22" s="30"/>
      <c r="G22" s="30"/>
      <c r="H22" s="30"/>
      <c r="I22" s="30"/>
      <c r="J22" s="56">
        <f>SUM(J23:J28)</f>
        <v>2880</v>
      </c>
      <c r="K22" s="30"/>
    </row>
    <row r="23" spans="1:13" ht="14.4" x14ac:dyDescent="0.3">
      <c r="A23" s="53">
        <v>1</v>
      </c>
      <c r="B23" s="57" t="s">
        <v>210</v>
      </c>
      <c r="C23" s="31"/>
      <c r="D23" s="60">
        <v>24</v>
      </c>
      <c r="E23" s="31" t="s">
        <v>118</v>
      </c>
      <c r="F23" s="59">
        <v>60</v>
      </c>
      <c r="G23" s="31"/>
      <c r="H23" s="31"/>
      <c r="I23" s="31"/>
      <c r="J23" s="50">
        <f>D23*F23</f>
        <v>1440</v>
      </c>
      <c r="K23" s="31"/>
    </row>
    <row r="24" spans="1:13" ht="14.4" x14ac:dyDescent="0.3">
      <c r="A24" s="53">
        <v>2</v>
      </c>
      <c r="B24" s="58" t="s">
        <v>211</v>
      </c>
      <c r="C24" s="31"/>
      <c r="D24" s="60">
        <v>12</v>
      </c>
      <c r="E24" s="31" t="s">
        <v>118</v>
      </c>
      <c r="F24" s="59">
        <v>120</v>
      </c>
      <c r="G24" s="31"/>
      <c r="H24" s="31"/>
      <c r="I24" s="31"/>
      <c r="J24" s="50">
        <f t="shared" ref="J24:J28" si="3">D24*F24</f>
        <v>1440</v>
      </c>
      <c r="K24" s="239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157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162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136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157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162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121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166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39" t="s">
        <v>168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157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162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123</v>
      </c>
      <c r="C43" s="30"/>
      <c r="D43" s="30"/>
      <c r="E43" s="30"/>
      <c r="F43" s="30"/>
      <c r="G43" s="30"/>
      <c r="H43" s="30"/>
      <c r="I43" s="30"/>
      <c r="J43" s="56">
        <f>SUM(J44:J49)</f>
        <v>2160</v>
      </c>
      <c r="K43" s="30"/>
    </row>
    <row r="44" spans="1:11" ht="14.4" x14ac:dyDescent="0.3">
      <c r="A44" s="53">
        <v>1</v>
      </c>
      <c r="B44" s="57" t="s">
        <v>170</v>
      </c>
      <c r="C44" s="31"/>
      <c r="D44" s="60">
        <f>15*D7</f>
        <v>360</v>
      </c>
      <c r="E44" s="31" t="s">
        <v>212</v>
      </c>
      <c r="F44" s="59">
        <v>6</v>
      </c>
      <c r="G44" s="31"/>
      <c r="H44" s="31"/>
      <c r="I44" s="31"/>
      <c r="J44" s="50">
        <f>D44*F44</f>
        <v>2160</v>
      </c>
      <c r="K44" s="31"/>
    </row>
    <row r="45" spans="1:11" ht="14.4" x14ac:dyDescent="0.3">
      <c r="A45" s="53">
        <v>2</v>
      </c>
      <c r="B45" s="58" t="s">
        <v>172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157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162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120</v>
      </c>
      <c r="C50" s="30"/>
      <c r="D50" s="30"/>
      <c r="E50" s="30"/>
      <c r="F50" s="30"/>
      <c r="G50" s="30"/>
      <c r="H50" s="30"/>
      <c r="I50" s="30"/>
      <c r="J50" s="56">
        <f>SUM(J51:J56)</f>
        <v>2500</v>
      </c>
      <c r="K50" s="30"/>
    </row>
    <row r="51" spans="1:11" ht="14.4" x14ac:dyDescent="0.3">
      <c r="A51" s="53">
        <v>1</v>
      </c>
      <c r="B51" s="57" t="s">
        <v>204</v>
      </c>
      <c r="C51" s="31"/>
      <c r="D51" s="60">
        <v>1</v>
      </c>
      <c r="E51" s="31" t="s">
        <v>160</v>
      </c>
      <c r="F51" s="59">
        <v>2500</v>
      </c>
      <c r="G51" s="31"/>
      <c r="H51" s="31"/>
      <c r="I51" s="31"/>
      <c r="J51" s="50">
        <f>D51*F51</f>
        <v>2500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157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162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2DD621E1-2ED5-4143-B441-B884ADA2A4F1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70BFD-10B4-4E31-8256-DF6342F7143D}">
  <sheetPr>
    <tabColor rgb="FF92D050"/>
  </sheetPr>
  <dimension ref="A1:P60"/>
  <sheetViews>
    <sheetView zoomScale="90" zoomScaleNormal="90" workbookViewId="0">
      <selection activeCell="F18" sqref="F18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3.44140625" bestFit="1" customWidth="1"/>
    <col min="7" max="7" width="13.77734375" customWidth="1"/>
    <col min="8" max="8" width="11.77734375" bestFit="1" customWidth="1"/>
    <col min="9" max="9" width="13.6640625" customWidth="1"/>
    <col min="10" max="10" width="15" bestFit="1" customWidth="1"/>
    <col min="11" max="11" width="72.6640625" customWidth="1"/>
    <col min="12" max="12" width="10.109375" bestFit="1" customWidth="1"/>
    <col min="13" max="13" width="10.33203125" bestFit="1" customWidth="1"/>
    <col min="14" max="14" width="13.109375" bestFit="1" customWidth="1"/>
  </cols>
  <sheetData>
    <row r="1" spans="1:16" ht="14.4" x14ac:dyDescent="0.3">
      <c r="I1" s="252" t="s">
        <v>147</v>
      </c>
      <c r="J1" s="253">
        <f>J4+J15+J25+J32+J39+J47+J54</f>
        <v>668072.80000000005</v>
      </c>
      <c r="K1" t="s">
        <v>96</v>
      </c>
    </row>
    <row r="2" spans="1:16" ht="18" x14ac:dyDescent="0.3">
      <c r="B2" s="146" t="str">
        <f>'Bid Summary'!F14</f>
        <v>30-inch PVC Pipe (Lateral DE-1-A)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6" ht="14.4" x14ac:dyDescent="0.3">
      <c r="A3" s="53"/>
      <c r="B3" s="51" t="s">
        <v>148</v>
      </c>
      <c r="C3" s="49" t="s">
        <v>149</v>
      </c>
      <c r="D3" s="49" t="s">
        <v>8</v>
      </c>
      <c r="E3" s="49" t="s">
        <v>150</v>
      </c>
      <c r="F3" s="49" t="s">
        <v>151</v>
      </c>
      <c r="G3" s="49" t="s">
        <v>152</v>
      </c>
      <c r="H3" s="49" t="s">
        <v>175</v>
      </c>
      <c r="I3" s="49" t="s">
        <v>153</v>
      </c>
      <c r="J3" s="49" t="s">
        <v>94</v>
      </c>
      <c r="K3" s="49" t="s">
        <v>154</v>
      </c>
      <c r="L3" s="29"/>
      <c r="M3" s="29"/>
    </row>
    <row r="4" spans="1:16" ht="14.4" x14ac:dyDescent="0.3">
      <c r="A4" s="188"/>
      <c r="B4" s="52" t="s">
        <v>109</v>
      </c>
      <c r="C4" s="30"/>
      <c r="D4" s="30"/>
      <c r="E4" s="30"/>
      <c r="F4" s="30"/>
      <c r="G4" s="30"/>
      <c r="H4" s="30"/>
      <c r="I4" s="30"/>
      <c r="J4" s="56">
        <f>SUM(J5:J14)</f>
        <v>89448</v>
      </c>
      <c r="K4" s="30"/>
      <c r="L4" s="29"/>
      <c r="M4" s="29"/>
      <c r="N4" s="267"/>
    </row>
    <row r="5" spans="1:16" ht="14.4" x14ac:dyDescent="0.3">
      <c r="A5" s="53">
        <v>1</v>
      </c>
      <c r="B5" s="255" t="str">
        <f>'Prevailing Wage'!C14</f>
        <v>Labor Lead</v>
      </c>
      <c r="C5" s="31"/>
      <c r="D5" s="60">
        <v>160</v>
      </c>
      <c r="E5" s="31" t="s">
        <v>118</v>
      </c>
      <c r="F5" s="256">
        <f>'Prevailing Wage'!D14</f>
        <v>74.69</v>
      </c>
      <c r="G5" s="31"/>
      <c r="H5" s="31"/>
      <c r="I5" s="31"/>
      <c r="J5" s="50">
        <f>D5*F5</f>
        <v>11950.4</v>
      </c>
      <c r="K5" s="31" t="s">
        <v>158</v>
      </c>
      <c r="L5" s="29"/>
      <c r="M5" s="29"/>
      <c r="N5" s="267"/>
    </row>
    <row r="6" spans="1:16" ht="14.4" x14ac:dyDescent="0.3">
      <c r="A6" s="53">
        <v>2</v>
      </c>
      <c r="B6" s="255" t="str">
        <f>'Prevailing Wage'!C15</f>
        <v>Laborer</v>
      </c>
      <c r="C6" s="31"/>
      <c r="D6" s="225">
        <f>D5*'Bid Schedule'!$N$3</f>
        <v>480</v>
      </c>
      <c r="E6" s="31" t="s">
        <v>118</v>
      </c>
      <c r="F6" s="256">
        <f>'Prevailing Wage'!D15</f>
        <v>71.69</v>
      </c>
      <c r="G6" s="31"/>
      <c r="H6" s="31"/>
      <c r="I6" s="31"/>
      <c r="J6" s="50">
        <f t="shared" ref="J6:J12" si="0">D6*F6</f>
        <v>34411.199999999997</v>
      </c>
      <c r="K6" s="225" t="s">
        <v>159</v>
      </c>
      <c r="L6" s="29"/>
      <c r="M6" s="268"/>
    </row>
    <row r="7" spans="1:16" ht="14.4" x14ac:dyDescent="0.3">
      <c r="A7" s="53">
        <v>3</v>
      </c>
      <c r="B7" s="255" t="str">
        <f>'Prevailing Wage'!C16</f>
        <v>Operator</v>
      </c>
      <c r="C7" s="31"/>
      <c r="D7" s="60">
        <f>2*D5</f>
        <v>320</v>
      </c>
      <c r="E7" s="31" t="s">
        <v>118</v>
      </c>
      <c r="F7" s="256">
        <f>'Prevailing Wage'!D16</f>
        <v>96.29</v>
      </c>
      <c r="G7" s="31"/>
      <c r="H7" s="31"/>
      <c r="I7" s="31"/>
      <c r="J7" s="50">
        <f t="shared" si="0"/>
        <v>30812.800000000003</v>
      </c>
      <c r="K7" s="31"/>
      <c r="L7" s="29"/>
      <c r="M7" s="29"/>
      <c r="P7" s="267"/>
    </row>
    <row r="8" spans="1:16" ht="14.4" x14ac:dyDescent="0.3">
      <c r="A8" s="53">
        <v>4</v>
      </c>
      <c r="B8" s="255" t="str">
        <f>'Prevailing Wage'!C17</f>
        <v>Driver</v>
      </c>
      <c r="C8" s="31"/>
      <c r="D8" s="60">
        <f>D5</f>
        <v>160</v>
      </c>
      <c r="E8" s="31" t="s">
        <v>118</v>
      </c>
      <c r="F8" s="256">
        <f>'Prevailing Wage'!D17</f>
        <v>76.709999999999994</v>
      </c>
      <c r="G8" s="31"/>
      <c r="H8" s="31"/>
      <c r="I8" s="31"/>
      <c r="J8" s="50">
        <f t="shared" si="0"/>
        <v>12273.599999999999</v>
      </c>
      <c r="K8" s="31"/>
      <c r="L8" s="29"/>
      <c r="M8" s="268"/>
    </row>
    <row r="9" spans="1:16" ht="14.4" x14ac:dyDescent="0.3">
      <c r="A9" s="53">
        <v>5</v>
      </c>
      <c r="B9" s="255" t="str">
        <f>'Prevailing Wage'!C18</f>
        <v>Landscaper</v>
      </c>
      <c r="C9" s="31"/>
      <c r="D9" s="60"/>
      <c r="E9" s="31" t="s">
        <v>118</v>
      </c>
      <c r="F9" s="256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6" ht="14.4" x14ac:dyDescent="0.3">
      <c r="A10" s="53">
        <v>6</v>
      </c>
      <c r="B10" s="255" t="str">
        <f>'Prevailing Wage'!C19</f>
        <v>Pipefitter</v>
      </c>
      <c r="C10" s="31"/>
      <c r="D10" s="60"/>
      <c r="E10" s="31" t="s">
        <v>118</v>
      </c>
      <c r="F10" s="256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68"/>
    </row>
    <row r="11" spans="1:16" ht="14.4" x14ac:dyDescent="0.3">
      <c r="A11" s="53">
        <v>7</v>
      </c>
      <c r="B11" s="255" t="str">
        <f>'Prevailing Wage'!C20</f>
        <v>Etc</v>
      </c>
      <c r="C11" s="31"/>
      <c r="D11" s="60"/>
      <c r="E11" s="31" t="s">
        <v>118</v>
      </c>
      <c r="F11" s="256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6" ht="14.4" x14ac:dyDescent="0.3">
      <c r="A12" s="53">
        <v>8</v>
      </c>
      <c r="B12" s="255" t="str">
        <f>'Prevailing Wage'!C21</f>
        <v>Etc</v>
      </c>
      <c r="C12" s="31"/>
      <c r="D12" s="60"/>
      <c r="E12" s="31" t="s">
        <v>118</v>
      </c>
      <c r="F12" s="256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6" ht="14.4" x14ac:dyDescent="0.3">
      <c r="A13" s="53" t="s">
        <v>157</v>
      </c>
      <c r="B13" s="58"/>
      <c r="C13" s="31"/>
      <c r="D13" s="60"/>
      <c r="E13" s="31" t="s">
        <v>118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6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6" ht="14.4" x14ac:dyDescent="0.3">
      <c r="A15" s="188"/>
      <c r="B15" s="52" t="s">
        <v>112</v>
      </c>
      <c r="C15" s="30"/>
      <c r="D15" s="30"/>
      <c r="E15" s="30"/>
      <c r="F15" s="30"/>
      <c r="G15" s="30"/>
      <c r="H15" s="30"/>
      <c r="I15" s="30"/>
      <c r="J15" s="56">
        <f>SUM(J16:J24)</f>
        <v>483969.80000000005</v>
      </c>
      <c r="K15" s="30"/>
      <c r="L15" s="29"/>
      <c r="M15" s="29"/>
    </row>
    <row r="16" spans="1:16" ht="14.4" x14ac:dyDescent="0.3">
      <c r="A16" s="53">
        <v>1</v>
      </c>
      <c r="B16" s="57" t="s">
        <v>213</v>
      </c>
      <c r="C16" s="31"/>
      <c r="D16" s="60">
        <v>4105</v>
      </c>
      <c r="E16" s="31" t="s">
        <v>196</v>
      </c>
      <c r="F16" s="59">
        <v>105.76</v>
      </c>
      <c r="G16" s="31"/>
      <c r="H16" s="31"/>
      <c r="I16" s="31"/>
      <c r="J16" s="50">
        <f>D16*F16</f>
        <v>434144.80000000005</v>
      </c>
      <c r="K16" s="31"/>
      <c r="L16" s="29"/>
      <c r="M16" s="29"/>
    </row>
    <row r="17" spans="1:13" ht="14.4" x14ac:dyDescent="0.3">
      <c r="A17" s="53">
        <v>2</v>
      </c>
      <c r="B17" s="58" t="s">
        <v>214</v>
      </c>
      <c r="C17" s="31"/>
      <c r="D17" s="60">
        <v>10</v>
      </c>
      <c r="E17" s="31" t="s">
        <v>160</v>
      </c>
      <c r="F17" s="59">
        <v>3982.5</v>
      </c>
      <c r="G17" s="31"/>
      <c r="H17" s="31"/>
      <c r="I17" s="31"/>
      <c r="J17" s="50">
        <f t="shared" ref="J17:J24" si="2">D17*F17</f>
        <v>39825</v>
      </c>
      <c r="K17" s="31"/>
      <c r="L17" s="29"/>
      <c r="M17" s="29"/>
    </row>
    <row r="18" spans="1:13" ht="14.4" x14ac:dyDescent="0.3">
      <c r="A18" s="53">
        <v>3</v>
      </c>
      <c r="B18" s="58" t="s">
        <v>186</v>
      </c>
      <c r="C18" s="31"/>
      <c r="D18" s="60">
        <v>10</v>
      </c>
      <c r="E18" s="31" t="s">
        <v>160</v>
      </c>
      <c r="F18" s="59">
        <v>1000</v>
      </c>
      <c r="G18" s="31"/>
      <c r="H18" s="31"/>
      <c r="I18" s="31"/>
      <c r="J18" s="50">
        <f t="shared" si="2"/>
        <v>10000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>
        <v>5</v>
      </c>
      <c r="B20" s="58"/>
      <c r="C20" s="31"/>
      <c r="D20" s="60"/>
      <c r="E20" s="31"/>
      <c r="F20" s="59"/>
      <c r="G20" s="31"/>
      <c r="H20" s="31"/>
      <c r="I20" s="31"/>
      <c r="J20" s="50"/>
      <c r="K20" s="31"/>
      <c r="L20" s="29"/>
      <c r="M20" s="29"/>
    </row>
    <row r="21" spans="1:13" ht="14.4" x14ac:dyDescent="0.3">
      <c r="A21" s="53">
        <v>6</v>
      </c>
      <c r="B21" s="58"/>
      <c r="C21" s="31"/>
      <c r="D21" s="60"/>
      <c r="E21" s="31"/>
      <c r="F21" s="59"/>
      <c r="G21" s="31"/>
      <c r="H21" s="31"/>
      <c r="I21" s="31"/>
      <c r="J21" s="50"/>
      <c r="K21" s="31"/>
      <c r="L21" s="29"/>
      <c r="M21" s="29"/>
    </row>
    <row r="22" spans="1:13" ht="14.4" x14ac:dyDescent="0.3">
      <c r="A22" s="53">
        <v>7</v>
      </c>
      <c r="B22" s="58"/>
      <c r="C22" s="31"/>
      <c r="D22" s="60"/>
      <c r="E22" s="31"/>
      <c r="F22" s="59"/>
      <c r="G22" s="31"/>
      <c r="H22" s="31"/>
      <c r="I22" s="31"/>
      <c r="J22" s="50"/>
      <c r="K22" s="31"/>
      <c r="L22" s="29"/>
      <c r="M22" s="29"/>
    </row>
    <row r="23" spans="1:13" ht="14.4" x14ac:dyDescent="0.3">
      <c r="A23" s="53" t="s">
        <v>157</v>
      </c>
      <c r="B23" s="58"/>
      <c r="C23" s="31"/>
      <c r="D23" s="60"/>
      <c r="E23" s="31"/>
      <c r="F23" s="59"/>
      <c r="G23" s="31"/>
      <c r="H23" s="31"/>
      <c r="I23" s="31"/>
      <c r="J23" s="50">
        <f t="shared" si="2"/>
        <v>0</v>
      </c>
      <c r="K23" s="31"/>
      <c r="L23" s="29"/>
      <c r="M23" s="29"/>
    </row>
    <row r="24" spans="1:13" ht="14.4" hidden="1" customHeight="1" x14ac:dyDescent="0.3">
      <c r="A24" s="54" t="s">
        <v>162</v>
      </c>
      <c r="B24" s="58"/>
      <c r="C24" s="31"/>
      <c r="D24" s="60"/>
      <c r="E24" s="31"/>
      <c r="F24" s="59"/>
      <c r="G24" s="31"/>
      <c r="H24" s="31"/>
      <c r="I24" s="31"/>
      <c r="J24" s="50">
        <f t="shared" si="2"/>
        <v>0</v>
      </c>
      <c r="K24" s="31"/>
      <c r="L24" s="29"/>
      <c r="M24" s="29"/>
    </row>
    <row r="25" spans="1:13" ht="14.4" x14ac:dyDescent="0.3">
      <c r="A25" s="188"/>
      <c r="B25" s="52" t="s">
        <v>116</v>
      </c>
      <c r="C25" s="30"/>
      <c r="D25" s="30"/>
      <c r="E25" s="30"/>
      <c r="F25" s="30"/>
      <c r="G25" s="30"/>
      <c r="H25" s="30"/>
      <c r="I25" s="30"/>
      <c r="J25" s="56">
        <f>SUM(J26:J31)</f>
        <v>0</v>
      </c>
      <c r="K25" s="30"/>
    </row>
    <row r="26" spans="1:13" ht="14.4" x14ac:dyDescent="0.3">
      <c r="A26" s="53">
        <v>1</v>
      </c>
      <c r="B26" s="57"/>
      <c r="C26" s="31"/>
      <c r="D26" s="60"/>
      <c r="E26" s="31"/>
      <c r="F26" s="59"/>
      <c r="G26" s="31"/>
      <c r="H26" s="31"/>
      <c r="I26" s="31"/>
      <c r="J26" s="50">
        <f>D26*F26</f>
        <v>0</v>
      </c>
      <c r="K26" s="31"/>
    </row>
    <row r="27" spans="1:13" ht="14.4" x14ac:dyDescent="0.3">
      <c r="A27" s="53">
        <v>2</v>
      </c>
      <c r="B27" s="58"/>
      <c r="C27" s="31"/>
      <c r="D27" s="60"/>
      <c r="E27" s="31"/>
      <c r="F27" s="59"/>
      <c r="G27" s="31"/>
      <c r="H27" s="31"/>
      <c r="I27" s="31"/>
      <c r="J27" s="50">
        <f t="shared" ref="J27:J31" si="3">D27*F27</f>
        <v>0</v>
      </c>
      <c r="K27" s="239"/>
    </row>
    <row r="28" spans="1:13" ht="14.4" x14ac:dyDescent="0.3">
      <c r="A28" s="53">
        <v>3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53">
        <v>4</v>
      </c>
      <c r="B29" s="58"/>
      <c r="C29" s="31"/>
      <c r="D29" s="60"/>
      <c r="E29" s="31"/>
      <c r="F29" s="59"/>
      <c r="G29" s="31"/>
      <c r="H29" s="31"/>
      <c r="I29" s="31"/>
      <c r="J29" s="50">
        <f t="shared" si="3"/>
        <v>0</v>
      </c>
      <c r="K29" s="31"/>
    </row>
    <row r="30" spans="1:13" ht="14.4" x14ac:dyDescent="0.3">
      <c r="A30" s="53" t="s">
        <v>157</v>
      </c>
      <c r="B30" s="58"/>
      <c r="C30" s="31"/>
      <c r="D30" s="60"/>
      <c r="E30" s="31"/>
      <c r="F30" s="59"/>
      <c r="G30" s="31"/>
      <c r="H30" s="31"/>
      <c r="I30" s="31"/>
      <c r="J30" s="50">
        <f t="shared" si="3"/>
        <v>0</v>
      </c>
      <c r="K30" s="31"/>
    </row>
    <row r="31" spans="1:13" ht="14.4" hidden="1" x14ac:dyDescent="0.3">
      <c r="A31" s="54" t="s">
        <v>162</v>
      </c>
      <c r="B31" s="58"/>
      <c r="C31" s="31"/>
      <c r="D31" s="60"/>
      <c r="E31" s="31"/>
      <c r="F31" s="59"/>
      <c r="G31" s="31"/>
      <c r="H31" s="31"/>
      <c r="I31" s="31"/>
      <c r="J31" s="50">
        <f t="shared" si="3"/>
        <v>0</v>
      </c>
      <c r="K31" s="31"/>
    </row>
    <row r="32" spans="1:13" ht="14.4" x14ac:dyDescent="0.3">
      <c r="A32" s="188"/>
      <c r="B32" s="52" t="s">
        <v>136</v>
      </c>
      <c r="C32" s="30"/>
      <c r="D32" s="30"/>
      <c r="E32" s="30"/>
      <c r="F32" s="30"/>
      <c r="G32" s="30"/>
      <c r="H32" s="30"/>
      <c r="I32" s="30"/>
      <c r="J32" s="56">
        <f>SUM(J33:J38)</f>
        <v>0</v>
      </c>
      <c r="K32" s="30"/>
    </row>
    <row r="33" spans="1:11" ht="14.4" x14ac:dyDescent="0.3">
      <c r="A33" s="53">
        <v>1</v>
      </c>
      <c r="B33" s="57"/>
      <c r="C33" s="31"/>
      <c r="D33" s="60"/>
      <c r="E33" s="31"/>
      <c r="F33" s="59"/>
      <c r="G33" s="31"/>
      <c r="H33" s="31"/>
      <c r="I33" s="31"/>
      <c r="J33" s="50">
        <f>D33*F33</f>
        <v>0</v>
      </c>
      <c r="K33" s="31"/>
    </row>
    <row r="34" spans="1:11" ht="14.4" x14ac:dyDescent="0.3">
      <c r="A34" s="53">
        <v>2</v>
      </c>
      <c r="B34" s="58"/>
      <c r="C34" s="31"/>
      <c r="D34" s="60"/>
      <c r="E34" s="31"/>
      <c r="F34" s="59"/>
      <c r="G34" s="31"/>
      <c r="H34" s="31"/>
      <c r="I34" s="31"/>
      <c r="J34" s="50">
        <f t="shared" ref="J34:J38" si="4">D34*F34</f>
        <v>0</v>
      </c>
      <c r="K34" s="31"/>
    </row>
    <row r="35" spans="1:11" ht="14.4" x14ac:dyDescent="0.3">
      <c r="A35" s="53">
        <v>3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53">
        <v>4</v>
      </c>
      <c r="B36" s="58"/>
      <c r="C36" s="31"/>
      <c r="D36" s="60"/>
      <c r="E36" s="31"/>
      <c r="F36" s="59"/>
      <c r="G36" s="31"/>
      <c r="H36" s="31"/>
      <c r="I36" s="31"/>
      <c r="J36" s="50">
        <f t="shared" si="4"/>
        <v>0</v>
      </c>
      <c r="K36" s="31"/>
    </row>
    <row r="37" spans="1:11" ht="14.4" x14ac:dyDescent="0.3">
      <c r="A37" s="53" t="s">
        <v>157</v>
      </c>
      <c r="B37" s="58"/>
      <c r="C37" s="31"/>
      <c r="D37" s="60"/>
      <c r="E37" s="31"/>
      <c r="F37" s="59"/>
      <c r="G37" s="31"/>
      <c r="H37" s="31"/>
      <c r="I37" s="31"/>
      <c r="J37" s="50">
        <f t="shared" si="4"/>
        <v>0</v>
      </c>
      <c r="K37" s="31"/>
    </row>
    <row r="38" spans="1:11" ht="14.4" hidden="1" x14ac:dyDescent="0.3">
      <c r="A38" s="54" t="s">
        <v>162</v>
      </c>
      <c r="B38" s="58"/>
      <c r="C38" s="31"/>
      <c r="D38" s="60"/>
      <c r="E38" s="31"/>
      <c r="F38" s="59"/>
      <c r="G38" s="31"/>
      <c r="H38" s="31"/>
      <c r="I38" s="31"/>
      <c r="J38" s="50">
        <f t="shared" si="4"/>
        <v>0</v>
      </c>
      <c r="K38" s="31"/>
    </row>
    <row r="39" spans="1:11" ht="14.4" x14ac:dyDescent="0.3">
      <c r="A39" s="188"/>
      <c r="B39" s="52" t="s">
        <v>121</v>
      </c>
      <c r="C39" s="30"/>
      <c r="D39" s="30"/>
      <c r="E39" s="30"/>
      <c r="F39" s="30"/>
      <c r="G39" s="30"/>
      <c r="H39" s="30"/>
      <c r="I39" s="30"/>
      <c r="J39" s="56">
        <f>SUM(J40:J46)</f>
        <v>46655</v>
      </c>
      <c r="K39" s="30"/>
    </row>
    <row r="40" spans="1:11" ht="14.4" x14ac:dyDescent="0.3">
      <c r="A40" s="53">
        <v>1</v>
      </c>
      <c r="B40" s="57" t="s">
        <v>215</v>
      </c>
      <c r="C40" s="31"/>
      <c r="D40" s="60">
        <v>1</v>
      </c>
      <c r="E40" s="31" t="s">
        <v>165</v>
      </c>
      <c r="F40" s="59">
        <v>13100</v>
      </c>
      <c r="G40" s="31"/>
      <c r="H40" s="31"/>
      <c r="I40" s="31"/>
      <c r="J40" s="50">
        <f>D40*F40</f>
        <v>13100</v>
      </c>
      <c r="K40" s="31" t="s">
        <v>166</v>
      </c>
    </row>
    <row r="41" spans="1:11" ht="14.4" x14ac:dyDescent="0.3">
      <c r="A41" s="53">
        <v>2</v>
      </c>
      <c r="B41" s="57" t="s">
        <v>216</v>
      </c>
      <c r="C41" s="31"/>
      <c r="D41" s="60">
        <v>1</v>
      </c>
      <c r="E41" s="31" t="s">
        <v>165</v>
      </c>
      <c r="F41" s="59">
        <v>6055</v>
      </c>
      <c r="G41" s="31"/>
      <c r="H41" s="31"/>
      <c r="I41" s="31"/>
      <c r="J41" s="50">
        <f t="shared" ref="J41:J44" si="5">D41*F41</f>
        <v>6055</v>
      </c>
      <c r="K41" s="239" t="s">
        <v>168</v>
      </c>
    </row>
    <row r="42" spans="1:11" ht="14.4" x14ac:dyDescent="0.3">
      <c r="A42" s="53">
        <v>3</v>
      </c>
      <c r="B42" s="58" t="s">
        <v>167</v>
      </c>
      <c r="C42" s="31"/>
      <c r="D42" s="60">
        <v>1</v>
      </c>
      <c r="E42" s="31" t="s">
        <v>165</v>
      </c>
      <c r="F42" s="59">
        <v>4345</v>
      </c>
      <c r="G42" s="31"/>
      <c r="H42" s="31"/>
      <c r="I42" s="31"/>
      <c r="J42" s="50">
        <f t="shared" si="5"/>
        <v>4345</v>
      </c>
      <c r="K42" s="31"/>
    </row>
    <row r="43" spans="1:11" ht="14.4" x14ac:dyDescent="0.3">
      <c r="A43" s="53">
        <v>4</v>
      </c>
      <c r="B43" s="58" t="s">
        <v>169</v>
      </c>
      <c r="C43" s="31"/>
      <c r="D43" s="270">
        <v>4</v>
      </c>
      <c r="E43" s="31" t="s">
        <v>165</v>
      </c>
      <c r="F43" s="59">
        <v>605</v>
      </c>
      <c r="G43" s="31"/>
      <c r="H43" s="31"/>
      <c r="I43" s="31"/>
      <c r="J43" s="50">
        <f t="shared" si="5"/>
        <v>2420</v>
      </c>
      <c r="K43" s="31"/>
    </row>
    <row r="44" spans="1:11" ht="14.4" x14ac:dyDescent="0.3">
      <c r="A44" s="53"/>
      <c r="B44" s="58" t="s">
        <v>217</v>
      </c>
      <c r="C44" s="31"/>
      <c r="D44" s="270">
        <v>0.5</v>
      </c>
      <c r="E44" s="31" t="s">
        <v>114</v>
      </c>
      <c r="F44" s="59">
        <v>35000</v>
      </c>
      <c r="G44" s="31"/>
      <c r="H44" s="31"/>
      <c r="I44" s="31"/>
      <c r="J44" s="50">
        <f t="shared" si="5"/>
        <v>17500</v>
      </c>
      <c r="K44" s="31"/>
    </row>
    <row r="45" spans="1:11" ht="14.4" x14ac:dyDescent="0.3">
      <c r="A45" s="53" t="s">
        <v>157</v>
      </c>
      <c r="B45" s="58" t="s">
        <v>218</v>
      </c>
      <c r="C45" s="31"/>
      <c r="D45" s="60">
        <v>1</v>
      </c>
      <c r="E45" s="31" t="s">
        <v>165</v>
      </c>
      <c r="F45" s="59">
        <v>3235</v>
      </c>
      <c r="G45" s="31"/>
      <c r="H45" s="31"/>
      <c r="I45" s="31"/>
      <c r="J45" s="50">
        <f t="shared" ref="J45:J46" si="6">D45*F45</f>
        <v>3235</v>
      </c>
      <c r="K45" s="31"/>
    </row>
    <row r="46" spans="1:11" ht="14.4" hidden="1" x14ac:dyDescent="0.3">
      <c r="A46" s="54" t="s">
        <v>162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188"/>
      <c r="B47" s="52" t="s">
        <v>123</v>
      </c>
      <c r="C47" s="30"/>
      <c r="D47" s="30"/>
      <c r="E47" s="30"/>
      <c r="F47" s="30"/>
      <c r="G47" s="30"/>
      <c r="H47" s="30"/>
      <c r="I47" s="30"/>
      <c r="J47" s="56">
        <f>SUM(J48:J53)</f>
        <v>48000</v>
      </c>
      <c r="K47" s="30"/>
    </row>
    <row r="48" spans="1:11" ht="14.4" x14ac:dyDescent="0.3">
      <c r="A48" s="53">
        <v>1</v>
      </c>
      <c r="B48" s="57" t="s">
        <v>170</v>
      </c>
      <c r="C48" s="31"/>
      <c r="D48" s="60">
        <f>D7*25</f>
        <v>8000</v>
      </c>
      <c r="E48" s="31" t="s">
        <v>171</v>
      </c>
      <c r="F48" s="59">
        <v>6</v>
      </c>
      <c r="G48" s="31"/>
      <c r="H48" s="31"/>
      <c r="I48" s="31"/>
      <c r="J48" s="50">
        <f>D48*F48</f>
        <v>48000</v>
      </c>
      <c r="K48" s="31"/>
    </row>
    <row r="49" spans="1:11" ht="14.4" x14ac:dyDescent="0.3">
      <c r="A49" s="53">
        <v>2</v>
      </c>
      <c r="B49" s="58" t="s">
        <v>172</v>
      </c>
      <c r="C49" s="31"/>
      <c r="D49" s="60"/>
      <c r="E49" s="31"/>
      <c r="F49" s="59"/>
      <c r="G49" s="31"/>
      <c r="H49" s="31"/>
      <c r="I49" s="31"/>
      <c r="J49" s="50">
        <f t="shared" ref="J49:J53" si="7">D49*F49</f>
        <v>0</v>
      </c>
      <c r="K49" s="31"/>
    </row>
    <row r="50" spans="1:11" ht="14.4" x14ac:dyDescent="0.3">
      <c r="A50" s="53">
        <v>3</v>
      </c>
      <c r="B50" s="58"/>
      <c r="C50" s="31"/>
      <c r="D50" s="60"/>
      <c r="E50" s="31"/>
      <c r="F50" s="59"/>
      <c r="G50" s="31"/>
      <c r="H50" s="31"/>
      <c r="I50" s="31"/>
      <c r="J50" s="50">
        <f t="shared" si="7"/>
        <v>0</v>
      </c>
      <c r="K50" s="31"/>
    </row>
    <row r="51" spans="1:11" ht="14.4" x14ac:dyDescent="0.3">
      <c r="A51" s="53">
        <v>4</v>
      </c>
      <c r="B51" s="58"/>
      <c r="C51" s="31"/>
      <c r="D51" s="60"/>
      <c r="E51" s="31"/>
      <c r="F51" s="59"/>
      <c r="G51" s="31"/>
      <c r="H51" s="31"/>
      <c r="I51" s="31"/>
      <c r="J51" s="50">
        <f t="shared" si="7"/>
        <v>0</v>
      </c>
      <c r="K51" s="31"/>
    </row>
    <row r="52" spans="1:11" ht="14.4" x14ac:dyDescent="0.3">
      <c r="A52" s="53" t="s">
        <v>157</v>
      </c>
      <c r="B52" s="58"/>
      <c r="C52" s="31"/>
      <c r="D52" s="60"/>
      <c r="E52" s="31"/>
      <c r="F52" s="59"/>
      <c r="G52" s="31"/>
      <c r="H52" s="31"/>
      <c r="I52" s="31"/>
      <c r="J52" s="50">
        <f t="shared" si="7"/>
        <v>0</v>
      </c>
      <c r="K52" s="31"/>
    </row>
    <row r="53" spans="1:11" ht="14.4" hidden="1" x14ac:dyDescent="0.3">
      <c r="A53" s="54" t="s">
        <v>162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188"/>
      <c r="B54" s="52" t="s">
        <v>120</v>
      </c>
      <c r="C54" s="30"/>
      <c r="D54" s="30"/>
      <c r="E54" s="30"/>
      <c r="F54" s="30"/>
      <c r="G54" s="30"/>
      <c r="H54" s="30"/>
      <c r="I54" s="30"/>
      <c r="J54" s="56">
        <f>SUM(J55:J60)</f>
        <v>0</v>
      </c>
      <c r="K54" s="30"/>
    </row>
    <row r="55" spans="1:11" ht="14.4" x14ac:dyDescent="0.3">
      <c r="A55" s="53">
        <v>1</v>
      </c>
      <c r="B55" s="57"/>
      <c r="C55" s="31"/>
      <c r="D55" s="60"/>
      <c r="E55" s="31"/>
      <c r="F55" s="59"/>
      <c r="G55" s="31"/>
      <c r="H55" s="31"/>
      <c r="I55" s="31"/>
      <c r="J55" s="50">
        <f>D55*F55</f>
        <v>0</v>
      </c>
      <c r="K55" s="31"/>
    </row>
    <row r="56" spans="1:11" ht="14.4" x14ac:dyDescent="0.3">
      <c r="A56" s="53">
        <v>2</v>
      </c>
      <c r="B56" s="58"/>
      <c r="C56" s="31"/>
      <c r="D56" s="60"/>
      <c r="E56" s="31"/>
      <c r="F56" s="59"/>
      <c r="G56" s="31"/>
      <c r="H56" s="31"/>
      <c r="I56" s="31"/>
      <c r="J56" s="50">
        <f t="shared" ref="J56:J60" si="8">D56*F56</f>
        <v>0</v>
      </c>
      <c r="K56" s="31"/>
    </row>
    <row r="57" spans="1:11" ht="14.4" x14ac:dyDescent="0.3">
      <c r="A57" s="53">
        <v>3</v>
      </c>
      <c r="B57" s="58"/>
      <c r="C57" s="31"/>
      <c r="D57" s="60"/>
      <c r="E57" s="31"/>
      <c r="F57" s="59"/>
      <c r="G57" s="31"/>
      <c r="H57" s="31"/>
      <c r="I57" s="31"/>
      <c r="J57" s="50">
        <f t="shared" si="8"/>
        <v>0</v>
      </c>
      <c r="K57" s="31"/>
    </row>
    <row r="58" spans="1:11" ht="14.4" x14ac:dyDescent="0.3">
      <c r="A58" s="53">
        <v>4</v>
      </c>
      <c r="B58" s="58"/>
      <c r="C58" s="31"/>
      <c r="D58" s="60"/>
      <c r="E58" s="31"/>
      <c r="F58" s="59"/>
      <c r="G58" s="31"/>
      <c r="H58" s="31"/>
      <c r="I58" s="31"/>
      <c r="J58" s="50">
        <f t="shared" si="8"/>
        <v>0</v>
      </c>
      <c r="K58" s="31"/>
    </row>
    <row r="59" spans="1:11" ht="14.4" x14ac:dyDescent="0.3">
      <c r="A59" s="53" t="s">
        <v>157</v>
      </c>
      <c r="B59" s="58"/>
      <c r="C59" s="31"/>
      <c r="D59" s="60"/>
      <c r="E59" s="31"/>
      <c r="F59" s="59"/>
      <c r="G59" s="31"/>
      <c r="H59" s="31"/>
      <c r="I59" s="31"/>
      <c r="J59" s="50">
        <f t="shared" si="8"/>
        <v>0</v>
      </c>
      <c r="K59" s="31"/>
    </row>
    <row r="60" spans="1:11" ht="14.4" hidden="1" x14ac:dyDescent="0.3">
      <c r="A60" s="54" t="s">
        <v>162</v>
      </c>
      <c r="B60" s="58"/>
      <c r="C60" s="31"/>
      <c r="D60" s="60"/>
      <c r="E60" s="31"/>
      <c r="F60" s="59"/>
      <c r="G60" s="31"/>
      <c r="H60" s="31"/>
      <c r="I60" s="31"/>
      <c r="J60" s="50">
        <f t="shared" si="8"/>
        <v>0</v>
      </c>
      <c r="K60" s="31"/>
    </row>
  </sheetData>
  <hyperlinks>
    <hyperlink ref="K41" r:id="rId1" xr:uid="{C88ABD72-1B9A-4FEC-B728-EE883A2060E7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884E0-8253-46BA-A5CE-08030950319D}">
  <sheetPr>
    <tabColor rgb="FF92D050"/>
  </sheetPr>
  <dimension ref="A1:M57"/>
  <sheetViews>
    <sheetView zoomScale="90" zoomScaleNormal="90" workbookViewId="0">
      <selection activeCell="F18" sqref="F18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7" width="13.77734375" customWidth="1"/>
    <col min="8" max="8" width="11.77734375" bestFit="1" customWidth="1"/>
    <col min="9" max="9" width="13.6640625" customWidth="1"/>
    <col min="10" max="10" width="15" bestFit="1" customWidth="1"/>
    <col min="11" max="11" width="72.6640625" customWidth="1"/>
    <col min="12" max="12" width="10.109375" bestFit="1" customWidth="1"/>
    <col min="13" max="13" width="10.33203125" bestFit="1" customWidth="1"/>
  </cols>
  <sheetData>
    <row r="1" spans="1:13" ht="14.4" x14ac:dyDescent="0.3">
      <c r="I1" s="252" t="s">
        <v>147</v>
      </c>
      <c r="J1" s="253">
        <f>J4+J15+J23+J30+J37+J44+J51</f>
        <v>563360.81999999995</v>
      </c>
      <c r="K1" t="s">
        <v>96</v>
      </c>
    </row>
    <row r="2" spans="1:13" ht="18" x14ac:dyDescent="0.3">
      <c r="B2" s="146" t="str">
        <f>'Bid Summary'!F15</f>
        <v>36-inch PVC Pipe (Lateral DE-1)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148</v>
      </c>
      <c r="C3" s="49" t="s">
        <v>149</v>
      </c>
      <c r="D3" s="49" t="s">
        <v>8</v>
      </c>
      <c r="E3" s="49" t="s">
        <v>150</v>
      </c>
      <c r="F3" s="49" t="s">
        <v>151</v>
      </c>
      <c r="G3" s="49" t="s">
        <v>152</v>
      </c>
      <c r="H3" s="49" t="s">
        <v>175</v>
      </c>
      <c r="I3" s="49" t="s">
        <v>153</v>
      </c>
      <c r="J3" s="49" t="s">
        <v>94</v>
      </c>
      <c r="K3" s="49" t="s">
        <v>154</v>
      </c>
      <c r="L3" s="29"/>
      <c r="M3" s="29"/>
    </row>
    <row r="4" spans="1:13" ht="14.4" x14ac:dyDescent="0.3">
      <c r="A4" s="188"/>
      <c r="B4" s="52" t="s">
        <v>109</v>
      </c>
      <c r="C4" s="30"/>
      <c r="D4" s="30"/>
      <c r="E4" s="30"/>
      <c r="F4" s="30"/>
      <c r="G4" s="30"/>
      <c r="H4" s="30"/>
      <c r="I4" s="30"/>
      <c r="J4" s="56">
        <f>SUM(J5:J14)</f>
        <v>62613.599999999999</v>
      </c>
      <c r="K4" s="30"/>
      <c r="L4" s="29"/>
      <c r="M4" s="29"/>
    </row>
    <row r="5" spans="1:13" ht="14.4" x14ac:dyDescent="0.3">
      <c r="A5" s="53">
        <v>1</v>
      </c>
      <c r="B5" s="255" t="str">
        <f>'Prevailing Wage'!C14</f>
        <v>Labor Lead</v>
      </c>
      <c r="C5" s="31"/>
      <c r="D5" s="60">
        <v>112</v>
      </c>
      <c r="E5" s="31" t="s">
        <v>118</v>
      </c>
      <c r="F5" s="256">
        <f>'Prevailing Wage'!D14</f>
        <v>74.69</v>
      </c>
      <c r="G5" s="31"/>
      <c r="H5" s="31"/>
      <c r="I5" s="31"/>
      <c r="J5" s="50">
        <f>D5*F5</f>
        <v>8365.2799999999988</v>
      </c>
      <c r="K5" s="31" t="s">
        <v>158</v>
      </c>
      <c r="L5" s="29"/>
      <c r="M5" s="29"/>
    </row>
    <row r="6" spans="1:13" ht="14.4" x14ac:dyDescent="0.3">
      <c r="A6" s="53">
        <v>2</v>
      </c>
      <c r="B6" s="255" t="str">
        <f>'Prevailing Wage'!C15</f>
        <v>Laborer</v>
      </c>
      <c r="C6" s="31"/>
      <c r="D6" s="225">
        <f>D5*'Bid Schedule'!$N$3</f>
        <v>336</v>
      </c>
      <c r="E6" s="31" t="s">
        <v>118</v>
      </c>
      <c r="F6" s="256">
        <f>'Prevailing Wage'!D15</f>
        <v>71.69</v>
      </c>
      <c r="G6" s="31"/>
      <c r="H6" s="31"/>
      <c r="I6" s="31"/>
      <c r="J6" s="50">
        <f t="shared" ref="J6:J12" si="0">D6*F6</f>
        <v>24087.84</v>
      </c>
      <c r="K6" s="225" t="s">
        <v>159</v>
      </c>
      <c r="L6" s="29"/>
      <c r="M6" s="29"/>
    </row>
    <row r="7" spans="1:13" ht="14.4" x14ac:dyDescent="0.3">
      <c r="A7" s="53">
        <v>3</v>
      </c>
      <c r="B7" s="255" t="str">
        <f>'Prevailing Wage'!C16</f>
        <v>Operator</v>
      </c>
      <c r="C7" s="31"/>
      <c r="D7" s="60">
        <v>224</v>
      </c>
      <c r="E7" s="31" t="s">
        <v>118</v>
      </c>
      <c r="F7" s="256">
        <f>'Prevailing Wage'!D16</f>
        <v>96.29</v>
      </c>
      <c r="G7" s="31"/>
      <c r="H7" s="31"/>
      <c r="I7" s="31"/>
      <c r="J7" s="50">
        <f t="shared" si="0"/>
        <v>21568.960000000003</v>
      </c>
      <c r="K7" s="31"/>
      <c r="L7" s="29"/>
      <c r="M7" s="29"/>
    </row>
    <row r="8" spans="1:13" ht="14.4" x14ac:dyDescent="0.3">
      <c r="A8" s="53">
        <v>4</v>
      </c>
      <c r="B8" s="255" t="str">
        <f>'Prevailing Wage'!C17</f>
        <v>Driver</v>
      </c>
      <c r="C8" s="31"/>
      <c r="D8" s="60">
        <f>D5</f>
        <v>112</v>
      </c>
      <c r="E8" s="31" t="s">
        <v>118</v>
      </c>
      <c r="F8" s="256">
        <f>'Prevailing Wage'!D17</f>
        <v>76.709999999999994</v>
      </c>
      <c r="G8" s="31"/>
      <c r="H8" s="31"/>
      <c r="I8" s="31"/>
      <c r="J8" s="50">
        <f t="shared" si="0"/>
        <v>8591.5199999999986</v>
      </c>
      <c r="K8" s="31"/>
      <c r="L8" s="29"/>
      <c r="M8" s="29"/>
    </row>
    <row r="9" spans="1:13" ht="14.4" x14ac:dyDescent="0.3">
      <c r="A9" s="53">
        <v>5</v>
      </c>
      <c r="B9" s="255" t="str">
        <f>'Prevailing Wage'!C18</f>
        <v>Landscaper</v>
      </c>
      <c r="C9" s="31"/>
      <c r="D9" s="60"/>
      <c r="E9" s="31" t="s">
        <v>118</v>
      </c>
      <c r="F9" s="256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68">
        <f>J1/D16</f>
        <v>217.0947283236994</v>
      </c>
    </row>
    <row r="10" spans="1:13" ht="14.4" x14ac:dyDescent="0.3">
      <c r="A10" s="53">
        <v>6</v>
      </c>
      <c r="B10" s="255" t="str">
        <f>'Prevailing Wage'!C19</f>
        <v>Pipefitter</v>
      </c>
      <c r="C10" s="31"/>
      <c r="D10" s="60"/>
      <c r="E10" s="31" t="s">
        <v>118</v>
      </c>
      <c r="F10" s="256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5" t="str">
        <f>'Prevailing Wage'!C20</f>
        <v>Etc</v>
      </c>
      <c r="C11" s="31"/>
      <c r="D11" s="60"/>
      <c r="E11" s="31" t="s">
        <v>118</v>
      </c>
      <c r="F11" s="256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5" t="str">
        <f>'Prevailing Wage'!C21</f>
        <v>Etc</v>
      </c>
      <c r="C12" s="31"/>
      <c r="D12" s="60"/>
      <c r="E12" s="31" t="s">
        <v>118</v>
      </c>
      <c r="F12" s="256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68"/>
    </row>
    <row r="13" spans="1:13" ht="14.4" x14ac:dyDescent="0.3">
      <c r="A13" s="53" t="s">
        <v>157</v>
      </c>
      <c r="B13" s="58"/>
      <c r="C13" s="31"/>
      <c r="D13" s="60"/>
      <c r="E13" s="31" t="s">
        <v>118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112</v>
      </c>
      <c r="C15" s="30"/>
      <c r="D15" s="30"/>
      <c r="E15" s="30"/>
      <c r="F15" s="30"/>
      <c r="G15" s="30"/>
      <c r="H15" s="30"/>
      <c r="I15" s="30"/>
      <c r="J15" s="56">
        <f>SUM(J16:J22)</f>
        <v>452569.72</v>
      </c>
      <c r="K15" s="30"/>
      <c r="L15" s="29"/>
      <c r="M15" s="29">
        <f>D5/8</f>
        <v>14</v>
      </c>
    </row>
    <row r="16" spans="1:13" ht="14.4" x14ac:dyDescent="0.3">
      <c r="A16" s="53">
        <v>1</v>
      </c>
      <c r="B16" s="57" t="s">
        <v>219</v>
      </c>
      <c r="C16" s="31"/>
      <c r="D16" s="60">
        <v>2595</v>
      </c>
      <c r="E16" s="31" t="s">
        <v>196</v>
      </c>
      <c r="F16" s="59">
        <v>155.04</v>
      </c>
      <c r="G16" s="31"/>
      <c r="H16" s="31"/>
      <c r="I16" s="31"/>
      <c r="J16" s="50">
        <f>D16*F16</f>
        <v>402328.8</v>
      </c>
      <c r="K16" s="31"/>
      <c r="L16" s="29"/>
      <c r="M16" s="29"/>
    </row>
    <row r="17" spans="1:13" ht="14.4" x14ac:dyDescent="0.3">
      <c r="A17" s="53">
        <v>2</v>
      </c>
      <c r="B17" s="58" t="s">
        <v>322</v>
      </c>
      <c r="C17" s="31"/>
      <c r="D17" s="60">
        <v>4</v>
      </c>
      <c r="E17" s="31" t="s">
        <v>160</v>
      </c>
      <c r="F17" s="59">
        <v>5821.75</v>
      </c>
      <c r="G17" s="31"/>
      <c r="H17" s="31"/>
      <c r="I17" s="31"/>
      <c r="J17" s="50">
        <f t="shared" ref="J17:J22" si="2">D17*F17</f>
        <v>23287</v>
      </c>
      <c r="K17" s="31"/>
      <c r="L17" s="29"/>
      <c r="M17" s="29"/>
    </row>
    <row r="18" spans="1:13" ht="14.4" x14ac:dyDescent="0.3">
      <c r="A18" s="53">
        <v>3</v>
      </c>
      <c r="B18" s="58" t="s">
        <v>186</v>
      </c>
      <c r="C18" s="31"/>
      <c r="D18" s="60">
        <v>4</v>
      </c>
      <c r="E18" s="31" t="s">
        <v>160</v>
      </c>
      <c r="F18" s="59">
        <v>1000</v>
      </c>
      <c r="G18" s="31"/>
      <c r="H18" s="31"/>
      <c r="I18" s="31"/>
      <c r="J18" s="50">
        <f t="shared" si="2"/>
        <v>4000</v>
      </c>
      <c r="K18" s="31"/>
      <c r="L18" s="29"/>
      <c r="M18" s="29"/>
    </row>
    <row r="19" spans="1:13" ht="14.4" x14ac:dyDescent="0.3">
      <c r="A19" s="53">
        <v>4</v>
      </c>
      <c r="B19" s="58" t="s">
        <v>323</v>
      </c>
      <c r="C19" s="31"/>
      <c r="D19" s="60">
        <v>8</v>
      </c>
      <c r="E19" s="31"/>
      <c r="F19" s="59">
        <v>2869.24</v>
      </c>
      <c r="G19" s="31"/>
      <c r="H19" s="31"/>
      <c r="I19" s="31"/>
      <c r="J19" s="50">
        <f t="shared" si="2"/>
        <v>22953.919999999998</v>
      </c>
      <c r="K19" s="31"/>
      <c r="L19" s="29"/>
      <c r="M19" s="29"/>
    </row>
    <row r="20" spans="1:13" ht="14.4" x14ac:dyDescent="0.3">
      <c r="A20" s="53">
        <v>5</v>
      </c>
      <c r="B20" s="58"/>
      <c r="C20" s="31"/>
      <c r="D20" s="60"/>
      <c r="E20" s="31"/>
      <c r="F20" s="59"/>
      <c r="G20" s="31"/>
      <c r="H20" s="31"/>
      <c r="I20" s="31"/>
      <c r="J20" s="50"/>
      <c r="K20" s="31"/>
      <c r="L20" s="29"/>
      <c r="M20" s="29"/>
    </row>
    <row r="21" spans="1:13" ht="14.4" x14ac:dyDescent="0.3">
      <c r="A21" s="53" t="s">
        <v>157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hidden="1" customHeight="1" x14ac:dyDescent="0.3">
      <c r="A22" s="54" t="s">
        <v>162</v>
      </c>
      <c r="B22" s="58"/>
      <c r="C22" s="31"/>
      <c r="D22" s="60"/>
      <c r="E22" s="31"/>
      <c r="F22" s="59"/>
      <c r="G22" s="31"/>
      <c r="H22" s="31"/>
      <c r="I22" s="31"/>
      <c r="J22" s="50">
        <f t="shared" si="2"/>
        <v>0</v>
      </c>
      <c r="K22" s="31"/>
      <c r="L22" s="29"/>
      <c r="M22" s="29"/>
    </row>
    <row r="23" spans="1:13" ht="14.4" x14ac:dyDescent="0.3">
      <c r="A23" s="188"/>
      <c r="B23" s="52" t="s">
        <v>116</v>
      </c>
      <c r="C23" s="30"/>
      <c r="D23" s="30"/>
      <c r="E23" s="30"/>
      <c r="F23" s="30"/>
      <c r="G23" s="30"/>
      <c r="H23" s="30"/>
      <c r="I23" s="30"/>
      <c r="J23" s="56">
        <f>SUM(J24:J29)</f>
        <v>0</v>
      </c>
      <c r="K23" s="30"/>
    </row>
    <row r="24" spans="1:13" ht="14.4" x14ac:dyDescent="0.3">
      <c r="A24" s="53">
        <v>1</v>
      </c>
      <c r="B24" s="57"/>
      <c r="C24" s="31"/>
      <c r="D24" s="60"/>
      <c r="E24" s="31"/>
      <c r="F24" s="59"/>
      <c r="G24" s="31"/>
      <c r="H24" s="31"/>
      <c r="I24" s="31"/>
      <c r="J24" s="50">
        <f>D24*F24</f>
        <v>0</v>
      </c>
      <c r="K24" s="31"/>
    </row>
    <row r="25" spans="1:13" ht="14.4" x14ac:dyDescent="0.3">
      <c r="A25" s="53">
        <v>2</v>
      </c>
      <c r="B25" s="58"/>
      <c r="C25" s="31"/>
      <c r="D25" s="60"/>
      <c r="E25" s="31"/>
      <c r="F25" s="59"/>
      <c r="G25" s="31"/>
      <c r="H25" s="31"/>
      <c r="I25" s="31"/>
      <c r="J25" s="50">
        <f t="shared" ref="J25:J29" si="3">D25*F25</f>
        <v>0</v>
      </c>
      <c r="K25" s="239"/>
    </row>
    <row r="26" spans="1:13" ht="14.4" x14ac:dyDescent="0.3">
      <c r="A26" s="53">
        <v>3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>
        <v>4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x14ac:dyDescent="0.3">
      <c r="A28" s="53" t="s">
        <v>157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hidden="1" x14ac:dyDescent="0.3">
      <c r="A29" s="54" t="s">
        <v>162</v>
      </c>
      <c r="B29" s="58"/>
      <c r="C29" s="31"/>
      <c r="D29" s="60"/>
      <c r="E29" s="31"/>
      <c r="F29" s="59"/>
      <c r="G29" s="31"/>
      <c r="H29" s="31"/>
      <c r="I29" s="31"/>
      <c r="J29" s="50">
        <f t="shared" si="3"/>
        <v>0</v>
      </c>
      <c r="K29" s="31"/>
    </row>
    <row r="30" spans="1:13" ht="14.4" x14ac:dyDescent="0.3">
      <c r="A30" s="188"/>
      <c r="B30" s="52" t="s">
        <v>136</v>
      </c>
      <c r="C30" s="30"/>
      <c r="D30" s="30"/>
      <c r="E30" s="30"/>
      <c r="F30" s="30"/>
      <c r="G30" s="30"/>
      <c r="H30" s="30"/>
      <c r="I30" s="30"/>
      <c r="J30" s="56">
        <f>SUM(J31:J36)</f>
        <v>0</v>
      </c>
      <c r="K30" s="30"/>
    </row>
    <row r="31" spans="1:13" ht="14.4" x14ac:dyDescent="0.3">
      <c r="A31" s="53">
        <v>1</v>
      </c>
      <c r="B31" s="57"/>
      <c r="C31" s="31"/>
      <c r="D31" s="60"/>
      <c r="E31" s="31"/>
      <c r="F31" s="59"/>
      <c r="G31" s="31"/>
      <c r="H31" s="31"/>
      <c r="I31" s="31"/>
      <c r="J31" s="50">
        <f>D31*F31</f>
        <v>0</v>
      </c>
      <c r="K31" s="31"/>
    </row>
    <row r="32" spans="1:13" ht="14.4" x14ac:dyDescent="0.3">
      <c r="A32" s="53">
        <v>2</v>
      </c>
      <c r="B32" s="58"/>
      <c r="C32" s="31"/>
      <c r="D32" s="60"/>
      <c r="E32" s="31"/>
      <c r="F32" s="59"/>
      <c r="G32" s="31"/>
      <c r="H32" s="31"/>
      <c r="I32" s="31"/>
      <c r="J32" s="50">
        <f t="shared" ref="J32:J36" si="4">D32*F32</f>
        <v>0</v>
      </c>
      <c r="K32" s="31"/>
    </row>
    <row r="33" spans="1:11" ht="14.4" x14ac:dyDescent="0.3">
      <c r="A33" s="53">
        <v>3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>
        <v>4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x14ac:dyDescent="0.3">
      <c r="A35" s="53" t="s">
        <v>157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hidden="1" x14ac:dyDescent="0.3">
      <c r="A36" s="54" t="s">
        <v>162</v>
      </c>
      <c r="B36" s="58"/>
      <c r="C36" s="31"/>
      <c r="D36" s="60"/>
      <c r="E36" s="31"/>
      <c r="F36" s="59"/>
      <c r="G36" s="31"/>
      <c r="H36" s="31"/>
      <c r="I36" s="31"/>
      <c r="J36" s="50">
        <f t="shared" si="4"/>
        <v>0</v>
      </c>
      <c r="K36" s="31"/>
    </row>
    <row r="37" spans="1:11" ht="14.4" x14ac:dyDescent="0.3">
      <c r="A37" s="188"/>
      <c r="B37" s="52" t="s">
        <v>121</v>
      </c>
      <c r="C37" s="30"/>
      <c r="D37" s="30"/>
      <c r="E37" s="30"/>
      <c r="F37" s="30"/>
      <c r="G37" s="30"/>
      <c r="H37" s="30"/>
      <c r="I37" s="30"/>
      <c r="J37" s="56">
        <f>SUM(J38:J43)</f>
        <v>14577.5</v>
      </c>
      <c r="K37" s="30"/>
    </row>
    <row r="38" spans="1:11" ht="14.4" x14ac:dyDescent="0.3">
      <c r="A38" s="53">
        <v>1</v>
      </c>
      <c r="B38" s="57" t="s">
        <v>215</v>
      </c>
      <c r="C38" s="31"/>
      <c r="D38" s="60">
        <v>0.5</v>
      </c>
      <c r="E38" s="31" t="s">
        <v>165</v>
      </c>
      <c r="F38" s="59">
        <v>13100</v>
      </c>
      <c r="G38" s="31"/>
      <c r="H38" s="31"/>
      <c r="I38" s="31"/>
      <c r="J38" s="50">
        <f>D38*F38</f>
        <v>6550</v>
      </c>
      <c r="K38" s="31" t="s">
        <v>166</v>
      </c>
    </row>
    <row r="39" spans="1:11" ht="14.4" x14ac:dyDescent="0.3">
      <c r="A39" s="53">
        <v>2</v>
      </c>
      <c r="B39" s="57" t="s">
        <v>216</v>
      </c>
      <c r="C39" s="31"/>
      <c r="D39" s="60">
        <v>0.5</v>
      </c>
      <c r="E39" s="31" t="s">
        <v>165</v>
      </c>
      <c r="F39" s="59">
        <v>6055</v>
      </c>
      <c r="G39" s="31"/>
      <c r="H39" s="31"/>
      <c r="I39" s="31"/>
      <c r="J39" s="50">
        <f t="shared" ref="J39:J43" si="5">D39*F39</f>
        <v>3027.5</v>
      </c>
      <c r="K39" s="239" t="s">
        <v>168</v>
      </c>
    </row>
    <row r="40" spans="1:11" ht="14.4" x14ac:dyDescent="0.3">
      <c r="A40" s="53">
        <v>3</v>
      </c>
      <c r="B40" s="58" t="s">
        <v>167</v>
      </c>
      <c r="C40" s="31"/>
      <c r="D40" s="60">
        <v>0.5</v>
      </c>
      <c r="E40" s="31" t="s">
        <v>165</v>
      </c>
      <c r="F40" s="59">
        <v>4345</v>
      </c>
      <c r="G40" s="31"/>
      <c r="H40" s="31"/>
      <c r="I40" s="31"/>
      <c r="J40" s="50">
        <f t="shared" si="5"/>
        <v>2172.5</v>
      </c>
      <c r="K40" s="31"/>
    </row>
    <row r="41" spans="1:11" ht="14.4" x14ac:dyDescent="0.3">
      <c r="A41" s="53">
        <v>4</v>
      </c>
      <c r="B41" s="58" t="s">
        <v>169</v>
      </c>
      <c r="C41" s="31"/>
      <c r="D41" s="270">
        <v>2</v>
      </c>
      <c r="E41" s="31" t="s">
        <v>165</v>
      </c>
      <c r="F41" s="59">
        <v>605</v>
      </c>
      <c r="G41" s="31"/>
      <c r="H41" s="31"/>
      <c r="I41" s="31"/>
      <c r="J41" s="50">
        <f t="shared" si="5"/>
        <v>1210</v>
      </c>
      <c r="K41" s="31"/>
    </row>
    <row r="42" spans="1:11" ht="14.4" x14ac:dyDescent="0.3">
      <c r="A42" s="53" t="s">
        <v>157</v>
      </c>
      <c r="B42" s="58" t="s">
        <v>218</v>
      </c>
      <c r="C42" s="31"/>
      <c r="D42" s="60">
        <v>0.5</v>
      </c>
      <c r="E42" s="31" t="s">
        <v>165</v>
      </c>
      <c r="F42" s="59">
        <v>3235</v>
      </c>
      <c r="G42" s="31"/>
      <c r="H42" s="31"/>
      <c r="I42" s="31"/>
      <c r="J42" s="50">
        <f t="shared" si="5"/>
        <v>1617.5</v>
      </c>
      <c r="K42" s="31"/>
    </row>
    <row r="43" spans="1:11" ht="14.4" hidden="1" x14ac:dyDescent="0.3">
      <c r="A43" s="54" t="s">
        <v>162</v>
      </c>
      <c r="B43" s="58"/>
      <c r="C43" s="31"/>
      <c r="D43" s="60"/>
      <c r="E43" s="31"/>
      <c r="F43" s="59"/>
      <c r="G43" s="31"/>
      <c r="H43" s="31"/>
      <c r="I43" s="31"/>
      <c r="J43" s="50">
        <f t="shared" si="5"/>
        <v>0</v>
      </c>
      <c r="K43" s="31"/>
    </row>
    <row r="44" spans="1:11" ht="14.4" x14ac:dyDescent="0.3">
      <c r="A44" s="188"/>
      <c r="B44" s="52" t="s">
        <v>123</v>
      </c>
      <c r="C44" s="30"/>
      <c r="D44" s="30"/>
      <c r="E44" s="30"/>
      <c r="F44" s="30"/>
      <c r="G44" s="30"/>
      <c r="H44" s="30"/>
      <c r="I44" s="30"/>
      <c r="J44" s="56">
        <f>SUM(J45:J50)</f>
        <v>33600</v>
      </c>
      <c r="K44" s="30"/>
    </row>
    <row r="45" spans="1:11" ht="14.4" x14ac:dyDescent="0.3">
      <c r="A45" s="53">
        <v>1</v>
      </c>
      <c r="B45" s="57" t="s">
        <v>170</v>
      </c>
      <c r="C45" s="31"/>
      <c r="D45" s="60">
        <f>D7*25</f>
        <v>5600</v>
      </c>
      <c r="E45" s="31" t="s">
        <v>171</v>
      </c>
      <c r="F45" s="59">
        <v>6</v>
      </c>
      <c r="G45" s="31"/>
      <c r="H45" s="31"/>
      <c r="I45" s="31"/>
      <c r="J45" s="50">
        <f>D45*F45</f>
        <v>33600</v>
      </c>
      <c r="K45" s="31"/>
    </row>
    <row r="46" spans="1:11" ht="14.4" x14ac:dyDescent="0.3">
      <c r="A46" s="53">
        <v>2</v>
      </c>
      <c r="B46" s="58" t="s">
        <v>172</v>
      </c>
      <c r="C46" s="31"/>
      <c r="D46" s="60"/>
      <c r="E46" s="31"/>
      <c r="F46" s="59"/>
      <c r="G46" s="31"/>
      <c r="H46" s="31"/>
      <c r="I46" s="31"/>
      <c r="J46" s="50">
        <f t="shared" ref="J46:J50" si="6">D46*F46</f>
        <v>0</v>
      </c>
      <c r="K46" s="31"/>
    </row>
    <row r="47" spans="1:11" ht="14.4" x14ac:dyDescent="0.3">
      <c r="A47" s="53">
        <v>3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>
        <v>4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x14ac:dyDescent="0.3">
      <c r="A49" s="53" t="s">
        <v>157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hidden="1" x14ac:dyDescent="0.3">
      <c r="A50" s="54" t="s">
        <v>162</v>
      </c>
      <c r="B50" s="58"/>
      <c r="C50" s="31"/>
      <c r="D50" s="60"/>
      <c r="E50" s="31"/>
      <c r="F50" s="59"/>
      <c r="G50" s="31"/>
      <c r="H50" s="31"/>
      <c r="I50" s="31"/>
      <c r="J50" s="50">
        <f t="shared" si="6"/>
        <v>0</v>
      </c>
      <c r="K50" s="31"/>
    </row>
    <row r="51" spans="1:11" ht="14.4" x14ac:dyDescent="0.3">
      <c r="A51" s="188"/>
      <c r="B51" s="52" t="s">
        <v>120</v>
      </c>
      <c r="C51" s="30"/>
      <c r="D51" s="30"/>
      <c r="E51" s="30"/>
      <c r="F51" s="30"/>
      <c r="G51" s="30"/>
      <c r="H51" s="30"/>
      <c r="I51" s="30"/>
      <c r="J51" s="56">
        <f>SUM(J52:J57)</f>
        <v>0</v>
      </c>
      <c r="K51" s="30"/>
    </row>
    <row r="52" spans="1:11" ht="14.4" x14ac:dyDescent="0.3">
      <c r="A52" s="53">
        <v>1</v>
      </c>
      <c r="B52" s="57"/>
      <c r="C52" s="31"/>
      <c r="D52" s="60"/>
      <c r="E52" s="31"/>
      <c r="F52" s="59"/>
      <c r="G52" s="31"/>
      <c r="H52" s="31"/>
      <c r="I52" s="31"/>
      <c r="J52" s="50">
        <f>D52*F52</f>
        <v>0</v>
      </c>
      <c r="K52" s="31"/>
    </row>
    <row r="53" spans="1:11" ht="14.4" x14ac:dyDescent="0.3">
      <c r="A53" s="53">
        <v>2</v>
      </c>
      <c r="B53" s="58"/>
      <c r="C53" s="31"/>
      <c r="D53" s="60"/>
      <c r="E53" s="31"/>
      <c r="F53" s="59"/>
      <c r="G53" s="31"/>
      <c r="H53" s="31"/>
      <c r="I53" s="31"/>
      <c r="J53" s="50">
        <f t="shared" ref="J53:J57" si="7">D53*F53</f>
        <v>0</v>
      </c>
      <c r="K53" s="31"/>
    </row>
    <row r="54" spans="1:11" ht="14.4" x14ac:dyDescent="0.3">
      <c r="A54" s="53">
        <v>3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>
        <v>4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x14ac:dyDescent="0.3">
      <c r="A56" s="53" t="s">
        <v>157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  <row r="57" spans="1:11" ht="14.4" hidden="1" x14ac:dyDescent="0.3">
      <c r="A57" s="54" t="s">
        <v>162</v>
      </c>
      <c r="B57" s="58"/>
      <c r="C57" s="31"/>
      <c r="D57" s="60"/>
      <c r="E57" s="31"/>
      <c r="F57" s="59"/>
      <c r="G57" s="31"/>
      <c r="H57" s="31"/>
      <c r="I57" s="31"/>
      <c r="J57" s="50">
        <f t="shared" si="7"/>
        <v>0</v>
      </c>
      <c r="K57" s="31"/>
    </row>
  </sheetData>
  <hyperlinks>
    <hyperlink ref="K39" r:id="rId1" xr:uid="{378B3BB0-A95B-405F-8A4F-35F17DC73858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57EAA-AC16-43F7-A8DD-4778C5C1E38B}">
  <sheetPr>
    <tabColor rgb="FF92D050"/>
  </sheetPr>
  <dimension ref="A1:M56"/>
  <sheetViews>
    <sheetView zoomScale="90" zoomScaleNormal="90" workbookViewId="0">
      <selection activeCell="F17" sqref="F17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3.44140625" bestFit="1" customWidth="1"/>
    <col min="7" max="7" width="13.77734375" customWidth="1"/>
    <col min="8" max="8" width="11.77734375" bestFit="1" customWidth="1"/>
    <col min="9" max="9" width="13.6640625" customWidth="1"/>
    <col min="10" max="10" width="16.77734375" bestFit="1" customWidth="1"/>
    <col min="11" max="11" width="72.6640625" customWidth="1"/>
    <col min="12" max="12" width="10.109375" bestFit="1" customWidth="1"/>
  </cols>
  <sheetData>
    <row r="1" spans="1:13" ht="14.4" x14ac:dyDescent="0.3">
      <c r="I1" s="252" t="s">
        <v>147</v>
      </c>
      <c r="J1" s="253">
        <f>J4+J15+J22+J29+J36+J43+J50</f>
        <v>937177</v>
      </c>
      <c r="K1" t="s">
        <v>96</v>
      </c>
    </row>
    <row r="2" spans="1:13" ht="18" x14ac:dyDescent="0.3">
      <c r="B2" s="146" t="str">
        <f>'Bid Summary'!F16</f>
        <v>42-inch Steel Pipe (Lateral DE)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148</v>
      </c>
      <c r="C3" s="49" t="s">
        <v>149</v>
      </c>
      <c r="D3" s="49" t="s">
        <v>8</v>
      </c>
      <c r="E3" s="49" t="s">
        <v>150</v>
      </c>
      <c r="F3" s="49" t="s">
        <v>151</v>
      </c>
      <c r="G3" s="49" t="s">
        <v>152</v>
      </c>
      <c r="H3" s="49" t="s">
        <v>175</v>
      </c>
      <c r="I3" s="49" t="s">
        <v>153</v>
      </c>
      <c r="J3" s="49" t="s">
        <v>94</v>
      </c>
      <c r="K3" s="49" t="s">
        <v>154</v>
      </c>
      <c r="L3" s="29"/>
      <c r="M3" s="29"/>
    </row>
    <row r="4" spans="1:13" ht="14.4" x14ac:dyDescent="0.3">
      <c r="A4" s="188"/>
      <c r="B4" s="52" t="s">
        <v>109</v>
      </c>
      <c r="C4" s="30"/>
      <c r="D4" s="30"/>
      <c r="E4" s="30"/>
      <c r="F4" s="30"/>
      <c r="G4" s="30"/>
      <c r="H4" s="30"/>
      <c r="I4" s="30"/>
      <c r="J4" s="56">
        <f>SUM(J5:J14)</f>
        <v>48422</v>
      </c>
      <c r="K4" s="30"/>
      <c r="L4" s="29"/>
      <c r="M4" s="29"/>
    </row>
    <row r="5" spans="1:13" ht="14.4" x14ac:dyDescent="0.3">
      <c r="A5" s="53">
        <v>1</v>
      </c>
      <c r="B5" s="255" t="str">
        <f>'Prevailing Wage'!C14</f>
        <v>Labor Lead</v>
      </c>
      <c r="C5" s="31"/>
      <c r="D5" s="60">
        <v>80</v>
      </c>
      <c r="E5" s="31" t="s">
        <v>118</v>
      </c>
      <c r="F5" s="256">
        <f>'Prevailing Wage'!D14</f>
        <v>74.69</v>
      </c>
      <c r="G5" s="31"/>
      <c r="H5" s="31"/>
      <c r="I5" s="31"/>
      <c r="J5" s="50">
        <f>D5*F5</f>
        <v>5975.2</v>
      </c>
      <c r="K5" s="31" t="s">
        <v>158</v>
      </c>
      <c r="L5" s="29"/>
      <c r="M5" s="29"/>
    </row>
    <row r="6" spans="1:13" ht="14.4" x14ac:dyDescent="0.3">
      <c r="A6" s="53">
        <v>2</v>
      </c>
      <c r="B6" s="255" t="str">
        <f>'Prevailing Wage'!C15</f>
        <v>Laborer</v>
      </c>
      <c r="C6" s="31"/>
      <c r="D6" s="225">
        <f>D5*'Bid Schedule'!$N$3</f>
        <v>240</v>
      </c>
      <c r="E6" s="31" t="s">
        <v>118</v>
      </c>
      <c r="F6" s="256">
        <f>'Prevailing Wage'!D15</f>
        <v>71.69</v>
      </c>
      <c r="G6" s="31"/>
      <c r="H6" s="31"/>
      <c r="I6" s="31"/>
      <c r="J6" s="50">
        <f t="shared" ref="J6:J12" si="0">D6*F6</f>
        <v>17205.599999999999</v>
      </c>
      <c r="K6" s="225" t="s">
        <v>159</v>
      </c>
      <c r="L6" s="29"/>
      <c r="M6" s="29"/>
    </row>
    <row r="7" spans="1:13" ht="14.4" x14ac:dyDescent="0.3">
      <c r="A7" s="53">
        <v>3</v>
      </c>
      <c r="B7" s="255" t="str">
        <f>'Prevailing Wage'!C16</f>
        <v>Operator</v>
      </c>
      <c r="C7" s="31"/>
      <c r="D7" s="60">
        <v>80</v>
      </c>
      <c r="E7" s="31" t="s">
        <v>118</v>
      </c>
      <c r="F7" s="256">
        <f>'Prevailing Wage'!D16</f>
        <v>96.29</v>
      </c>
      <c r="G7" s="31"/>
      <c r="H7" s="31"/>
      <c r="I7" s="31"/>
      <c r="J7" s="50">
        <f t="shared" si="0"/>
        <v>7703.2000000000007</v>
      </c>
      <c r="K7" s="31"/>
      <c r="L7" s="29"/>
      <c r="M7" s="29"/>
    </row>
    <row r="8" spans="1:13" ht="14.4" x14ac:dyDescent="0.3">
      <c r="A8" s="53">
        <v>4</v>
      </c>
      <c r="B8" s="255" t="str">
        <f>'Prevailing Wage'!C17</f>
        <v>Driver</v>
      </c>
      <c r="C8" s="31"/>
      <c r="D8" s="60"/>
      <c r="E8" s="31" t="s">
        <v>118</v>
      </c>
      <c r="F8" s="256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5" t="str">
        <f>'Prevailing Wage'!C18</f>
        <v>Landscaper</v>
      </c>
      <c r="C9" s="31"/>
      <c r="D9" s="60"/>
      <c r="E9" s="31" t="s">
        <v>118</v>
      </c>
      <c r="F9" s="256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5" t="str">
        <f>'Prevailing Wage'!C19</f>
        <v>Pipefitter</v>
      </c>
      <c r="C10" s="31"/>
      <c r="D10" s="60">
        <v>200</v>
      </c>
      <c r="E10" s="31" t="s">
        <v>118</v>
      </c>
      <c r="F10" s="256">
        <f>'Prevailing Wage'!D19</f>
        <v>87.69</v>
      </c>
      <c r="G10" s="31"/>
      <c r="H10" s="31"/>
      <c r="I10" s="31"/>
      <c r="J10" s="50">
        <f t="shared" si="0"/>
        <v>17538</v>
      </c>
      <c r="K10" s="31"/>
      <c r="L10" s="29"/>
      <c r="M10" s="29"/>
    </row>
    <row r="11" spans="1:13" ht="14.4" x14ac:dyDescent="0.3">
      <c r="A11" s="53">
        <v>7</v>
      </c>
      <c r="B11" s="255" t="str">
        <f>'Prevailing Wage'!C20</f>
        <v>Etc</v>
      </c>
      <c r="C11" s="31"/>
      <c r="D11" s="60"/>
      <c r="E11" s="31" t="s">
        <v>118</v>
      </c>
      <c r="F11" s="256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5" t="str">
        <f>'Prevailing Wage'!C21</f>
        <v>Etc</v>
      </c>
      <c r="C12" s="31"/>
      <c r="D12" s="60"/>
      <c r="E12" s="31" t="s">
        <v>118</v>
      </c>
      <c r="F12" s="256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157</v>
      </c>
      <c r="B13" s="58"/>
      <c r="C13" s="31"/>
      <c r="D13" s="60"/>
      <c r="E13" s="31" t="s">
        <v>118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112</v>
      </c>
      <c r="C15" s="30"/>
      <c r="D15" s="30"/>
      <c r="E15" s="30"/>
      <c r="F15" s="30"/>
      <c r="G15" s="30"/>
      <c r="H15" s="30"/>
      <c r="I15" s="30"/>
      <c r="J15" s="56">
        <f>SUM(J16:J21)</f>
        <v>740652</v>
      </c>
      <c r="K15" s="30"/>
      <c r="L15" s="29"/>
      <c r="M15" s="29"/>
    </row>
    <row r="16" spans="1:13" ht="14.4" x14ac:dyDescent="0.3">
      <c r="A16" s="53">
        <v>1</v>
      </c>
      <c r="B16" s="57" t="s">
        <v>220</v>
      </c>
      <c r="C16" s="31"/>
      <c r="D16" s="60">
        <v>2544</v>
      </c>
      <c r="E16" s="31" t="s">
        <v>196</v>
      </c>
      <c r="F16" s="59">
        <v>283</v>
      </c>
      <c r="G16" s="31"/>
      <c r="H16" s="31"/>
      <c r="I16" s="31"/>
      <c r="J16" s="50">
        <f>D16*F16</f>
        <v>719952</v>
      </c>
      <c r="K16" s="31"/>
      <c r="L16" s="29"/>
      <c r="M16" s="29"/>
    </row>
    <row r="17" spans="1:13" ht="14.4" x14ac:dyDescent="0.3">
      <c r="A17" s="53">
        <v>2</v>
      </c>
      <c r="B17" s="58" t="s">
        <v>221</v>
      </c>
      <c r="C17" s="31"/>
      <c r="D17" s="60">
        <v>128</v>
      </c>
      <c r="E17" s="31" t="s">
        <v>160</v>
      </c>
      <c r="F17" s="59">
        <v>150</v>
      </c>
      <c r="G17" s="31"/>
      <c r="H17" s="31"/>
      <c r="I17" s="31"/>
      <c r="J17" s="50">
        <f t="shared" ref="J17:J21" si="2">D17*F17</f>
        <v>19200</v>
      </c>
      <c r="K17" s="31"/>
      <c r="L17" s="29"/>
      <c r="M17" s="29"/>
    </row>
    <row r="18" spans="1:13" ht="14.4" x14ac:dyDescent="0.3">
      <c r="A18" s="53">
        <v>3</v>
      </c>
      <c r="B18" s="58" t="s">
        <v>222</v>
      </c>
      <c r="C18" s="31"/>
      <c r="D18" s="60">
        <v>1</v>
      </c>
      <c r="E18" s="31" t="s">
        <v>160</v>
      </c>
      <c r="F18" s="59">
        <v>1500</v>
      </c>
      <c r="G18" s="31"/>
      <c r="H18" s="31"/>
      <c r="I18" s="31"/>
      <c r="J18" s="50">
        <f>D18*F18</f>
        <v>1500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157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162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116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9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157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162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136</v>
      </c>
      <c r="C29" s="30"/>
      <c r="D29" s="30"/>
      <c r="E29" s="30"/>
      <c r="F29" s="30"/>
      <c r="G29" s="30"/>
      <c r="H29" s="30"/>
      <c r="I29" s="30"/>
      <c r="J29" s="56">
        <f>SUM(J30:J35)</f>
        <v>132288</v>
      </c>
      <c r="K29" s="30"/>
    </row>
    <row r="30" spans="1:13" ht="14.4" x14ac:dyDescent="0.3">
      <c r="A30" s="53">
        <v>1</v>
      </c>
      <c r="B30" s="58" t="s">
        <v>223</v>
      </c>
      <c r="C30" s="31"/>
      <c r="D30" s="60">
        <v>2544</v>
      </c>
      <c r="E30" s="31" t="s">
        <v>196</v>
      </c>
      <c r="F30" s="59">
        <v>52</v>
      </c>
      <c r="G30" s="31" t="s">
        <v>224</v>
      </c>
      <c r="H30" s="31"/>
      <c r="I30" s="31"/>
      <c r="J30" s="50">
        <f t="shared" ref="J30:J33" si="4">D30*F30</f>
        <v>132288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/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157</v>
      </c>
      <c r="B34" s="58"/>
      <c r="C34" s="31"/>
      <c r="D34" s="60"/>
      <c r="E34" s="31"/>
      <c r="F34" s="59"/>
      <c r="G34" s="31"/>
      <c r="H34" s="31"/>
      <c r="I34" s="31"/>
      <c r="J34" s="50">
        <f t="shared" ref="J34:J35" si="5">D34*F34</f>
        <v>0</v>
      </c>
      <c r="K34" s="31"/>
    </row>
    <row r="35" spans="1:11" ht="14.4" hidden="1" x14ac:dyDescent="0.3">
      <c r="A35" s="54" t="s">
        <v>162</v>
      </c>
      <c r="B35" s="58"/>
      <c r="C35" s="31"/>
      <c r="D35" s="60"/>
      <c r="E35" s="31"/>
      <c r="F35" s="59"/>
      <c r="G35" s="31"/>
      <c r="H35" s="31"/>
      <c r="I35" s="31"/>
      <c r="J35" s="50">
        <f t="shared" si="5"/>
        <v>0</v>
      </c>
      <c r="K35" s="31"/>
    </row>
    <row r="36" spans="1:11" ht="14.4" x14ac:dyDescent="0.3">
      <c r="A36" s="188"/>
      <c r="B36" s="52" t="s">
        <v>121</v>
      </c>
      <c r="C36" s="30"/>
      <c r="D36" s="30"/>
      <c r="E36" s="30"/>
      <c r="F36" s="30"/>
      <c r="G36" s="30"/>
      <c r="H36" s="30"/>
      <c r="I36" s="30"/>
      <c r="J36" s="56">
        <f>SUM(J37:J42)</f>
        <v>10055</v>
      </c>
      <c r="K36" s="30"/>
    </row>
    <row r="37" spans="1:11" ht="14.4" x14ac:dyDescent="0.3">
      <c r="A37" s="53">
        <v>1</v>
      </c>
      <c r="B37" s="57" t="s">
        <v>327</v>
      </c>
      <c r="C37" s="31"/>
      <c r="D37" s="60">
        <v>160</v>
      </c>
      <c r="E37" s="31" t="s">
        <v>118</v>
      </c>
      <c r="F37" s="59">
        <v>25</v>
      </c>
      <c r="G37" s="31"/>
      <c r="H37" s="31"/>
      <c r="I37" s="31"/>
      <c r="J37" s="50">
        <f>D37*F37</f>
        <v>4000</v>
      </c>
      <c r="K37" s="31" t="s">
        <v>166</v>
      </c>
    </row>
    <row r="38" spans="1:11" ht="14.4" x14ac:dyDescent="0.3">
      <c r="A38" s="53">
        <v>2</v>
      </c>
      <c r="B38" s="57" t="s">
        <v>216</v>
      </c>
      <c r="C38" s="31"/>
      <c r="D38" s="60">
        <v>1</v>
      </c>
      <c r="E38" s="31" t="s">
        <v>165</v>
      </c>
      <c r="F38" s="59">
        <v>6055</v>
      </c>
      <c r="G38" s="31"/>
      <c r="H38" s="31"/>
      <c r="I38" s="31"/>
      <c r="J38" s="50">
        <f t="shared" ref="J38:J39" si="6">D38*F38</f>
        <v>6055</v>
      </c>
      <c r="K38" s="239" t="s">
        <v>168</v>
      </c>
    </row>
    <row r="39" spans="1:11" ht="14.4" x14ac:dyDescent="0.3">
      <c r="A39" s="53">
        <v>3</v>
      </c>
      <c r="B39" s="58" t="s">
        <v>167</v>
      </c>
      <c r="C39" s="31"/>
      <c r="D39" s="60">
        <v>0</v>
      </c>
      <c r="E39" s="31" t="s">
        <v>165</v>
      </c>
      <c r="F39" s="59">
        <v>4345</v>
      </c>
      <c r="G39" s="31"/>
      <c r="H39" s="31"/>
      <c r="I39" s="31"/>
      <c r="J39" s="50">
        <f t="shared" si="6"/>
        <v>0</v>
      </c>
      <c r="K39" s="31"/>
    </row>
    <row r="40" spans="1:11" ht="14.4" x14ac:dyDescent="0.3">
      <c r="A40" s="53">
        <v>4</v>
      </c>
      <c r="B40" s="58" t="s">
        <v>169</v>
      </c>
      <c r="C40" s="31"/>
      <c r="D40" s="270">
        <v>0</v>
      </c>
      <c r="E40" s="31" t="s">
        <v>165</v>
      </c>
      <c r="F40" s="59">
        <v>605</v>
      </c>
      <c r="G40" s="31"/>
      <c r="H40" s="31"/>
      <c r="I40" s="31"/>
      <c r="J40" s="50">
        <f t="shared" ref="J40:J42" si="7">D40*F40</f>
        <v>0</v>
      </c>
      <c r="K40" s="31"/>
    </row>
    <row r="41" spans="1:11" ht="14.4" x14ac:dyDescent="0.3">
      <c r="A41" s="53" t="s">
        <v>157</v>
      </c>
      <c r="B41" s="58" t="s">
        <v>225</v>
      </c>
      <c r="C41" s="31"/>
      <c r="D41" s="60">
        <v>0</v>
      </c>
      <c r="E41" s="31" t="s">
        <v>165</v>
      </c>
      <c r="F41" s="59">
        <v>4500</v>
      </c>
      <c r="G41" s="31"/>
      <c r="H41" s="31"/>
      <c r="I41" s="31"/>
      <c r="J41" s="50">
        <f t="shared" si="7"/>
        <v>0</v>
      </c>
      <c r="K41" s="31"/>
    </row>
    <row r="42" spans="1:11" ht="14.4" hidden="1" x14ac:dyDescent="0.3">
      <c r="A42" s="54" t="s">
        <v>162</v>
      </c>
      <c r="B42" s="58"/>
      <c r="C42" s="31"/>
      <c r="D42" s="60"/>
      <c r="E42" s="31"/>
      <c r="F42" s="59"/>
      <c r="G42" s="31"/>
      <c r="H42" s="31"/>
      <c r="I42" s="31"/>
      <c r="J42" s="50">
        <f t="shared" si="7"/>
        <v>0</v>
      </c>
      <c r="K42" s="31"/>
    </row>
    <row r="43" spans="1:11" ht="14.4" x14ac:dyDescent="0.3">
      <c r="A43" s="188"/>
      <c r="B43" s="52" t="s">
        <v>123</v>
      </c>
      <c r="C43" s="30"/>
      <c r="D43" s="30"/>
      <c r="E43" s="30"/>
      <c r="F43" s="30"/>
      <c r="G43" s="30"/>
      <c r="H43" s="30"/>
      <c r="I43" s="30"/>
      <c r="J43" s="56">
        <f>SUM(J44:J49)</f>
        <v>5760</v>
      </c>
      <c r="K43" s="30"/>
    </row>
    <row r="44" spans="1:11" ht="14.4" x14ac:dyDescent="0.3">
      <c r="A44" s="53">
        <v>1</v>
      </c>
      <c r="B44" s="57" t="s">
        <v>170</v>
      </c>
      <c r="C44" s="31"/>
      <c r="D44" s="60">
        <f>D7*12</f>
        <v>960</v>
      </c>
      <c r="E44" s="31" t="s">
        <v>171</v>
      </c>
      <c r="F44" s="59">
        <v>6</v>
      </c>
      <c r="G44" s="31"/>
      <c r="H44" s="31"/>
      <c r="I44" s="31"/>
      <c r="J44" s="50">
        <f t="shared" ref="J44:J49" si="8">D44*F44</f>
        <v>5760</v>
      </c>
      <c r="K44" s="31"/>
    </row>
    <row r="45" spans="1:11" ht="14.4" x14ac:dyDescent="0.3">
      <c r="A45" s="53">
        <v>2</v>
      </c>
      <c r="B45" s="58" t="s">
        <v>172</v>
      </c>
      <c r="C45" s="31"/>
      <c r="D45" s="60"/>
      <c r="E45" s="31"/>
      <c r="F45" s="59"/>
      <c r="G45" s="31"/>
      <c r="H45" s="31"/>
      <c r="I45" s="31"/>
      <c r="J45" s="50">
        <f t="shared" si="8"/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8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8"/>
        <v>0</v>
      </c>
      <c r="K47" s="31"/>
    </row>
    <row r="48" spans="1:11" ht="14.4" x14ac:dyDescent="0.3">
      <c r="A48" s="53" t="s">
        <v>157</v>
      </c>
      <c r="B48" s="58"/>
      <c r="C48" s="31"/>
      <c r="D48" s="60"/>
      <c r="E48" s="31"/>
      <c r="F48" s="59"/>
      <c r="G48" s="31"/>
      <c r="H48" s="31"/>
      <c r="I48" s="31"/>
      <c r="J48" s="50">
        <f t="shared" si="8"/>
        <v>0</v>
      </c>
      <c r="K48" s="31"/>
    </row>
    <row r="49" spans="1:11" ht="14.4" hidden="1" x14ac:dyDescent="0.3">
      <c r="A49" s="54" t="s">
        <v>162</v>
      </c>
      <c r="B49" s="58"/>
      <c r="C49" s="31"/>
      <c r="D49" s="60"/>
      <c r="E49" s="31"/>
      <c r="F49" s="59"/>
      <c r="G49" s="31"/>
      <c r="H49" s="31"/>
      <c r="I49" s="31"/>
      <c r="J49" s="50">
        <f t="shared" si="8"/>
        <v>0</v>
      </c>
      <c r="K49" s="31"/>
    </row>
    <row r="50" spans="1:11" ht="14.4" x14ac:dyDescent="0.3">
      <c r="A50" s="188"/>
      <c r="B50" s="52" t="s">
        <v>120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9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9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9"/>
        <v>0</v>
      </c>
      <c r="K54" s="31"/>
    </row>
    <row r="55" spans="1:11" ht="14.4" x14ac:dyDescent="0.3">
      <c r="A55" s="53" t="s">
        <v>157</v>
      </c>
      <c r="B55" s="58"/>
      <c r="C55" s="31"/>
      <c r="D55" s="60"/>
      <c r="E55" s="31"/>
      <c r="F55" s="59"/>
      <c r="G55" s="31"/>
      <c r="H55" s="31"/>
      <c r="I55" s="31"/>
      <c r="J55" s="50">
        <f t="shared" si="9"/>
        <v>0</v>
      </c>
      <c r="K55" s="31"/>
    </row>
    <row r="56" spans="1:11" ht="14.4" hidden="1" x14ac:dyDescent="0.3">
      <c r="A56" s="54" t="s">
        <v>162</v>
      </c>
      <c r="B56" s="58"/>
      <c r="C56" s="31"/>
      <c r="D56" s="60"/>
      <c r="E56" s="31"/>
      <c r="F56" s="59"/>
      <c r="G56" s="31"/>
      <c r="H56" s="31"/>
      <c r="I56" s="31"/>
      <c r="J56" s="50">
        <f t="shared" si="9"/>
        <v>0</v>
      </c>
      <c r="K56" s="31"/>
    </row>
  </sheetData>
  <hyperlinks>
    <hyperlink ref="K38" r:id="rId1" xr:uid="{37640401-44C7-4AC4-8695-40C9C794A126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30191-5134-4B7C-AA85-5F52FCC66C68}">
  <sheetPr>
    <tabColor rgb="FF92D050"/>
  </sheetPr>
  <dimension ref="A1:M56"/>
  <sheetViews>
    <sheetView zoomScale="90" zoomScaleNormal="90" workbookViewId="0">
      <selection activeCell="F19" sqref="F19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3.44140625" bestFit="1" customWidth="1"/>
    <col min="7" max="7" width="13.77734375" customWidth="1"/>
    <col min="8" max="8" width="11.77734375" bestFit="1" customWidth="1"/>
    <col min="9" max="9" width="13.6640625" customWidth="1"/>
    <col min="10" max="10" width="13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2" t="s">
        <v>147</v>
      </c>
      <c r="J1" s="253">
        <f>J4+J15+J22+J29+J36+J43+J50</f>
        <v>12599.1</v>
      </c>
      <c r="K1" t="s">
        <v>96</v>
      </c>
    </row>
    <row r="2" spans="1:13" ht="18" x14ac:dyDescent="0.3">
      <c r="B2" s="146" t="str">
        <f>'Bid Summary'!F17</f>
        <v>Connection to Turnout 14D (14-inch PVC at STA 17+67.77)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148</v>
      </c>
      <c r="C3" s="49" t="s">
        <v>149</v>
      </c>
      <c r="D3" s="49" t="s">
        <v>8</v>
      </c>
      <c r="E3" s="49" t="s">
        <v>150</v>
      </c>
      <c r="F3" s="49" t="s">
        <v>151</v>
      </c>
      <c r="G3" s="49" t="s">
        <v>152</v>
      </c>
      <c r="H3" s="49" t="s">
        <v>175</v>
      </c>
      <c r="I3" s="49" t="s">
        <v>153</v>
      </c>
      <c r="J3" s="49" t="s">
        <v>94</v>
      </c>
      <c r="K3" s="49" t="s">
        <v>154</v>
      </c>
      <c r="L3" s="29"/>
      <c r="M3" s="29"/>
    </row>
    <row r="4" spans="1:13" ht="14.4" x14ac:dyDescent="0.3">
      <c r="A4" s="188"/>
      <c r="B4" s="52" t="s">
        <v>109</v>
      </c>
      <c r="C4" s="30"/>
      <c r="D4" s="30"/>
      <c r="E4" s="30"/>
      <c r="F4" s="30"/>
      <c r="G4" s="30"/>
      <c r="H4" s="30"/>
      <c r="I4" s="30"/>
      <c r="J4" s="56">
        <f>SUM(J5:J14)</f>
        <v>8807.2000000000007</v>
      </c>
      <c r="K4" s="30"/>
      <c r="L4" s="29"/>
      <c r="M4" s="29"/>
    </row>
    <row r="5" spans="1:13" ht="14.4" x14ac:dyDescent="0.3">
      <c r="A5" s="53">
        <v>1</v>
      </c>
      <c r="B5" s="255" t="str">
        <f>'Prevailing Wage'!C14</f>
        <v>Labor Lead</v>
      </c>
      <c r="C5" s="31"/>
      <c r="D5" s="60">
        <v>16</v>
      </c>
      <c r="E5" s="31" t="s">
        <v>118</v>
      </c>
      <c r="F5" s="256">
        <f>'Prevailing Wage'!D14</f>
        <v>74.69</v>
      </c>
      <c r="G5" s="31"/>
      <c r="H5" s="31"/>
      <c r="I5" s="31"/>
      <c r="J5" s="50">
        <f>D5*F5</f>
        <v>1195.04</v>
      </c>
      <c r="K5" s="31" t="s">
        <v>158</v>
      </c>
      <c r="L5" s="29"/>
      <c r="M5" s="29"/>
    </row>
    <row r="6" spans="1:13" ht="14.4" x14ac:dyDescent="0.3">
      <c r="A6" s="53">
        <v>2</v>
      </c>
      <c r="B6" s="255" t="str">
        <f>'Prevailing Wage'!C15</f>
        <v>Laborer</v>
      </c>
      <c r="C6" s="31"/>
      <c r="D6" s="225">
        <f>D5*'Bid Schedule'!$N$3</f>
        <v>48</v>
      </c>
      <c r="E6" s="31" t="s">
        <v>118</v>
      </c>
      <c r="F6" s="256">
        <f>'Prevailing Wage'!D15</f>
        <v>71.69</v>
      </c>
      <c r="G6" s="31"/>
      <c r="H6" s="31"/>
      <c r="I6" s="31"/>
      <c r="J6" s="50">
        <f t="shared" ref="J6:J12" si="0">D6*F6</f>
        <v>3441.12</v>
      </c>
      <c r="K6" s="225" t="s">
        <v>159</v>
      </c>
      <c r="L6" s="29"/>
      <c r="M6" s="29"/>
    </row>
    <row r="7" spans="1:13" ht="14.4" x14ac:dyDescent="0.3">
      <c r="A7" s="53">
        <v>3</v>
      </c>
      <c r="B7" s="255" t="str">
        <f>'Prevailing Wage'!C16</f>
        <v>Operator</v>
      </c>
      <c r="C7" s="31"/>
      <c r="D7" s="60">
        <v>16</v>
      </c>
      <c r="E7" s="31" t="s">
        <v>118</v>
      </c>
      <c r="F7" s="256">
        <f>'Prevailing Wage'!D16</f>
        <v>96.29</v>
      </c>
      <c r="G7" s="31"/>
      <c r="H7" s="31"/>
      <c r="I7" s="31"/>
      <c r="J7" s="50">
        <f t="shared" si="0"/>
        <v>1540.64</v>
      </c>
      <c r="K7" s="31"/>
      <c r="L7" s="29"/>
      <c r="M7" s="29"/>
    </row>
    <row r="8" spans="1:13" ht="14.4" x14ac:dyDescent="0.3">
      <c r="A8" s="53">
        <v>4</v>
      </c>
      <c r="B8" s="255" t="str">
        <f>'Prevailing Wage'!C17</f>
        <v>Driver</v>
      </c>
      <c r="C8" s="31"/>
      <c r="D8" s="60">
        <v>16</v>
      </c>
      <c r="E8" s="31" t="s">
        <v>118</v>
      </c>
      <c r="F8" s="256">
        <f>'Prevailing Wage'!D17</f>
        <v>76.709999999999994</v>
      </c>
      <c r="G8" s="31"/>
      <c r="H8" s="31"/>
      <c r="I8" s="31"/>
      <c r="J8" s="50">
        <f t="shared" si="0"/>
        <v>1227.3599999999999</v>
      </c>
      <c r="K8" s="31"/>
      <c r="L8" s="29"/>
      <c r="M8" s="29"/>
    </row>
    <row r="9" spans="1:13" ht="14.4" x14ac:dyDescent="0.3">
      <c r="A9" s="53">
        <v>5</v>
      </c>
      <c r="B9" s="255" t="str">
        <f>'Prevailing Wage'!C18</f>
        <v>Landscaper</v>
      </c>
      <c r="C9" s="31"/>
      <c r="D9" s="60"/>
      <c r="E9" s="31" t="s">
        <v>118</v>
      </c>
      <c r="F9" s="256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5" t="str">
        <f>'Prevailing Wage'!C19</f>
        <v>Pipefitter</v>
      </c>
      <c r="C10" s="31"/>
      <c r="D10" s="60">
        <v>16</v>
      </c>
      <c r="E10" s="31" t="s">
        <v>118</v>
      </c>
      <c r="F10" s="256">
        <f>'Prevailing Wage'!D19</f>
        <v>87.69</v>
      </c>
      <c r="G10" s="31"/>
      <c r="H10" s="31"/>
      <c r="I10" s="31"/>
      <c r="J10" s="50">
        <f t="shared" si="0"/>
        <v>1403.04</v>
      </c>
      <c r="K10" s="31"/>
      <c r="L10" s="29"/>
      <c r="M10" s="29"/>
    </row>
    <row r="11" spans="1:13" ht="14.4" x14ac:dyDescent="0.3">
      <c r="A11" s="53">
        <v>7</v>
      </c>
      <c r="B11" s="255" t="str">
        <f>'Prevailing Wage'!C20</f>
        <v>Etc</v>
      </c>
      <c r="C11" s="31"/>
      <c r="D11" s="60"/>
      <c r="E11" s="31" t="s">
        <v>118</v>
      </c>
      <c r="F11" s="256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5" t="str">
        <f>'Prevailing Wage'!C21</f>
        <v>Etc</v>
      </c>
      <c r="C12" s="31"/>
      <c r="D12" s="60"/>
      <c r="E12" s="31" t="s">
        <v>118</v>
      </c>
      <c r="F12" s="256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157</v>
      </c>
      <c r="B13" s="58"/>
      <c r="C13" s="31"/>
      <c r="D13" s="60"/>
      <c r="E13" s="31" t="s">
        <v>118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112</v>
      </c>
      <c r="C15" s="30"/>
      <c r="D15" s="30"/>
      <c r="E15" s="30"/>
      <c r="F15" s="30"/>
      <c r="G15" s="30"/>
      <c r="H15" s="30"/>
      <c r="I15" s="30"/>
      <c r="J15" s="56">
        <f>SUM(J16:J21)</f>
        <v>1191</v>
      </c>
      <c r="K15" s="30"/>
      <c r="L15" s="29"/>
      <c r="M15" s="29"/>
    </row>
    <row r="16" spans="1:13" ht="14.4" x14ac:dyDescent="0.3">
      <c r="A16" s="53">
        <v>1</v>
      </c>
      <c r="B16" s="57" t="s">
        <v>226</v>
      </c>
      <c r="C16" s="31"/>
      <c r="D16" s="60"/>
      <c r="E16" s="31" t="s">
        <v>160</v>
      </c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 t="s">
        <v>227</v>
      </c>
      <c r="C17" s="31"/>
      <c r="D17" s="60">
        <v>20</v>
      </c>
      <c r="E17" s="31" t="s">
        <v>189</v>
      </c>
      <c r="F17" s="59">
        <v>20</v>
      </c>
      <c r="G17" s="31"/>
      <c r="H17" s="31"/>
      <c r="I17" s="31"/>
      <c r="J17" s="50">
        <f t="shared" ref="J17:J21" si="2">D17*F17</f>
        <v>400</v>
      </c>
      <c r="K17" s="31"/>
      <c r="L17" s="29"/>
      <c r="M17" s="29"/>
    </row>
    <row r="18" spans="1:13" ht="14.4" x14ac:dyDescent="0.3">
      <c r="A18" s="53">
        <v>3</v>
      </c>
      <c r="B18" s="58" t="s">
        <v>228</v>
      </c>
      <c r="C18" s="31"/>
      <c r="D18" s="60">
        <v>1</v>
      </c>
      <c r="E18" s="31" t="s">
        <v>160</v>
      </c>
      <c r="F18" s="59">
        <v>791</v>
      </c>
      <c r="G18" s="31"/>
      <c r="H18" s="31"/>
      <c r="I18" s="31"/>
      <c r="J18" s="50">
        <f t="shared" si="2"/>
        <v>791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157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162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116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9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157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162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136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157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162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121</v>
      </c>
      <c r="C36" s="30"/>
      <c r="D36" s="30"/>
      <c r="E36" s="30"/>
      <c r="F36" s="30"/>
      <c r="G36" s="30"/>
      <c r="H36" s="30"/>
      <c r="I36" s="30"/>
      <c r="J36" s="56">
        <f>SUM(J37:J42)</f>
        <v>1160.9000000000001</v>
      </c>
      <c r="K36" s="30"/>
    </row>
    <row r="37" spans="1:11" ht="14.4" x14ac:dyDescent="0.3">
      <c r="A37" s="53">
        <v>1</v>
      </c>
      <c r="B37" s="57" t="s">
        <v>164</v>
      </c>
      <c r="C37" s="31"/>
      <c r="D37" s="60">
        <f>2/20</f>
        <v>0.1</v>
      </c>
      <c r="E37" s="31" t="s">
        <v>165</v>
      </c>
      <c r="F37" s="59">
        <v>6054</v>
      </c>
      <c r="G37" s="31"/>
      <c r="H37" s="31"/>
      <c r="I37" s="31"/>
      <c r="J37" s="50">
        <f>D37*F37</f>
        <v>605.4</v>
      </c>
      <c r="K37" s="31" t="s">
        <v>166</v>
      </c>
    </row>
    <row r="38" spans="1:11" ht="14.4" x14ac:dyDescent="0.3">
      <c r="A38" s="53">
        <v>2</v>
      </c>
      <c r="B38" s="58" t="s">
        <v>167</v>
      </c>
      <c r="C38" s="31"/>
      <c r="D38" s="60">
        <f>2/20</f>
        <v>0.1</v>
      </c>
      <c r="E38" s="31" t="s">
        <v>165</v>
      </c>
      <c r="F38" s="59">
        <v>4345</v>
      </c>
      <c r="G38" s="31"/>
      <c r="H38" s="31"/>
      <c r="I38" s="31"/>
      <c r="J38" s="50">
        <f t="shared" ref="J38:J42" si="5">D38*F38</f>
        <v>434.5</v>
      </c>
      <c r="K38" s="239" t="s">
        <v>168</v>
      </c>
    </row>
    <row r="39" spans="1:11" ht="14.4" x14ac:dyDescent="0.3">
      <c r="A39" s="53">
        <v>3</v>
      </c>
      <c r="B39" s="58" t="s">
        <v>169</v>
      </c>
      <c r="C39" s="31"/>
      <c r="D39" s="269">
        <f>4/20</f>
        <v>0.2</v>
      </c>
      <c r="E39" s="31" t="s">
        <v>165</v>
      </c>
      <c r="F39" s="59">
        <v>605</v>
      </c>
      <c r="G39" s="31"/>
      <c r="H39" s="31"/>
      <c r="I39" s="31"/>
      <c r="J39" s="50">
        <f t="shared" si="5"/>
        <v>121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157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162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123</v>
      </c>
      <c r="C43" s="30"/>
      <c r="D43" s="30"/>
      <c r="E43" s="30"/>
      <c r="F43" s="30"/>
      <c r="G43" s="30"/>
      <c r="H43" s="30"/>
      <c r="I43" s="30"/>
      <c r="J43" s="56">
        <f>SUM(J44:J49)</f>
        <v>1440</v>
      </c>
      <c r="K43" s="30"/>
    </row>
    <row r="44" spans="1:11" ht="14.4" x14ac:dyDescent="0.3">
      <c r="A44" s="53">
        <v>1</v>
      </c>
      <c r="B44" s="57" t="s">
        <v>170</v>
      </c>
      <c r="C44" s="31"/>
      <c r="D44" s="60">
        <f>D7*15</f>
        <v>240</v>
      </c>
      <c r="E44" s="31" t="s">
        <v>171</v>
      </c>
      <c r="F44" s="59">
        <v>6</v>
      </c>
      <c r="G44" s="31"/>
      <c r="H44" s="31"/>
      <c r="I44" s="31"/>
      <c r="J44" s="50">
        <f>D44*F44</f>
        <v>1440</v>
      </c>
      <c r="K44" s="31"/>
    </row>
    <row r="45" spans="1:11" ht="14.4" x14ac:dyDescent="0.3">
      <c r="A45" s="53">
        <v>2</v>
      </c>
      <c r="B45" s="58" t="s">
        <v>172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157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162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120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157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162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F5E9A9DB-FC68-47DC-8A59-1BEECD0ADD0D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53AFB-CE4C-494F-A3AA-F637CF7D219C}">
  <sheetPr>
    <tabColor rgb="FF92D050"/>
  </sheetPr>
  <dimension ref="A1:M56"/>
  <sheetViews>
    <sheetView zoomScale="90" zoomScaleNormal="90" workbookViewId="0">
      <selection activeCell="F19" sqref="F19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3.44140625" bestFit="1" customWidth="1"/>
    <col min="7" max="7" width="13.77734375" customWidth="1"/>
    <col min="8" max="8" width="11.77734375" bestFit="1" customWidth="1"/>
    <col min="9" max="9" width="13.6640625" customWidth="1"/>
    <col min="10" max="10" width="13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2" t="s">
        <v>147</v>
      </c>
      <c r="J1" s="253">
        <f>J4+J15+J22+J29+J36+J43+J50</f>
        <v>10469.219999999999</v>
      </c>
      <c r="K1" t="s">
        <v>96</v>
      </c>
    </row>
    <row r="2" spans="1:13" ht="18" x14ac:dyDescent="0.3">
      <c r="B2" s="146" t="str">
        <f>'Bid Summary'!F18</f>
        <v xml:space="preserve">Connection to Turnout 12D (10-inch Asbestos-Cement at STA 34+14.45) 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148</v>
      </c>
      <c r="C3" s="49" t="s">
        <v>149</v>
      </c>
      <c r="D3" s="49" t="s">
        <v>8</v>
      </c>
      <c r="E3" s="49" t="s">
        <v>150</v>
      </c>
      <c r="F3" s="49" t="s">
        <v>151</v>
      </c>
      <c r="G3" s="49" t="s">
        <v>152</v>
      </c>
      <c r="H3" s="49" t="s">
        <v>175</v>
      </c>
      <c r="I3" s="49" t="s">
        <v>153</v>
      </c>
      <c r="J3" s="49" t="s">
        <v>94</v>
      </c>
      <c r="K3" s="49" t="s">
        <v>154</v>
      </c>
      <c r="L3" s="29"/>
      <c r="M3" s="29"/>
    </row>
    <row r="4" spans="1:13" ht="14.4" x14ac:dyDescent="0.3">
      <c r="A4" s="188"/>
      <c r="B4" s="52" t="s">
        <v>109</v>
      </c>
      <c r="C4" s="30"/>
      <c r="D4" s="30"/>
      <c r="E4" s="30"/>
      <c r="F4" s="30"/>
      <c r="G4" s="30"/>
      <c r="H4" s="30"/>
      <c r="I4" s="30"/>
      <c r="J4" s="56">
        <f>SUM(J5:J14)</f>
        <v>6878.32</v>
      </c>
      <c r="K4" s="30"/>
      <c r="L4" s="29"/>
      <c r="M4" s="29"/>
    </row>
    <row r="5" spans="1:13" ht="14.4" x14ac:dyDescent="0.3">
      <c r="A5" s="53">
        <v>1</v>
      </c>
      <c r="B5" s="255" t="str">
        <f>'Prevailing Wage'!C14</f>
        <v>Labor Lead</v>
      </c>
      <c r="C5" s="31"/>
      <c r="D5" s="60">
        <v>16</v>
      </c>
      <c r="E5" s="31" t="s">
        <v>118</v>
      </c>
      <c r="F5" s="256">
        <f>'Prevailing Wage'!D14</f>
        <v>74.69</v>
      </c>
      <c r="G5" s="31"/>
      <c r="H5" s="31"/>
      <c r="I5" s="31"/>
      <c r="J5" s="50">
        <f>D5*F5</f>
        <v>1195.04</v>
      </c>
      <c r="K5" s="31" t="s">
        <v>158</v>
      </c>
      <c r="L5" s="29"/>
      <c r="M5" s="29"/>
    </row>
    <row r="6" spans="1:13" ht="14.4" x14ac:dyDescent="0.3">
      <c r="A6" s="53">
        <v>2</v>
      </c>
      <c r="B6" s="255" t="str">
        <f>'Prevailing Wage'!C15</f>
        <v>Laborer</v>
      </c>
      <c r="C6" s="31"/>
      <c r="D6" s="225">
        <f>D5*'Bid Schedule'!$N$3</f>
        <v>48</v>
      </c>
      <c r="E6" s="31" t="s">
        <v>118</v>
      </c>
      <c r="F6" s="256">
        <f>'Prevailing Wage'!D15</f>
        <v>71.69</v>
      </c>
      <c r="G6" s="31"/>
      <c r="H6" s="31"/>
      <c r="I6" s="31"/>
      <c r="J6" s="50">
        <f t="shared" ref="J6:J12" si="0">D6*F6</f>
        <v>3441.12</v>
      </c>
      <c r="K6" s="225" t="s">
        <v>159</v>
      </c>
      <c r="L6" s="29"/>
      <c r="M6" s="29"/>
    </row>
    <row r="7" spans="1:13" ht="14.4" x14ac:dyDescent="0.3">
      <c r="A7" s="53">
        <v>3</v>
      </c>
      <c r="B7" s="255" t="str">
        <f>'Prevailing Wage'!C16</f>
        <v>Operator</v>
      </c>
      <c r="C7" s="31"/>
      <c r="D7" s="60">
        <v>16</v>
      </c>
      <c r="E7" s="31" t="s">
        <v>118</v>
      </c>
      <c r="F7" s="256">
        <f>'Prevailing Wage'!D16</f>
        <v>96.29</v>
      </c>
      <c r="G7" s="31"/>
      <c r="H7" s="31"/>
      <c r="I7" s="31"/>
      <c r="J7" s="50">
        <f t="shared" si="0"/>
        <v>1540.64</v>
      </c>
      <c r="K7" s="31"/>
      <c r="L7" s="29"/>
      <c r="M7" s="29"/>
    </row>
    <row r="8" spans="1:13" ht="14.4" x14ac:dyDescent="0.3">
      <c r="A8" s="53">
        <v>4</v>
      </c>
      <c r="B8" s="255" t="str">
        <f>'Prevailing Wage'!C17</f>
        <v>Driver</v>
      </c>
      <c r="C8" s="31"/>
      <c r="D8" s="60"/>
      <c r="E8" s="31" t="s">
        <v>118</v>
      </c>
      <c r="F8" s="256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5" t="str">
        <f>'Prevailing Wage'!C18</f>
        <v>Landscaper</v>
      </c>
      <c r="C9" s="31"/>
      <c r="D9" s="60"/>
      <c r="E9" s="31" t="s">
        <v>118</v>
      </c>
      <c r="F9" s="256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5" t="str">
        <f>'Prevailing Wage'!C19</f>
        <v>Pipefitter</v>
      </c>
      <c r="C10" s="31"/>
      <c r="D10" s="60">
        <v>8</v>
      </c>
      <c r="E10" s="31" t="s">
        <v>118</v>
      </c>
      <c r="F10" s="256">
        <f>'Prevailing Wage'!D19</f>
        <v>87.69</v>
      </c>
      <c r="G10" s="31"/>
      <c r="H10" s="31"/>
      <c r="I10" s="31"/>
      <c r="J10" s="50">
        <f t="shared" si="0"/>
        <v>701.52</v>
      </c>
      <c r="K10" s="31"/>
      <c r="L10" s="29"/>
      <c r="M10" s="29"/>
    </row>
    <row r="11" spans="1:13" ht="14.4" x14ac:dyDescent="0.3">
      <c r="A11" s="53">
        <v>7</v>
      </c>
      <c r="B11" s="255" t="str">
        <f>'Prevailing Wage'!C20</f>
        <v>Etc</v>
      </c>
      <c r="C11" s="31"/>
      <c r="D11" s="60"/>
      <c r="E11" s="31" t="s">
        <v>118</v>
      </c>
      <c r="F11" s="256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5" t="str">
        <f>'Prevailing Wage'!C21</f>
        <v>Etc</v>
      </c>
      <c r="C12" s="31"/>
      <c r="D12" s="60"/>
      <c r="E12" s="31" t="s">
        <v>118</v>
      </c>
      <c r="F12" s="256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157</v>
      </c>
      <c r="B13" s="58"/>
      <c r="C13" s="31"/>
      <c r="D13" s="60"/>
      <c r="E13" s="31" t="s">
        <v>118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112</v>
      </c>
      <c r="C15" s="30"/>
      <c r="D15" s="30"/>
      <c r="E15" s="30"/>
      <c r="F15" s="30"/>
      <c r="G15" s="30"/>
      <c r="H15" s="30"/>
      <c r="I15" s="30"/>
      <c r="J15" s="56">
        <f>SUM(J16:J21)</f>
        <v>990</v>
      </c>
      <c r="K15" s="30"/>
      <c r="L15" s="29"/>
      <c r="M15" s="29"/>
    </row>
    <row r="16" spans="1:13" ht="14.4" x14ac:dyDescent="0.3">
      <c r="A16" s="53">
        <v>1</v>
      </c>
      <c r="B16" s="57" t="s">
        <v>229</v>
      </c>
      <c r="C16" s="31"/>
      <c r="D16" s="60">
        <v>0</v>
      </c>
      <c r="E16" s="31" t="s">
        <v>160</v>
      </c>
      <c r="F16" s="59">
        <v>20000</v>
      </c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 t="s">
        <v>230</v>
      </c>
      <c r="C17" s="31"/>
      <c r="D17" s="60">
        <v>20</v>
      </c>
      <c r="E17" s="31" t="s">
        <v>189</v>
      </c>
      <c r="F17" s="59">
        <v>16</v>
      </c>
      <c r="G17" s="31"/>
      <c r="H17" s="31"/>
      <c r="I17" s="31"/>
      <c r="J17" s="50">
        <f t="shared" ref="J17:J21" si="2">D17*F17</f>
        <v>320</v>
      </c>
      <c r="K17" s="31"/>
      <c r="L17" s="29"/>
      <c r="M17" s="29"/>
    </row>
    <row r="18" spans="1:13" ht="14.4" x14ac:dyDescent="0.3">
      <c r="A18" s="53">
        <v>3</v>
      </c>
      <c r="B18" s="58" t="s">
        <v>231</v>
      </c>
      <c r="C18" s="31"/>
      <c r="D18" s="60">
        <v>1</v>
      </c>
      <c r="E18" s="31" t="s">
        <v>160</v>
      </c>
      <c r="F18" s="59">
        <v>670</v>
      </c>
      <c r="G18" s="31"/>
      <c r="H18" s="31"/>
      <c r="I18" s="31"/>
      <c r="J18" s="50">
        <f t="shared" si="2"/>
        <v>670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157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162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116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9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157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162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136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157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162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121</v>
      </c>
      <c r="C36" s="30"/>
      <c r="D36" s="30"/>
      <c r="E36" s="30"/>
      <c r="F36" s="30"/>
      <c r="G36" s="30"/>
      <c r="H36" s="30"/>
      <c r="I36" s="30"/>
      <c r="J36" s="56">
        <f>SUM(J37:J42)</f>
        <v>1160.9000000000001</v>
      </c>
      <c r="K36" s="30"/>
    </row>
    <row r="37" spans="1:11" ht="14.4" x14ac:dyDescent="0.3">
      <c r="A37" s="53">
        <v>1</v>
      </c>
      <c r="B37" s="57" t="s">
        <v>164</v>
      </c>
      <c r="C37" s="31"/>
      <c r="D37" s="60">
        <f>2/20</f>
        <v>0.1</v>
      </c>
      <c r="E37" s="31" t="s">
        <v>165</v>
      </c>
      <c r="F37" s="59">
        <v>6054</v>
      </c>
      <c r="G37" s="31"/>
      <c r="H37" s="31"/>
      <c r="I37" s="31"/>
      <c r="J37" s="50">
        <f>D37*F37</f>
        <v>605.4</v>
      </c>
      <c r="K37" s="31" t="s">
        <v>166</v>
      </c>
    </row>
    <row r="38" spans="1:11" ht="14.4" x14ac:dyDescent="0.3">
      <c r="A38" s="53">
        <v>2</v>
      </c>
      <c r="B38" s="58" t="s">
        <v>167</v>
      </c>
      <c r="C38" s="31"/>
      <c r="D38" s="60">
        <f>2/20</f>
        <v>0.1</v>
      </c>
      <c r="E38" s="31" t="s">
        <v>165</v>
      </c>
      <c r="F38" s="59">
        <v>4345</v>
      </c>
      <c r="G38" s="31"/>
      <c r="H38" s="31"/>
      <c r="I38" s="31"/>
      <c r="J38" s="50">
        <f t="shared" ref="J38:J42" si="5">D38*F38</f>
        <v>434.5</v>
      </c>
      <c r="K38" s="239" t="s">
        <v>168</v>
      </c>
    </row>
    <row r="39" spans="1:11" ht="14.4" x14ac:dyDescent="0.3">
      <c r="A39" s="53">
        <v>3</v>
      </c>
      <c r="B39" s="58" t="s">
        <v>169</v>
      </c>
      <c r="C39" s="31"/>
      <c r="D39" s="269">
        <f>4/20</f>
        <v>0.2</v>
      </c>
      <c r="E39" s="31" t="s">
        <v>165</v>
      </c>
      <c r="F39" s="59">
        <v>605</v>
      </c>
      <c r="G39" s="31"/>
      <c r="H39" s="31"/>
      <c r="I39" s="31"/>
      <c r="J39" s="50">
        <f t="shared" si="5"/>
        <v>121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157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162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123</v>
      </c>
      <c r="C43" s="30"/>
      <c r="D43" s="30"/>
      <c r="E43" s="30"/>
      <c r="F43" s="30"/>
      <c r="G43" s="30"/>
      <c r="H43" s="30"/>
      <c r="I43" s="30"/>
      <c r="J43" s="56">
        <f>SUM(J44:J49)</f>
        <v>1440</v>
      </c>
      <c r="K43" s="30"/>
    </row>
    <row r="44" spans="1:11" ht="14.4" x14ac:dyDescent="0.3">
      <c r="A44" s="53">
        <v>1</v>
      </c>
      <c r="B44" s="57" t="s">
        <v>170</v>
      </c>
      <c r="C44" s="31"/>
      <c r="D44" s="60">
        <f>D7*15</f>
        <v>240</v>
      </c>
      <c r="E44" s="31" t="s">
        <v>171</v>
      </c>
      <c r="F44" s="59">
        <v>6</v>
      </c>
      <c r="G44" s="31"/>
      <c r="H44" s="31"/>
      <c r="I44" s="31"/>
      <c r="J44" s="50">
        <f>D44*F44</f>
        <v>1440</v>
      </c>
      <c r="K44" s="31"/>
    </row>
    <row r="45" spans="1:11" ht="14.4" x14ac:dyDescent="0.3">
      <c r="A45" s="53">
        <v>2</v>
      </c>
      <c r="B45" s="58" t="s">
        <v>172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157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162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120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157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162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70AB04F0-C43F-4D7C-9332-C7DAFDF04F6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CD2D9-92F5-4024-AB8D-0DFC745D8A21}">
  <dimension ref="B2:H24"/>
  <sheetViews>
    <sheetView workbookViewId="0">
      <selection activeCell="D14" sqref="D14:D19"/>
    </sheetView>
  </sheetViews>
  <sheetFormatPr defaultRowHeight="13.2" x14ac:dyDescent="0.25"/>
  <cols>
    <col min="2" max="2" width="7.77734375" customWidth="1"/>
    <col min="3" max="3" width="13.33203125" customWidth="1"/>
    <col min="4" max="4" width="10.109375" bestFit="1" customWidth="1"/>
    <col min="5" max="5" width="22" customWidth="1"/>
    <col min="6" max="6" width="37.44140625" customWidth="1"/>
    <col min="7" max="7" width="17" customWidth="1"/>
  </cols>
  <sheetData>
    <row r="2" spans="2:8" x14ac:dyDescent="0.25">
      <c r="B2" s="246" t="s">
        <v>65</v>
      </c>
    </row>
    <row r="3" spans="2:8" x14ac:dyDescent="0.25">
      <c r="B3" s="232" t="s">
        <v>66</v>
      </c>
    </row>
    <row r="5" spans="2:8" x14ac:dyDescent="0.25">
      <c r="B5" s="246" t="s">
        <v>67</v>
      </c>
    </row>
    <row r="6" spans="2:8" x14ac:dyDescent="0.25">
      <c r="B6" s="232" t="s">
        <v>68</v>
      </c>
    </row>
    <row r="7" spans="2:8" x14ac:dyDescent="0.25">
      <c r="B7" s="232"/>
      <c r="C7" s="250" t="s">
        <v>69</v>
      </c>
      <c r="H7" s="245"/>
    </row>
    <row r="8" spans="2:8" x14ac:dyDescent="0.25">
      <c r="C8" s="245" t="s">
        <v>70</v>
      </c>
      <c r="H8" s="245"/>
    </row>
    <row r="10" spans="2:8" x14ac:dyDescent="0.25">
      <c r="B10" s="246" t="s">
        <v>71</v>
      </c>
    </row>
    <row r="11" spans="2:8" x14ac:dyDescent="0.25">
      <c r="B11" s="232" t="s">
        <v>72</v>
      </c>
    </row>
    <row r="13" spans="2:8" x14ac:dyDescent="0.25">
      <c r="C13" s="258" t="s">
        <v>73</v>
      </c>
      <c r="D13" s="258" t="s">
        <v>74</v>
      </c>
      <c r="E13" s="258" t="s">
        <v>75</v>
      </c>
      <c r="F13" s="258" t="s">
        <v>76</v>
      </c>
      <c r="G13" s="258" t="s">
        <v>77</v>
      </c>
    </row>
    <row r="14" spans="2:8" x14ac:dyDescent="0.25">
      <c r="B14">
        <v>1</v>
      </c>
      <c r="C14" s="54" t="s">
        <v>78</v>
      </c>
      <c r="D14" s="249">
        <v>74.69</v>
      </c>
      <c r="E14" s="247"/>
      <c r="F14" s="247"/>
      <c r="G14" s="247"/>
    </row>
    <row r="15" spans="2:8" x14ac:dyDescent="0.25">
      <c r="B15">
        <v>2</v>
      </c>
      <c r="C15" s="54" t="s">
        <v>79</v>
      </c>
      <c r="D15" s="249">
        <v>71.69</v>
      </c>
      <c r="E15" s="247"/>
      <c r="F15" s="247"/>
      <c r="G15" s="247"/>
    </row>
    <row r="16" spans="2:8" x14ac:dyDescent="0.25">
      <c r="B16">
        <v>3</v>
      </c>
      <c r="C16" s="248" t="s">
        <v>80</v>
      </c>
      <c r="D16" s="249">
        <v>96.29</v>
      </c>
      <c r="E16" s="247"/>
      <c r="F16" s="247"/>
      <c r="G16" s="247"/>
    </row>
    <row r="17" spans="2:7" x14ac:dyDescent="0.25">
      <c r="B17">
        <v>4</v>
      </c>
      <c r="C17" s="248" t="s">
        <v>81</v>
      </c>
      <c r="D17" s="249">
        <v>76.709999999999994</v>
      </c>
      <c r="E17" s="247"/>
      <c r="F17" s="247"/>
      <c r="G17" s="247"/>
    </row>
    <row r="18" spans="2:7" x14ac:dyDescent="0.25">
      <c r="B18">
        <v>5</v>
      </c>
      <c r="C18" s="248" t="s">
        <v>82</v>
      </c>
      <c r="D18" s="249"/>
      <c r="E18" s="247"/>
      <c r="F18" s="247"/>
      <c r="G18" s="247"/>
    </row>
    <row r="19" spans="2:7" x14ac:dyDescent="0.25">
      <c r="B19">
        <v>6</v>
      </c>
      <c r="C19" s="248" t="s">
        <v>83</v>
      </c>
      <c r="D19" s="249">
        <v>87.69</v>
      </c>
      <c r="E19" s="247"/>
      <c r="F19" s="247"/>
      <c r="G19" s="247"/>
    </row>
    <row r="20" spans="2:7" x14ac:dyDescent="0.25">
      <c r="B20">
        <v>7</v>
      </c>
      <c r="C20" s="248" t="s">
        <v>84</v>
      </c>
      <c r="D20" s="249"/>
      <c r="E20" s="247"/>
      <c r="F20" s="247"/>
      <c r="G20" s="247"/>
    </row>
    <row r="21" spans="2:7" x14ac:dyDescent="0.25">
      <c r="B21">
        <v>8</v>
      </c>
      <c r="C21" s="248" t="s">
        <v>84</v>
      </c>
      <c r="D21" s="249"/>
      <c r="E21" s="247"/>
      <c r="F21" s="247"/>
      <c r="G21" s="247"/>
    </row>
    <row r="23" spans="2:7" x14ac:dyDescent="0.25">
      <c r="C23" s="232" t="s">
        <v>85</v>
      </c>
    </row>
    <row r="24" spans="2:7" x14ac:dyDescent="0.25">
      <c r="C24" s="232" t="s">
        <v>86</v>
      </c>
    </row>
  </sheetData>
  <hyperlinks>
    <hyperlink ref="C8" r:id="rId1" xr:uid="{A4830A86-8FB8-476A-B959-BA2A2C7E39E3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109D8-4FDF-4042-A962-B47E1D22C4A1}">
  <sheetPr>
    <tabColor rgb="FF92D050"/>
  </sheetPr>
  <dimension ref="A1:M56"/>
  <sheetViews>
    <sheetView zoomScale="90" zoomScaleNormal="90" workbookViewId="0">
      <selection activeCell="F17" sqref="F17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4.33203125" bestFit="1" customWidth="1"/>
    <col min="7" max="7" width="13.77734375" customWidth="1"/>
    <col min="8" max="8" width="11.77734375" bestFit="1" customWidth="1"/>
    <col min="9" max="9" width="13.6640625" customWidth="1"/>
    <col min="10" max="10" width="13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2" t="s">
        <v>147</v>
      </c>
      <c r="J1" s="253">
        <f>J4+J15+J22+J29+J36+J43+J50</f>
        <v>19767.7</v>
      </c>
      <c r="K1" t="s">
        <v>96</v>
      </c>
    </row>
    <row r="2" spans="1:13" ht="18" x14ac:dyDescent="0.3">
      <c r="B2" s="146" t="str">
        <f>'Bid Summary'!F19</f>
        <v>Connection to Turnout 28D (10-inch PVC at STA 24+42.80)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148</v>
      </c>
      <c r="C3" s="49" t="s">
        <v>149</v>
      </c>
      <c r="D3" s="49" t="s">
        <v>8</v>
      </c>
      <c r="E3" s="49" t="s">
        <v>150</v>
      </c>
      <c r="F3" s="49" t="s">
        <v>151</v>
      </c>
      <c r="G3" s="49" t="s">
        <v>152</v>
      </c>
      <c r="H3" s="49" t="s">
        <v>175</v>
      </c>
      <c r="I3" s="49" t="s">
        <v>153</v>
      </c>
      <c r="J3" s="49" t="s">
        <v>94</v>
      </c>
      <c r="K3" s="49" t="s">
        <v>154</v>
      </c>
      <c r="L3" s="29"/>
      <c r="M3" s="29"/>
    </row>
    <row r="4" spans="1:13" ht="14.4" x14ac:dyDescent="0.3">
      <c r="A4" s="188"/>
      <c r="B4" s="52" t="s">
        <v>109</v>
      </c>
      <c r="C4" s="30"/>
      <c r="D4" s="30"/>
      <c r="E4" s="30"/>
      <c r="F4" s="30"/>
      <c r="G4" s="30"/>
      <c r="H4" s="30"/>
      <c r="I4" s="30"/>
      <c r="J4" s="56">
        <f>SUM(J5:J14)</f>
        <v>6176.8</v>
      </c>
      <c r="K4" s="30"/>
      <c r="L4" s="29"/>
      <c r="M4" s="29"/>
    </row>
    <row r="5" spans="1:13" ht="14.4" x14ac:dyDescent="0.3">
      <c r="A5" s="53">
        <v>1</v>
      </c>
      <c r="B5" s="255" t="str">
        <f>'Prevailing Wage'!C14</f>
        <v>Labor Lead</v>
      </c>
      <c r="C5" s="31"/>
      <c r="D5" s="60">
        <v>16</v>
      </c>
      <c r="E5" s="31" t="s">
        <v>118</v>
      </c>
      <c r="F5" s="256">
        <f>'Prevailing Wage'!D14</f>
        <v>74.69</v>
      </c>
      <c r="G5" s="31"/>
      <c r="H5" s="31"/>
      <c r="I5" s="31"/>
      <c r="J5" s="50">
        <f>D5*F5</f>
        <v>1195.04</v>
      </c>
      <c r="K5" s="31" t="s">
        <v>158</v>
      </c>
      <c r="L5" s="29"/>
      <c r="M5" s="29"/>
    </row>
    <row r="6" spans="1:13" ht="14.4" x14ac:dyDescent="0.3">
      <c r="A6" s="53">
        <v>2</v>
      </c>
      <c r="B6" s="255" t="str">
        <f>'Prevailing Wage'!C15</f>
        <v>Laborer</v>
      </c>
      <c r="C6" s="31"/>
      <c r="D6" s="225">
        <f>D5*'Bid Schedule'!$N$3</f>
        <v>48</v>
      </c>
      <c r="E6" s="31" t="s">
        <v>118</v>
      </c>
      <c r="F6" s="256">
        <f>'Prevailing Wage'!D15</f>
        <v>71.69</v>
      </c>
      <c r="G6" s="31"/>
      <c r="H6" s="31"/>
      <c r="I6" s="31"/>
      <c r="J6" s="50">
        <f t="shared" ref="J6:J12" si="0">D6*F6</f>
        <v>3441.12</v>
      </c>
      <c r="K6" s="225" t="s">
        <v>159</v>
      </c>
      <c r="L6" s="29"/>
      <c r="M6" s="29"/>
    </row>
    <row r="7" spans="1:13" ht="14.4" x14ac:dyDescent="0.3">
      <c r="A7" s="53">
        <v>3</v>
      </c>
      <c r="B7" s="255" t="str">
        <f>'Prevailing Wage'!C16</f>
        <v>Operator</v>
      </c>
      <c r="C7" s="31"/>
      <c r="D7" s="60">
        <v>16</v>
      </c>
      <c r="E7" s="31" t="s">
        <v>118</v>
      </c>
      <c r="F7" s="256">
        <f>'Prevailing Wage'!D16</f>
        <v>96.29</v>
      </c>
      <c r="G7" s="31"/>
      <c r="H7" s="31"/>
      <c r="I7" s="31"/>
      <c r="J7" s="50">
        <f t="shared" si="0"/>
        <v>1540.64</v>
      </c>
      <c r="K7" s="31"/>
      <c r="L7" s="29"/>
      <c r="M7" s="29"/>
    </row>
    <row r="8" spans="1:13" ht="14.4" x14ac:dyDescent="0.3">
      <c r="A8" s="53">
        <v>4</v>
      </c>
      <c r="B8" s="255" t="str">
        <f>'Prevailing Wage'!C17</f>
        <v>Driver</v>
      </c>
      <c r="C8" s="31"/>
      <c r="D8" s="60"/>
      <c r="E8" s="31" t="s">
        <v>118</v>
      </c>
      <c r="F8" s="256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5" t="str">
        <f>'Prevailing Wage'!C18</f>
        <v>Landscaper</v>
      </c>
      <c r="C9" s="31"/>
      <c r="D9" s="60"/>
      <c r="E9" s="31" t="s">
        <v>118</v>
      </c>
      <c r="F9" s="256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5" t="str">
        <f>'Prevailing Wage'!C19</f>
        <v>Pipefitter</v>
      </c>
      <c r="C10" s="31"/>
      <c r="D10" s="60"/>
      <c r="E10" s="31" t="s">
        <v>118</v>
      </c>
      <c r="F10" s="256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5" t="str">
        <f>'Prevailing Wage'!C20</f>
        <v>Etc</v>
      </c>
      <c r="C11" s="31"/>
      <c r="D11" s="60"/>
      <c r="E11" s="31" t="s">
        <v>118</v>
      </c>
      <c r="F11" s="256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5" t="str">
        <f>'Prevailing Wage'!C21</f>
        <v>Etc</v>
      </c>
      <c r="C12" s="31"/>
      <c r="D12" s="60"/>
      <c r="E12" s="31" t="s">
        <v>118</v>
      </c>
      <c r="F12" s="256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157</v>
      </c>
      <c r="B13" s="58"/>
      <c r="C13" s="31"/>
      <c r="D13" s="60"/>
      <c r="E13" s="31" t="s">
        <v>118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112</v>
      </c>
      <c r="C15" s="30"/>
      <c r="D15" s="30"/>
      <c r="E15" s="30"/>
      <c r="F15" s="30"/>
      <c r="G15" s="30"/>
      <c r="H15" s="30"/>
      <c r="I15" s="30"/>
      <c r="J15" s="56">
        <f>SUM(J16:J21)</f>
        <v>10990</v>
      </c>
      <c r="K15" s="30"/>
      <c r="L15" s="29"/>
      <c r="M15" s="29"/>
    </row>
    <row r="16" spans="1:13" ht="14.4" x14ac:dyDescent="0.3">
      <c r="A16" s="53">
        <v>1</v>
      </c>
      <c r="B16" s="57" t="s">
        <v>232</v>
      </c>
      <c r="C16" s="31"/>
      <c r="D16" s="60">
        <v>1</v>
      </c>
      <c r="E16" s="31" t="s">
        <v>160</v>
      </c>
      <c r="F16" s="59">
        <v>10000</v>
      </c>
      <c r="G16" s="31"/>
      <c r="H16" s="31"/>
      <c r="I16" s="31"/>
      <c r="J16" s="50">
        <f>D16*F16</f>
        <v>10000</v>
      </c>
      <c r="K16" s="31"/>
      <c r="L16" s="29"/>
      <c r="M16" s="29"/>
    </row>
    <row r="17" spans="1:13" ht="14.4" x14ac:dyDescent="0.3">
      <c r="A17" s="53">
        <v>2</v>
      </c>
      <c r="B17" s="58" t="s">
        <v>230</v>
      </c>
      <c r="C17" s="31"/>
      <c r="D17" s="60">
        <v>20</v>
      </c>
      <c r="E17" s="31" t="s">
        <v>189</v>
      </c>
      <c r="F17" s="59">
        <v>16</v>
      </c>
      <c r="G17" s="31"/>
      <c r="H17" s="31"/>
      <c r="I17" s="31"/>
      <c r="J17" s="50">
        <f t="shared" ref="J17:J21" si="2">D17*F17</f>
        <v>320</v>
      </c>
      <c r="K17" s="31"/>
      <c r="L17" s="29"/>
      <c r="M17" s="29"/>
    </row>
    <row r="18" spans="1:13" ht="14.4" x14ac:dyDescent="0.3">
      <c r="A18" s="53">
        <v>3</v>
      </c>
      <c r="B18" s="58" t="s">
        <v>231</v>
      </c>
      <c r="C18" s="31"/>
      <c r="D18" s="60">
        <v>1</v>
      </c>
      <c r="E18" s="31" t="s">
        <v>160</v>
      </c>
      <c r="F18" s="59">
        <v>670</v>
      </c>
      <c r="G18" s="31"/>
      <c r="H18" s="31"/>
      <c r="I18" s="31"/>
      <c r="J18" s="50">
        <f t="shared" si="2"/>
        <v>670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157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162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116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9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157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162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136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157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162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121</v>
      </c>
      <c r="C36" s="30"/>
      <c r="D36" s="30"/>
      <c r="E36" s="30"/>
      <c r="F36" s="30"/>
      <c r="G36" s="30"/>
      <c r="H36" s="30"/>
      <c r="I36" s="30"/>
      <c r="J36" s="56">
        <f>SUM(J37:J42)</f>
        <v>1160.9000000000001</v>
      </c>
      <c r="K36" s="30"/>
    </row>
    <row r="37" spans="1:11" ht="14.4" x14ac:dyDescent="0.3">
      <c r="A37" s="53">
        <v>1</v>
      </c>
      <c r="B37" s="57" t="s">
        <v>164</v>
      </c>
      <c r="C37" s="31"/>
      <c r="D37" s="60">
        <f>2/20</f>
        <v>0.1</v>
      </c>
      <c r="E37" s="31" t="s">
        <v>165</v>
      </c>
      <c r="F37" s="59">
        <v>6054</v>
      </c>
      <c r="G37" s="31"/>
      <c r="H37" s="31"/>
      <c r="I37" s="31"/>
      <c r="J37" s="50">
        <f>D37*F37</f>
        <v>605.4</v>
      </c>
      <c r="K37" s="31" t="s">
        <v>166</v>
      </c>
    </row>
    <row r="38" spans="1:11" ht="14.4" x14ac:dyDescent="0.3">
      <c r="A38" s="53">
        <v>2</v>
      </c>
      <c r="B38" s="58" t="s">
        <v>167</v>
      </c>
      <c r="C38" s="31"/>
      <c r="D38" s="60">
        <f>2/20</f>
        <v>0.1</v>
      </c>
      <c r="E38" s="31" t="s">
        <v>165</v>
      </c>
      <c r="F38" s="59">
        <v>4345</v>
      </c>
      <c r="G38" s="31"/>
      <c r="H38" s="31"/>
      <c r="I38" s="31"/>
      <c r="J38" s="50">
        <f t="shared" ref="J38:J42" si="5">D38*F38</f>
        <v>434.5</v>
      </c>
      <c r="K38" s="239" t="s">
        <v>168</v>
      </c>
    </row>
    <row r="39" spans="1:11" ht="14.4" x14ac:dyDescent="0.3">
      <c r="A39" s="53">
        <v>3</v>
      </c>
      <c r="B39" s="58" t="s">
        <v>169</v>
      </c>
      <c r="C39" s="31"/>
      <c r="D39" s="269">
        <f>4/20</f>
        <v>0.2</v>
      </c>
      <c r="E39" s="31" t="s">
        <v>165</v>
      </c>
      <c r="F39" s="59">
        <v>605</v>
      </c>
      <c r="G39" s="31"/>
      <c r="H39" s="31"/>
      <c r="I39" s="31"/>
      <c r="J39" s="50">
        <f t="shared" si="5"/>
        <v>121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157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162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123</v>
      </c>
      <c r="C43" s="30"/>
      <c r="D43" s="30"/>
      <c r="E43" s="30"/>
      <c r="F43" s="30"/>
      <c r="G43" s="30"/>
      <c r="H43" s="30"/>
      <c r="I43" s="30"/>
      <c r="J43" s="56">
        <f>SUM(J44:J49)</f>
        <v>1440</v>
      </c>
      <c r="K43" s="30"/>
    </row>
    <row r="44" spans="1:11" ht="14.4" x14ac:dyDescent="0.3">
      <c r="A44" s="53">
        <v>1</v>
      </c>
      <c r="B44" s="57" t="s">
        <v>170</v>
      </c>
      <c r="C44" s="31"/>
      <c r="D44" s="60">
        <f>D7*15</f>
        <v>240</v>
      </c>
      <c r="E44" s="31" t="s">
        <v>171</v>
      </c>
      <c r="F44" s="59">
        <v>6</v>
      </c>
      <c r="G44" s="31"/>
      <c r="H44" s="31"/>
      <c r="I44" s="31"/>
      <c r="J44" s="50">
        <f>D44*F44</f>
        <v>1440</v>
      </c>
      <c r="K44" s="31"/>
    </row>
    <row r="45" spans="1:11" ht="14.4" x14ac:dyDescent="0.3">
      <c r="A45" s="53">
        <v>2</v>
      </c>
      <c r="B45" s="58" t="s">
        <v>172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157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162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120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157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162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A96D7B40-6BC6-4DCD-9599-59C65018B77C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4B1DD-EE34-4A37-AB4D-89CFB145F578}">
  <sheetPr>
    <tabColor rgb="FF92D050"/>
  </sheetPr>
  <dimension ref="A1:M56"/>
  <sheetViews>
    <sheetView zoomScale="90" zoomScaleNormal="90" workbookViewId="0">
      <selection activeCell="F17" sqref="F17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3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2" t="s">
        <v>147</v>
      </c>
      <c r="J1" s="253">
        <f>J4+J15+J22+J29+J36+J43+J50</f>
        <v>47152.53</v>
      </c>
      <c r="K1" t="s">
        <v>96</v>
      </c>
    </row>
    <row r="2" spans="1:13" ht="18" x14ac:dyDescent="0.3">
      <c r="B2" s="146" t="str">
        <f>'Bid Summary'!F20</f>
        <v>10-inch Buried Service Butterfly Valve Assembly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148</v>
      </c>
      <c r="C3" s="49" t="s">
        <v>149</v>
      </c>
      <c r="D3" s="49" t="s">
        <v>8</v>
      </c>
      <c r="E3" s="49" t="s">
        <v>150</v>
      </c>
      <c r="F3" s="49" t="s">
        <v>151</v>
      </c>
      <c r="G3" s="49" t="s">
        <v>152</v>
      </c>
      <c r="H3" s="49" t="s">
        <v>175</v>
      </c>
      <c r="I3" s="49" t="s">
        <v>153</v>
      </c>
      <c r="J3" s="49" t="s">
        <v>94</v>
      </c>
      <c r="K3" s="49" t="s">
        <v>154</v>
      </c>
      <c r="L3" s="29"/>
      <c r="M3" s="29"/>
    </row>
    <row r="4" spans="1:13" ht="14.4" x14ac:dyDescent="0.3">
      <c r="A4" s="188"/>
      <c r="B4" s="52" t="s">
        <v>109</v>
      </c>
      <c r="C4" s="30"/>
      <c r="D4" s="30"/>
      <c r="E4" s="30"/>
      <c r="F4" s="30"/>
      <c r="G4" s="30"/>
      <c r="H4" s="30"/>
      <c r="I4" s="30"/>
      <c r="J4" s="56">
        <f>SUM(J5:J14)</f>
        <v>12967.28</v>
      </c>
      <c r="K4" s="30"/>
      <c r="L4" s="29"/>
      <c r="M4" s="29"/>
    </row>
    <row r="5" spans="1:13" ht="14.4" x14ac:dyDescent="0.3">
      <c r="A5" s="53">
        <v>1</v>
      </c>
      <c r="B5" s="255" t="str">
        <f>'Prevailing Wage'!C14</f>
        <v>Labor Lead</v>
      </c>
      <c r="C5" s="31"/>
      <c r="D5" s="60">
        <v>32</v>
      </c>
      <c r="E5" s="31" t="s">
        <v>118</v>
      </c>
      <c r="F5" s="256">
        <f>'Prevailing Wage'!D14</f>
        <v>74.69</v>
      </c>
      <c r="G5" s="31"/>
      <c r="H5" s="31"/>
      <c r="I5" s="31"/>
      <c r="J5" s="50">
        <f>D5*F5</f>
        <v>2390.08</v>
      </c>
      <c r="K5" s="31" t="s">
        <v>158</v>
      </c>
      <c r="L5" s="29"/>
      <c r="M5" s="29"/>
    </row>
    <row r="6" spans="1:13" ht="14.4" x14ac:dyDescent="0.3">
      <c r="A6" s="53">
        <v>2</v>
      </c>
      <c r="B6" s="255" t="str">
        <f>'Prevailing Wage'!C15</f>
        <v>Laborer</v>
      </c>
      <c r="C6" s="31"/>
      <c r="D6" s="225">
        <f>D5*'Bid Schedule'!$N$3</f>
        <v>96</v>
      </c>
      <c r="E6" s="31" t="s">
        <v>118</v>
      </c>
      <c r="F6" s="256">
        <f>'Prevailing Wage'!D15</f>
        <v>71.69</v>
      </c>
      <c r="G6" s="31"/>
      <c r="H6" s="31"/>
      <c r="I6" s="31"/>
      <c r="J6" s="50">
        <f t="shared" ref="J6:J12" si="0">D6*F6</f>
        <v>6882.24</v>
      </c>
      <c r="K6" s="225" t="s">
        <v>159</v>
      </c>
      <c r="L6" s="29"/>
      <c r="M6" s="29"/>
    </row>
    <row r="7" spans="1:13" ht="14.4" x14ac:dyDescent="0.3">
      <c r="A7" s="53">
        <v>3</v>
      </c>
      <c r="B7" s="255" t="str">
        <f>'Prevailing Wage'!C16</f>
        <v>Operator</v>
      </c>
      <c r="C7" s="31"/>
      <c r="D7" s="60">
        <v>32</v>
      </c>
      <c r="E7" s="31" t="s">
        <v>118</v>
      </c>
      <c r="F7" s="256">
        <f>'Prevailing Wage'!D16</f>
        <v>96.29</v>
      </c>
      <c r="G7" s="31"/>
      <c r="H7" s="31"/>
      <c r="I7" s="31"/>
      <c r="J7" s="50">
        <f t="shared" si="0"/>
        <v>3081.28</v>
      </c>
      <c r="K7" s="31"/>
      <c r="L7" s="29"/>
      <c r="M7" s="29"/>
    </row>
    <row r="8" spans="1:13" ht="14.4" x14ac:dyDescent="0.3">
      <c r="A8" s="53">
        <v>4</v>
      </c>
      <c r="B8" s="255" t="str">
        <f>'Prevailing Wage'!C17</f>
        <v>Driver</v>
      </c>
      <c r="C8" s="31"/>
      <c r="D8" s="60">
        <v>8</v>
      </c>
      <c r="E8" s="31" t="s">
        <v>118</v>
      </c>
      <c r="F8" s="256">
        <f>'Prevailing Wage'!D17</f>
        <v>76.709999999999994</v>
      </c>
      <c r="G8" s="31"/>
      <c r="H8" s="31"/>
      <c r="I8" s="31"/>
      <c r="J8" s="50">
        <f t="shared" si="0"/>
        <v>613.67999999999995</v>
      </c>
      <c r="K8" s="31"/>
      <c r="L8" s="29"/>
      <c r="M8" s="29"/>
    </row>
    <row r="9" spans="1:13" ht="14.4" x14ac:dyDescent="0.3">
      <c r="A9" s="53">
        <v>5</v>
      </c>
      <c r="B9" s="255" t="str">
        <f>'Prevailing Wage'!C18</f>
        <v>Landscaper</v>
      </c>
      <c r="C9" s="31"/>
      <c r="D9" s="60"/>
      <c r="E9" s="31" t="s">
        <v>118</v>
      </c>
      <c r="F9" s="256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5" t="str">
        <f>'Prevailing Wage'!C19</f>
        <v>Pipefitter</v>
      </c>
      <c r="C10" s="31"/>
      <c r="D10" s="60"/>
      <c r="E10" s="31" t="s">
        <v>118</v>
      </c>
      <c r="F10" s="256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5" t="str">
        <f>'Prevailing Wage'!C20</f>
        <v>Etc</v>
      </c>
      <c r="C11" s="31"/>
      <c r="D11" s="60"/>
      <c r="E11" s="31" t="s">
        <v>118</v>
      </c>
      <c r="F11" s="256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5" t="str">
        <f>'Prevailing Wage'!C21</f>
        <v>Etc</v>
      </c>
      <c r="C12" s="31"/>
      <c r="D12" s="60"/>
      <c r="E12" s="31" t="s">
        <v>118</v>
      </c>
      <c r="F12" s="256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157</v>
      </c>
      <c r="B13" s="58"/>
      <c r="C13" s="31"/>
      <c r="D13" s="60"/>
      <c r="E13" s="31" t="s">
        <v>118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112</v>
      </c>
      <c r="C15" s="30"/>
      <c r="D15" s="30"/>
      <c r="E15" s="30"/>
      <c r="F15" s="30"/>
      <c r="G15" s="30"/>
      <c r="H15" s="30"/>
      <c r="I15" s="30"/>
      <c r="J15" s="56">
        <f>SUM(J16:J21)</f>
        <v>30128</v>
      </c>
      <c r="K15" s="30"/>
      <c r="L15" s="29"/>
      <c r="M15" s="29"/>
    </row>
    <row r="16" spans="1:13" ht="14.4" x14ac:dyDescent="0.3">
      <c r="A16" s="53">
        <v>1</v>
      </c>
      <c r="B16" s="57" t="s">
        <v>233</v>
      </c>
      <c r="C16" s="31"/>
      <c r="D16" s="60">
        <v>4</v>
      </c>
      <c r="E16" s="31" t="s">
        <v>160</v>
      </c>
      <c r="F16" s="59">
        <v>670</v>
      </c>
      <c r="G16" s="31"/>
      <c r="H16" s="31"/>
      <c r="I16" s="31"/>
      <c r="J16" s="50">
        <f>D16*F16</f>
        <v>2680</v>
      </c>
      <c r="K16" s="31"/>
      <c r="L16" s="29"/>
      <c r="M16" s="29"/>
    </row>
    <row r="17" spans="1:13" ht="14.4" x14ac:dyDescent="0.3">
      <c r="A17" s="53">
        <v>2</v>
      </c>
      <c r="B17" s="58" t="s">
        <v>234</v>
      </c>
      <c r="C17" s="31"/>
      <c r="D17" s="60">
        <v>4</v>
      </c>
      <c r="E17" s="31" t="s">
        <v>160</v>
      </c>
      <c r="F17" s="59">
        <v>6037</v>
      </c>
      <c r="G17" s="31" t="s">
        <v>235</v>
      </c>
      <c r="H17" s="31"/>
      <c r="I17" s="31"/>
      <c r="J17" s="50">
        <f t="shared" ref="J17:J21" si="2">D17*F17</f>
        <v>24148</v>
      </c>
      <c r="K17" s="31" t="s">
        <v>236</v>
      </c>
      <c r="L17" s="29"/>
      <c r="M17" s="29"/>
    </row>
    <row r="18" spans="1:13" ht="14.4" x14ac:dyDescent="0.3">
      <c r="A18" s="53">
        <v>3</v>
      </c>
      <c r="B18" s="58" t="s">
        <v>237</v>
      </c>
      <c r="C18" s="31"/>
      <c r="D18" s="60">
        <v>8</v>
      </c>
      <c r="E18" s="31" t="s">
        <v>160</v>
      </c>
      <c r="F18" s="59">
        <v>300</v>
      </c>
      <c r="G18" s="31"/>
      <c r="H18" s="31"/>
      <c r="I18" s="31"/>
      <c r="J18" s="50">
        <f t="shared" si="2"/>
        <v>2400</v>
      </c>
      <c r="K18" s="31"/>
      <c r="L18" s="29"/>
      <c r="M18" s="29"/>
    </row>
    <row r="19" spans="1:13" ht="14.4" x14ac:dyDescent="0.3">
      <c r="A19" s="53">
        <v>4</v>
      </c>
      <c r="B19" s="58" t="s">
        <v>238</v>
      </c>
      <c r="C19" s="31"/>
      <c r="D19" s="60">
        <v>8</v>
      </c>
      <c r="E19" s="31" t="s">
        <v>160</v>
      </c>
      <c r="F19" s="59">
        <v>50</v>
      </c>
      <c r="G19" s="31"/>
      <c r="H19" s="31"/>
      <c r="I19" s="31"/>
      <c r="J19" s="50">
        <f t="shared" si="2"/>
        <v>400</v>
      </c>
      <c r="K19" s="31"/>
      <c r="L19" s="29"/>
      <c r="M19" s="29"/>
    </row>
    <row r="20" spans="1:13" ht="14.4" x14ac:dyDescent="0.3">
      <c r="A20" s="53" t="s">
        <v>157</v>
      </c>
      <c r="B20" s="58" t="s">
        <v>186</v>
      </c>
      <c r="C20" s="31"/>
      <c r="D20" s="60">
        <v>1</v>
      </c>
      <c r="E20" s="31" t="s">
        <v>160</v>
      </c>
      <c r="F20" s="59">
        <v>500</v>
      </c>
      <c r="G20" s="31"/>
      <c r="H20" s="31"/>
      <c r="I20" s="31"/>
      <c r="J20" s="50">
        <f t="shared" si="2"/>
        <v>500</v>
      </c>
      <c r="K20" s="31"/>
      <c r="L20" s="29"/>
      <c r="M20" s="29"/>
    </row>
    <row r="21" spans="1:13" ht="14.4" hidden="1" customHeight="1" x14ac:dyDescent="0.3">
      <c r="A21" s="54" t="s">
        <v>162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116</v>
      </c>
      <c r="C22" s="30"/>
      <c r="D22" s="30"/>
      <c r="E22" s="30"/>
      <c r="F22" s="30"/>
      <c r="G22" s="30"/>
      <c r="H22" s="30"/>
      <c r="I22" s="30"/>
      <c r="J22" s="56">
        <f>SUM(J23:J28)</f>
        <v>1920</v>
      </c>
      <c r="K22" s="30"/>
    </row>
    <row r="23" spans="1:13" ht="14.4" x14ac:dyDescent="0.3">
      <c r="A23" s="53">
        <v>1</v>
      </c>
      <c r="B23" s="57" t="s">
        <v>239</v>
      </c>
      <c r="C23" s="31"/>
      <c r="D23" s="60">
        <v>32</v>
      </c>
      <c r="E23" s="31" t="s">
        <v>240</v>
      </c>
      <c r="F23" s="59">
        <v>60</v>
      </c>
      <c r="G23" s="31"/>
      <c r="H23" s="31"/>
      <c r="I23" s="31"/>
      <c r="J23" s="50">
        <f>D23*F23</f>
        <v>1920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9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157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162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136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157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162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121</v>
      </c>
      <c r="C36" s="30"/>
      <c r="D36" s="30"/>
      <c r="E36" s="30"/>
      <c r="F36" s="30"/>
      <c r="G36" s="30"/>
      <c r="H36" s="30"/>
      <c r="I36" s="30"/>
      <c r="J36" s="56">
        <f>SUM(J37:J42)</f>
        <v>217.25</v>
      </c>
      <c r="K36" s="30"/>
    </row>
    <row r="37" spans="1:11" ht="14.4" x14ac:dyDescent="0.3">
      <c r="A37" s="53">
        <v>1</v>
      </c>
      <c r="B37" s="58" t="s">
        <v>167</v>
      </c>
      <c r="C37" s="31"/>
      <c r="D37" s="60">
        <f>1/20</f>
        <v>0.05</v>
      </c>
      <c r="E37" s="31" t="s">
        <v>165</v>
      </c>
      <c r="F37" s="59">
        <v>4345</v>
      </c>
      <c r="G37" s="31"/>
      <c r="H37" s="31"/>
      <c r="I37" s="31"/>
      <c r="J37" s="50">
        <f>D37*F37</f>
        <v>217.25</v>
      </c>
      <c r="K37" s="31" t="s">
        <v>166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39" t="s">
        <v>168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157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162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123</v>
      </c>
      <c r="C43" s="30"/>
      <c r="D43" s="30"/>
      <c r="E43" s="30"/>
      <c r="F43" s="30"/>
      <c r="G43" s="30"/>
      <c r="H43" s="30"/>
      <c r="I43" s="30"/>
      <c r="J43" s="56">
        <f>SUM(J44:J49)</f>
        <v>1920</v>
      </c>
      <c r="K43" s="30"/>
    </row>
    <row r="44" spans="1:11" ht="14.4" x14ac:dyDescent="0.3">
      <c r="A44" s="53">
        <v>1</v>
      </c>
      <c r="B44" s="57" t="s">
        <v>170</v>
      </c>
      <c r="C44" s="31"/>
      <c r="D44" s="60">
        <f>10*D7</f>
        <v>320</v>
      </c>
      <c r="E44" s="31" t="s">
        <v>241</v>
      </c>
      <c r="F44" s="59">
        <v>6</v>
      </c>
      <c r="G44" s="31"/>
      <c r="H44" s="31"/>
      <c r="I44" s="31"/>
      <c r="J44" s="50">
        <f>D44*F44</f>
        <v>1920</v>
      </c>
      <c r="K44" s="31"/>
    </row>
    <row r="45" spans="1:11" ht="14.4" x14ac:dyDescent="0.3">
      <c r="A45" s="53">
        <v>2</v>
      </c>
      <c r="B45" s="58" t="s">
        <v>172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157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162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120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157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162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FEB3A96A-3524-4BD5-9902-886070354BA4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898D4-65B4-4AC2-BCB8-EBFCA734F8F5}">
  <sheetPr>
    <tabColor rgb="FF92D050"/>
  </sheetPr>
  <dimension ref="A1:M56"/>
  <sheetViews>
    <sheetView zoomScale="90" zoomScaleNormal="90" workbookViewId="0">
      <selection activeCell="F19" sqref="F19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3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2" t="s">
        <v>147</v>
      </c>
      <c r="J1" s="253">
        <f>J4+J15+J22+J29+J36+J43+J50</f>
        <v>20904.73</v>
      </c>
      <c r="K1" t="s">
        <v>96</v>
      </c>
    </row>
    <row r="2" spans="1:13" ht="18" x14ac:dyDescent="0.3">
      <c r="B2" s="146" t="str">
        <f>'Bid Summary'!F21</f>
        <v>12-inch Buried Service Butterfly Valve Assembly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148</v>
      </c>
      <c r="C3" s="49" t="s">
        <v>149</v>
      </c>
      <c r="D3" s="49" t="s">
        <v>8</v>
      </c>
      <c r="E3" s="49" t="s">
        <v>150</v>
      </c>
      <c r="F3" s="49" t="s">
        <v>151</v>
      </c>
      <c r="G3" s="49" t="s">
        <v>152</v>
      </c>
      <c r="H3" s="49" t="s">
        <v>175</v>
      </c>
      <c r="I3" s="49" t="s">
        <v>153</v>
      </c>
      <c r="J3" s="49" t="s">
        <v>94</v>
      </c>
      <c r="K3" s="49" t="s">
        <v>154</v>
      </c>
      <c r="L3" s="29"/>
      <c r="M3" s="29"/>
    </row>
    <row r="4" spans="1:13" ht="14.4" x14ac:dyDescent="0.3">
      <c r="A4" s="188"/>
      <c r="B4" s="52" t="s">
        <v>109</v>
      </c>
      <c r="C4" s="30"/>
      <c r="D4" s="30"/>
      <c r="E4" s="30"/>
      <c r="F4" s="30"/>
      <c r="G4" s="30"/>
      <c r="H4" s="30"/>
      <c r="I4" s="30"/>
      <c r="J4" s="56">
        <f>SUM(J5:J14)</f>
        <v>6790.4800000000005</v>
      </c>
      <c r="K4" s="30"/>
      <c r="L4" s="29"/>
      <c r="M4" s="29"/>
    </row>
    <row r="5" spans="1:13" ht="14.4" x14ac:dyDescent="0.3">
      <c r="A5" s="53">
        <v>1</v>
      </c>
      <c r="B5" s="255" t="str">
        <f>'Prevailing Wage'!C14</f>
        <v>Labor Lead</v>
      </c>
      <c r="C5" s="31"/>
      <c r="D5" s="60">
        <v>16</v>
      </c>
      <c r="E5" s="31" t="s">
        <v>118</v>
      </c>
      <c r="F5" s="256">
        <f>'Prevailing Wage'!D14</f>
        <v>74.69</v>
      </c>
      <c r="G5" s="31"/>
      <c r="H5" s="31"/>
      <c r="I5" s="31"/>
      <c r="J5" s="50">
        <f>D5*F5</f>
        <v>1195.04</v>
      </c>
      <c r="K5" s="31" t="s">
        <v>158</v>
      </c>
      <c r="L5" s="29"/>
      <c r="M5" s="29"/>
    </row>
    <row r="6" spans="1:13" ht="14.4" x14ac:dyDescent="0.3">
      <c r="A6" s="53">
        <v>2</v>
      </c>
      <c r="B6" s="255" t="str">
        <f>'Prevailing Wage'!C15</f>
        <v>Laborer</v>
      </c>
      <c r="C6" s="31"/>
      <c r="D6" s="225">
        <f>D5*'Bid Schedule'!$N$3</f>
        <v>48</v>
      </c>
      <c r="E6" s="31" t="s">
        <v>118</v>
      </c>
      <c r="F6" s="256">
        <f>'Prevailing Wage'!D15</f>
        <v>71.69</v>
      </c>
      <c r="G6" s="31"/>
      <c r="H6" s="31"/>
      <c r="I6" s="31"/>
      <c r="J6" s="50">
        <f t="shared" ref="J6:J12" si="0">D6*F6</f>
        <v>3441.12</v>
      </c>
      <c r="K6" s="225" t="s">
        <v>159</v>
      </c>
      <c r="L6" s="29"/>
      <c r="M6" s="29"/>
    </row>
    <row r="7" spans="1:13" ht="14.4" x14ac:dyDescent="0.3">
      <c r="A7" s="53">
        <v>3</v>
      </c>
      <c r="B7" s="255" t="str">
        <f>'Prevailing Wage'!C16</f>
        <v>Operator</v>
      </c>
      <c r="C7" s="31"/>
      <c r="D7" s="60">
        <v>16</v>
      </c>
      <c r="E7" s="31" t="s">
        <v>118</v>
      </c>
      <c r="F7" s="256">
        <f>'Prevailing Wage'!D16</f>
        <v>96.29</v>
      </c>
      <c r="G7" s="31"/>
      <c r="H7" s="31"/>
      <c r="I7" s="31"/>
      <c r="J7" s="50">
        <f t="shared" si="0"/>
        <v>1540.64</v>
      </c>
      <c r="K7" s="31"/>
      <c r="L7" s="29"/>
      <c r="M7" s="29"/>
    </row>
    <row r="8" spans="1:13" ht="14.4" x14ac:dyDescent="0.3">
      <c r="A8" s="53">
        <v>4</v>
      </c>
      <c r="B8" s="255" t="str">
        <f>'Prevailing Wage'!C17</f>
        <v>Driver</v>
      </c>
      <c r="C8" s="31"/>
      <c r="D8" s="60">
        <v>8</v>
      </c>
      <c r="E8" s="31" t="s">
        <v>118</v>
      </c>
      <c r="F8" s="256">
        <f>'Prevailing Wage'!D17</f>
        <v>76.709999999999994</v>
      </c>
      <c r="G8" s="31"/>
      <c r="H8" s="31"/>
      <c r="I8" s="31"/>
      <c r="J8" s="50">
        <f t="shared" si="0"/>
        <v>613.67999999999995</v>
      </c>
      <c r="K8" s="31"/>
      <c r="L8" s="29"/>
      <c r="M8" s="29"/>
    </row>
    <row r="9" spans="1:13" ht="14.4" x14ac:dyDescent="0.3">
      <c r="A9" s="53">
        <v>5</v>
      </c>
      <c r="B9" s="255" t="str">
        <f>'Prevailing Wage'!C18</f>
        <v>Landscaper</v>
      </c>
      <c r="C9" s="31"/>
      <c r="D9" s="60"/>
      <c r="E9" s="31" t="s">
        <v>118</v>
      </c>
      <c r="F9" s="256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5" t="str">
        <f>'Prevailing Wage'!C19</f>
        <v>Pipefitter</v>
      </c>
      <c r="C10" s="31"/>
      <c r="D10" s="60"/>
      <c r="E10" s="31" t="s">
        <v>118</v>
      </c>
      <c r="F10" s="256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5" t="str">
        <f>'Prevailing Wage'!C20</f>
        <v>Etc</v>
      </c>
      <c r="C11" s="31"/>
      <c r="D11" s="60"/>
      <c r="E11" s="31" t="s">
        <v>118</v>
      </c>
      <c r="F11" s="256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5" t="str">
        <f>'Prevailing Wage'!C21</f>
        <v>Etc</v>
      </c>
      <c r="C12" s="31"/>
      <c r="D12" s="60"/>
      <c r="E12" s="31" t="s">
        <v>118</v>
      </c>
      <c r="F12" s="256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157</v>
      </c>
      <c r="B13" s="58"/>
      <c r="C13" s="31"/>
      <c r="D13" s="60"/>
      <c r="E13" s="31" t="s">
        <v>118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112</v>
      </c>
      <c r="C15" s="30"/>
      <c r="D15" s="30"/>
      <c r="E15" s="30"/>
      <c r="F15" s="30"/>
      <c r="G15" s="30"/>
      <c r="H15" s="30"/>
      <c r="I15" s="30"/>
      <c r="J15" s="56">
        <f>SUM(J16:J21)</f>
        <v>11977</v>
      </c>
      <c r="K15" s="30"/>
      <c r="L15" s="29"/>
      <c r="M15" s="29"/>
    </row>
    <row r="16" spans="1:13" ht="14.4" x14ac:dyDescent="0.3">
      <c r="A16" s="53">
        <v>1</v>
      </c>
      <c r="B16" s="57" t="s">
        <v>242</v>
      </c>
      <c r="C16" s="31"/>
      <c r="D16" s="60">
        <v>1</v>
      </c>
      <c r="E16" s="31" t="s">
        <v>160</v>
      </c>
      <c r="F16" s="59">
        <v>791</v>
      </c>
      <c r="G16" s="31"/>
      <c r="H16" s="31"/>
      <c r="I16" s="31"/>
      <c r="J16" s="50">
        <f>D16*F16</f>
        <v>791</v>
      </c>
      <c r="K16" s="31"/>
      <c r="L16" s="29"/>
      <c r="M16" s="29"/>
    </row>
    <row r="17" spans="1:13" ht="14.4" x14ac:dyDescent="0.3">
      <c r="A17" s="53">
        <v>2</v>
      </c>
      <c r="B17" s="58" t="s">
        <v>243</v>
      </c>
      <c r="C17" s="31"/>
      <c r="D17" s="60">
        <v>1</v>
      </c>
      <c r="E17" s="31" t="s">
        <v>160</v>
      </c>
      <c r="F17" s="59">
        <v>6386</v>
      </c>
      <c r="G17" s="31" t="s">
        <v>235</v>
      </c>
      <c r="H17" s="31"/>
      <c r="I17" s="31"/>
      <c r="J17" s="50">
        <f t="shared" ref="J17:J21" si="2">D17*F17</f>
        <v>6386</v>
      </c>
      <c r="K17" s="31" t="s">
        <v>236</v>
      </c>
      <c r="L17" s="29"/>
      <c r="M17" s="29"/>
    </row>
    <row r="18" spans="1:13" ht="14.4" x14ac:dyDescent="0.3">
      <c r="A18" s="53">
        <v>3</v>
      </c>
      <c r="B18" s="58" t="s">
        <v>244</v>
      </c>
      <c r="C18" s="31"/>
      <c r="D18" s="60">
        <v>2</v>
      </c>
      <c r="E18" s="31" t="s">
        <v>160</v>
      </c>
      <c r="F18" s="59">
        <v>350</v>
      </c>
      <c r="G18" s="31"/>
      <c r="H18" s="31"/>
      <c r="I18" s="31"/>
      <c r="J18" s="50">
        <f t="shared" si="2"/>
        <v>700</v>
      </c>
      <c r="K18" s="31"/>
      <c r="L18" s="29"/>
      <c r="M18" s="29"/>
    </row>
    <row r="19" spans="1:13" ht="14.4" x14ac:dyDescent="0.3">
      <c r="A19" s="53">
        <v>4</v>
      </c>
      <c r="B19" s="58" t="s">
        <v>245</v>
      </c>
      <c r="C19" s="31"/>
      <c r="D19" s="60">
        <v>2</v>
      </c>
      <c r="E19" s="31" t="s">
        <v>160</v>
      </c>
      <c r="F19" s="59">
        <v>50</v>
      </c>
      <c r="G19" s="31"/>
      <c r="H19" s="31"/>
      <c r="I19" s="31"/>
      <c r="J19" s="50">
        <f t="shared" si="2"/>
        <v>100</v>
      </c>
      <c r="K19" s="31"/>
      <c r="L19" s="29"/>
      <c r="M19" s="29"/>
    </row>
    <row r="20" spans="1:13" ht="14.4" x14ac:dyDescent="0.3">
      <c r="A20" s="53" t="s">
        <v>157</v>
      </c>
      <c r="B20" s="58" t="s">
        <v>326</v>
      </c>
      <c r="C20" s="31"/>
      <c r="D20" s="60">
        <v>1</v>
      </c>
      <c r="E20" s="31"/>
      <c r="F20" s="59">
        <v>4000</v>
      </c>
      <c r="G20" s="31"/>
      <c r="H20" s="31"/>
      <c r="I20" s="31"/>
      <c r="J20" s="50">
        <f t="shared" si="2"/>
        <v>4000</v>
      </c>
      <c r="K20" s="31"/>
      <c r="L20" s="29"/>
      <c r="M20" s="29"/>
    </row>
    <row r="21" spans="1:13" ht="14.4" hidden="1" customHeight="1" x14ac:dyDescent="0.3">
      <c r="A21" s="54" t="s">
        <v>162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116</v>
      </c>
      <c r="C22" s="30"/>
      <c r="D22" s="30"/>
      <c r="E22" s="30"/>
      <c r="F22" s="30"/>
      <c r="G22" s="30"/>
      <c r="H22" s="30"/>
      <c r="I22" s="30"/>
      <c r="J22" s="56">
        <f>SUM(J23:J28)</f>
        <v>960</v>
      </c>
      <c r="K22" s="30"/>
    </row>
    <row r="23" spans="1:13" ht="14.4" x14ac:dyDescent="0.3">
      <c r="A23" s="53">
        <v>1</v>
      </c>
      <c r="B23" s="57" t="s">
        <v>239</v>
      </c>
      <c r="C23" s="31"/>
      <c r="D23" s="60">
        <v>16</v>
      </c>
      <c r="E23" s="31" t="s">
        <v>240</v>
      </c>
      <c r="F23" s="59">
        <v>60</v>
      </c>
      <c r="G23" s="31"/>
      <c r="H23" s="31"/>
      <c r="I23" s="31"/>
      <c r="J23" s="50">
        <f>D23*F23</f>
        <v>960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9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157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162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136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157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162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121</v>
      </c>
      <c r="C36" s="30"/>
      <c r="D36" s="30"/>
      <c r="E36" s="30"/>
      <c r="F36" s="30"/>
      <c r="G36" s="30"/>
      <c r="H36" s="30"/>
      <c r="I36" s="30"/>
      <c r="J36" s="56">
        <f>SUM(J37:J42)</f>
        <v>217.25</v>
      </c>
      <c r="K36" s="30"/>
    </row>
    <row r="37" spans="1:11" ht="14.4" x14ac:dyDescent="0.3">
      <c r="A37" s="53">
        <v>1</v>
      </c>
      <c r="B37" s="58" t="s">
        <v>167</v>
      </c>
      <c r="C37" s="31"/>
      <c r="D37" s="60">
        <f>1/20</f>
        <v>0.05</v>
      </c>
      <c r="E37" s="31" t="s">
        <v>165</v>
      </c>
      <c r="F37" s="59">
        <v>4345</v>
      </c>
      <c r="G37" s="31"/>
      <c r="H37" s="31"/>
      <c r="I37" s="31"/>
      <c r="J37" s="50">
        <f>D37*F37</f>
        <v>217.25</v>
      </c>
      <c r="K37" s="31" t="s">
        <v>166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39" t="s">
        <v>168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157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162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123</v>
      </c>
      <c r="C43" s="30"/>
      <c r="D43" s="30"/>
      <c r="E43" s="30"/>
      <c r="F43" s="30"/>
      <c r="G43" s="30"/>
      <c r="H43" s="30"/>
      <c r="I43" s="30"/>
      <c r="J43" s="56">
        <f>SUM(J44:J49)</f>
        <v>960</v>
      </c>
      <c r="K43" s="30"/>
    </row>
    <row r="44" spans="1:11" ht="14.4" x14ac:dyDescent="0.3">
      <c r="A44" s="53">
        <v>1</v>
      </c>
      <c r="B44" s="57" t="s">
        <v>170</v>
      </c>
      <c r="C44" s="31"/>
      <c r="D44" s="60">
        <f>10*D7</f>
        <v>160</v>
      </c>
      <c r="E44" s="31" t="s">
        <v>241</v>
      </c>
      <c r="F44" s="59">
        <v>6</v>
      </c>
      <c r="G44" s="31"/>
      <c r="H44" s="31"/>
      <c r="I44" s="31"/>
      <c r="J44" s="50">
        <f>D44*F44</f>
        <v>960</v>
      </c>
      <c r="K44" s="31"/>
    </row>
    <row r="45" spans="1:11" ht="14.4" x14ac:dyDescent="0.3">
      <c r="A45" s="53">
        <v>2</v>
      </c>
      <c r="B45" s="58" t="s">
        <v>172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157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162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120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157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162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51B3D44C-C2A0-4061-AA20-810DC7484B7D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D5841-480B-4D5C-B23A-D9E5B1344B4A}">
  <sheetPr>
    <tabColor rgb="FF92D050"/>
  </sheetPr>
  <dimension ref="A1:M56"/>
  <sheetViews>
    <sheetView zoomScale="90" zoomScaleNormal="90" workbookViewId="0">
      <selection activeCell="F17" sqref="F17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3.77734375" customWidth="1"/>
    <col min="11" max="11" width="72.6640625" customWidth="1"/>
    <col min="12" max="12" width="10.109375" bestFit="1" customWidth="1"/>
  </cols>
  <sheetData>
    <row r="1" spans="1:13" ht="14.4" x14ac:dyDescent="0.3">
      <c r="I1" s="252" t="s">
        <v>147</v>
      </c>
      <c r="J1" s="253">
        <f>J4+J15+J22+J29+J36+J43+J50</f>
        <v>18921.23</v>
      </c>
      <c r="K1" t="s">
        <v>96</v>
      </c>
    </row>
    <row r="2" spans="1:13" ht="18" x14ac:dyDescent="0.3">
      <c r="B2" s="146" t="str">
        <f>'Bid Summary'!F22</f>
        <v>14-inch Buried Service Butterfly Valve Assembly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148</v>
      </c>
      <c r="C3" s="49" t="s">
        <v>149</v>
      </c>
      <c r="D3" s="49" t="s">
        <v>8</v>
      </c>
      <c r="E3" s="49" t="s">
        <v>150</v>
      </c>
      <c r="F3" s="49" t="s">
        <v>151</v>
      </c>
      <c r="G3" s="49" t="s">
        <v>152</v>
      </c>
      <c r="H3" s="49" t="s">
        <v>175</v>
      </c>
      <c r="I3" s="49" t="s">
        <v>153</v>
      </c>
      <c r="J3" s="49" t="s">
        <v>94</v>
      </c>
      <c r="K3" s="49" t="s">
        <v>154</v>
      </c>
      <c r="L3" s="29"/>
      <c r="M3" s="29"/>
    </row>
    <row r="4" spans="1:13" ht="14.4" x14ac:dyDescent="0.3">
      <c r="A4" s="188"/>
      <c r="B4" s="52" t="s">
        <v>109</v>
      </c>
      <c r="C4" s="30"/>
      <c r="D4" s="30"/>
      <c r="E4" s="30"/>
      <c r="F4" s="30"/>
      <c r="G4" s="30"/>
      <c r="H4" s="30"/>
      <c r="I4" s="30"/>
      <c r="J4" s="56">
        <f>SUM(J5:J14)</f>
        <v>6790.4800000000005</v>
      </c>
      <c r="K4" s="30"/>
      <c r="L4" s="29"/>
      <c r="M4" s="29"/>
    </row>
    <row r="5" spans="1:13" ht="14.4" x14ac:dyDescent="0.3">
      <c r="A5" s="53">
        <v>1</v>
      </c>
      <c r="B5" s="255" t="str">
        <f>'Prevailing Wage'!C14</f>
        <v>Labor Lead</v>
      </c>
      <c r="C5" s="31"/>
      <c r="D5" s="60">
        <v>16</v>
      </c>
      <c r="E5" s="31" t="s">
        <v>118</v>
      </c>
      <c r="F5" s="256">
        <f>'Prevailing Wage'!D14</f>
        <v>74.69</v>
      </c>
      <c r="G5" s="31"/>
      <c r="H5" s="31"/>
      <c r="I5" s="31"/>
      <c r="J5" s="50">
        <f>D5*F5</f>
        <v>1195.04</v>
      </c>
      <c r="K5" s="31" t="s">
        <v>158</v>
      </c>
      <c r="L5" s="29"/>
      <c r="M5" s="29"/>
    </row>
    <row r="6" spans="1:13" ht="14.4" x14ac:dyDescent="0.3">
      <c r="A6" s="53">
        <v>2</v>
      </c>
      <c r="B6" s="255" t="str">
        <f>'Prevailing Wage'!C15</f>
        <v>Laborer</v>
      </c>
      <c r="C6" s="31"/>
      <c r="D6" s="225">
        <f>D5*'Bid Schedule'!$N$3</f>
        <v>48</v>
      </c>
      <c r="E6" s="31" t="s">
        <v>118</v>
      </c>
      <c r="F6" s="256">
        <f>'Prevailing Wage'!D15</f>
        <v>71.69</v>
      </c>
      <c r="G6" s="31"/>
      <c r="H6" s="31"/>
      <c r="I6" s="31"/>
      <c r="J6" s="50">
        <f t="shared" ref="J6:J12" si="0">D6*F6</f>
        <v>3441.12</v>
      </c>
      <c r="K6" s="225" t="s">
        <v>159</v>
      </c>
      <c r="L6" s="29"/>
      <c r="M6" s="29"/>
    </row>
    <row r="7" spans="1:13" ht="14.4" x14ac:dyDescent="0.3">
      <c r="A7" s="53">
        <v>3</v>
      </c>
      <c r="B7" s="255" t="str">
        <f>'Prevailing Wage'!C16</f>
        <v>Operator</v>
      </c>
      <c r="C7" s="31"/>
      <c r="D7" s="60">
        <v>16</v>
      </c>
      <c r="E7" s="31" t="s">
        <v>118</v>
      </c>
      <c r="F7" s="256">
        <f>'Prevailing Wage'!D16</f>
        <v>96.29</v>
      </c>
      <c r="G7" s="31"/>
      <c r="H7" s="31"/>
      <c r="I7" s="31"/>
      <c r="J7" s="50">
        <f t="shared" si="0"/>
        <v>1540.64</v>
      </c>
      <c r="K7" s="31"/>
      <c r="L7" s="29"/>
      <c r="M7" s="29"/>
    </row>
    <row r="8" spans="1:13" ht="14.4" x14ac:dyDescent="0.3">
      <c r="A8" s="53">
        <v>4</v>
      </c>
      <c r="B8" s="255" t="str">
        <f>'Prevailing Wage'!C17</f>
        <v>Driver</v>
      </c>
      <c r="C8" s="31"/>
      <c r="D8" s="60">
        <v>8</v>
      </c>
      <c r="E8" s="31" t="s">
        <v>118</v>
      </c>
      <c r="F8" s="256">
        <f>'Prevailing Wage'!D17</f>
        <v>76.709999999999994</v>
      </c>
      <c r="G8" s="31"/>
      <c r="H8" s="31"/>
      <c r="I8" s="31"/>
      <c r="J8" s="50">
        <f t="shared" si="0"/>
        <v>613.67999999999995</v>
      </c>
      <c r="K8" s="31"/>
      <c r="L8" s="29"/>
      <c r="M8" s="29"/>
    </row>
    <row r="9" spans="1:13" ht="14.4" x14ac:dyDescent="0.3">
      <c r="A9" s="53">
        <v>5</v>
      </c>
      <c r="B9" s="255" t="str">
        <f>'Prevailing Wage'!C18</f>
        <v>Landscaper</v>
      </c>
      <c r="C9" s="31"/>
      <c r="D9" s="60"/>
      <c r="E9" s="31" t="s">
        <v>118</v>
      </c>
      <c r="F9" s="256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5" t="str">
        <f>'Prevailing Wage'!C19</f>
        <v>Pipefitter</v>
      </c>
      <c r="C10" s="31"/>
      <c r="D10" s="60"/>
      <c r="E10" s="31" t="s">
        <v>118</v>
      </c>
      <c r="F10" s="256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5" t="str">
        <f>'Prevailing Wage'!C20</f>
        <v>Etc</v>
      </c>
      <c r="C11" s="31"/>
      <c r="D11" s="60"/>
      <c r="E11" s="31" t="s">
        <v>118</v>
      </c>
      <c r="F11" s="256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5" t="str">
        <f>'Prevailing Wage'!C21</f>
        <v>Etc</v>
      </c>
      <c r="C12" s="31"/>
      <c r="D12" s="60"/>
      <c r="E12" s="31" t="s">
        <v>118</v>
      </c>
      <c r="F12" s="256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157</v>
      </c>
      <c r="B13" s="58"/>
      <c r="C13" s="31"/>
      <c r="D13" s="60"/>
      <c r="E13" s="31" t="s">
        <v>118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112</v>
      </c>
      <c r="C15" s="30"/>
      <c r="D15" s="30"/>
      <c r="E15" s="30"/>
      <c r="F15" s="30"/>
      <c r="G15" s="30"/>
      <c r="H15" s="30"/>
      <c r="I15" s="30"/>
      <c r="J15" s="56">
        <f>SUM(J16:J21)</f>
        <v>9993.5</v>
      </c>
      <c r="K15" s="30"/>
      <c r="L15" s="29"/>
      <c r="M15" s="29"/>
    </row>
    <row r="16" spans="1:13" ht="14.4" x14ac:dyDescent="0.3">
      <c r="A16" s="53">
        <v>1</v>
      </c>
      <c r="B16" s="57" t="s">
        <v>246</v>
      </c>
      <c r="C16" s="31"/>
      <c r="D16" s="60">
        <v>1</v>
      </c>
      <c r="E16" s="31" t="s">
        <v>160</v>
      </c>
      <c r="F16" s="59">
        <v>3930.5</v>
      </c>
      <c r="G16" s="31"/>
      <c r="H16" s="31"/>
      <c r="I16" s="31"/>
      <c r="J16" s="50">
        <f>D16*F16</f>
        <v>3930.5</v>
      </c>
      <c r="K16" s="31"/>
      <c r="L16" s="29"/>
      <c r="M16" s="29"/>
    </row>
    <row r="17" spans="1:13" ht="14.4" x14ac:dyDescent="0.3">
      <c r="A17" s="53">
        <v>2</v>
      </c>
      <c r="B17" s="58" t="s">
        <v>247</v>
      </c>
      <c r="C17" s="31"/>
      <c r="D17" s="60">
        <v>1</v>
      </c>
      <c r="E17" s="31" t="s">
        <v>160</v>
      </c>
      <c r="F17" s="59">
        <v>5163</v>
      </c>
      <c r="G17" s="31"/>
      <c r="H17" s="31"/>
      <c r="I17" s="31"/>
      <c r="J17" s="50">
        <f t="shared" ref="J17:J21" si="2">D17*F17</f>
        <v>5163</v>
      </c>
      <c r="K17" s="31" t="s">
        <v>236</v>
      </c>
      <c r="L17" s="29"/>
      <c r="M17" s="29"/>
    </row>
    <row r="18" spans="1:13" ht="14.4" x14ac:dyDescent="0.3">
      <c r="A18" s="53">
        <v>3</v>
      </c>
      <c r="B18" s="58" t="s">
        <v>248</v>
      </c>
      <c r="C18" s="31"/>
      <c r="D18" s="60">
        <v>2</v>
      </c>
      <c r="E18" s="31" t="s">
        <v>160</v>
      </c>
      <c r="F18" s="59">
        <v>400</v>
      </c>
      <c r="G18" s="31"/>
      <c r="H18" s="31"/>
      <c r="I18" s="31"/>
      <c r="J18" s="50">
        <f t="shared" si="2"/>
        <v>800</v>
      </c>
      <c r="K18" s="31"/>
      <c r="L18" s="29"/>
      <c r="M18" s="29"/>
    </row>
    <row r="19" spans="1:13" ht="14.4" x14ac:dyDescent="0.3">
      <c r="A19" s="53">
        <v>4</v>
      </c>
      <c r="B19" s="58" t="s">
        <v>249</v>
      </c>
      <c r="C19" s="31"/>
      <c r="D19" s="60">
        <v>2</v>
      </c>
      <c r="E19" s="31" t="s">
        <v>160</v>
      </c>
      <c r="F19" s="59">
        <v>50</v>
      </c>
      <c r="G19" s="31"/>
      <c r="H19" s="31"/>
      <c r="I19" s="31"/>
      <c r="J19" s="50">
        <f t="shared" si="2"/>
        <v>100</v>
      </c>
      <c r="K19" s="31"/>
      <c r="L19" s="29"/>
      <c r="M19" s="29"/>
    </row>
    <row r="20" spans="1:13" ht="14.4" x14ac:dyDescent="0.3">
      <c r="A20" s="53" t="s">
        <v>157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162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116</v>
      </c>
      <c r="C22" s="30"/>
      <c r="D22" s="30"/>
      <c r="E22" s="30"/>
      <c r="F22" s="30"/>
      <c r="G22" s="30"/>
      <c r="H22" s="30"/>
      <c r="I22" s="30"/>
      <c r="J22" s="56">
        <f>SUM(J23:J28)</f>
        <v>960</v>
      </c>
      <c r="K22" s="30"/>
    </row>
    <row r="23" spans="1:13" ht="14.4" x14ac:dyDescent="0.3">
      <c r="A23" s="53">
        <v>1</v>
      </c>
      <c r="B23" s="57" t="s">
        <v>239</v>
      </c>
      <c r="C23" s="31"/>
      <c r="D23" s="60">
        <v>16</v>
      </c>
      <c r="E23" s="31" t="s">
        <v>240</v>
      </c>
      <c r="F23" s="59">
        <v>60</v>
      </c>
      <c r="G23" s="31"/>
      <c r="H23" s="31"/>
      <c r="I23" s="31"/>
      <c r="J23" s="50">
        <f>D23*F23</f>
        <v>960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9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157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162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136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157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162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121</v>
      </c>
      <c r="C36" s="30"/>
      <c r="D36" s="30"/>
      <c r="E36" s="30"/>
      <c r="F36" s="30"/>
      <c r="G36" s="30"/>
      <c r="H36" s="30"/>
      <c r="I36" s="30"/>
      <c r="J36" s="56">
        <f>SUM(J37:J42)</f>
        <v>217.25</v>
      </c>
      <c r="K36" s="30"/>
    </row>
    <row r="37" spans="1:11" ht="14.4" x14ac:dyDescent="0.3">
      <c r="A37" s="53">
        <v>1</v>
      </c>
      <c r="B37" s="58" t="s">
        <v>167</v>
      </c>
      <c r="C37" s="31"/>
      <c r="D37" s="60">
        <f>1/20</f>
        <v>0.05</v>
      </c>
      <c r="E37" s="31" t="s">
        <v>165</v>
      </c>
      <c r="F37" s="59">
        <v>4345</v>
      </c>
      <c r="G37" s="31"/>
      <c r="H37" s="31"/>
      <c r="I37" s="31"/>
      <c r="J37" s="50">
        <f>D37*F37</f>
        <v>217.25</v>
      </c>
      <c r="K37" s="31" t="s">
        <v>166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39" t="s">
        <v>168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157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162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123</v>
      </c>
      <c r="C43" s="30"/>
      <c r="D43" s="30"/>
      <c r="E43" s="30"/>
      <c r="F43" s="30"/>
      <c r="G43" s="30"/>
      <c r="H43" s="30"/>
      <c r="I43" s="30"/>
      <c r="J43" s="56">
        <f>SUM(J44:J49)</f>
        <v>960</v>
      </c>
      <c r="K43" s="30"/>
    </row>
    <row r="44" spans="1:11" ht="14.4" x14ac:dyDescent="0.3">
      <c r="A44" s="53">
        <v>1</v>
      </c>
      <c r="B44" s="57" t="s">
        <v>170</v>
      </c>
      <c r="C44" s="31"/>
      <c r="D44" s="60">
        <f>10*D7</f>
        <v>160</v>
      </c>
      <c r="E44" s="31" t="s">
        <v>241</v>
      </c>
      <c r="F44" s="59">
        <v>6</v>
      </c>
      <c r="G44" s="31"/>
      <c r="H44" s="31"/>
      <c r="I44" s="31"/>
      <c r="J44" s="50">
        <f>D44*F44</f>
        <v>960</v>
      </c>
      <c r="K44" s="31"/>
    </row>
    <row r="45" spans="1:11" ht="14.4" x14ac:dyDescent="0.3">
      <c r="A45" s="53">
        <v>2</v>
      </c>
      <c r="B45" s="58" t="s">
        <v>172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157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162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120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157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162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E8FCE112-15C0-48D3-BB24-F9AA59E8F2E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4C2DB-A58F-4EBE-A084-8F4F55D4CBDF}">
  <sheetPr>
    <tabColor rgb="FF92D050"/>
  </sheetPr>
  <dimension ref="A1:M57"/>
  <sheetViews>
    <sheetView zoomScale="90" zoomScaleNormal="90" workbookViewId="0">
      <selection activeCell="F17" sqref="F17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3.44140625" bestFit="1" customWidth="1"/>
    <col min="7" max="7" width="13.77734375" customWidth="1"/>
    <col min="8" max="8" width="11.77734375" bestFit="1" customWidth="1"/>
    <col min="9" max="9" width="13.6640625" customWidth="1"/>
    <col min="10" max="10" width="13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2" t="s">
        <v>147</v>
      </c>
      <c r="J1" s="253">
        <f>J4+J15+J23+J30+J37+J44+J51</f>
        <v>83012.490000000005</v>
      </c>
      <c r="K1" t="s">
        <v>96</v>
      </c>
    </row>
    <row r="2" spans="1:13" ht="18" x14ac:dyDescent="0.3">
      <c r="B2" s="146" t="s">
        <v>250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148</v>
      </c>
      <c r="C3" s="49" t="s">
        <v>149</v>
      </c>
      <c r="D3" s="49" t="s">
        <v>8</v>
      </c>
      <c r="E3" s="49" t="s">
        <v>150</v>
      </c>
      <c r="F3" s="49" t="s">
        <v>151</v>
      </c>
      <c r="G3" s="49" t="s">
        <v>152</v>
      </c>
      <c r="H3" s="49" t="s">
        <v>175</v>
      </c>
      <c r="I3" s="49" t="s">
        <v>153</v>
      </c>
      <c r="J3" s="49" t="s">
        <v>94</v>
      </c>
      <c r="K3" s="49" t="s">
        <v>154</v>
      </c>
      <c r="L3" s="29"/>
      <c r="M3" s="29"/>
    </row>
    <row r="4" spans="1:13" ht="14.4" x14ac:dyDescent="0.3">
      <c r="A4" s="188"/>
      <c r="B4" s="52" t="s">
        <v>109</v>
      </c>
      <c r="C4" s="30"/>
      <c r="D4" s="30"/>
      <c r="E4" s="30"/>
      <c r="F4" s="30"/>
      <c r="G4" s="30"/>
      <c r="H4" s="30"/>
      <c r="I4" s="30"/>
      <c r="J4" s="56">
        <f>SUM(J5:J14)</f>
        <v>16662.240000000002</v>
      </c>
      <c r="K4" s="30"/>
      <c r="L4" s="29"/>
      <c r="M4" s="29"/>
    </row>
    <row r="5" spans="1:13" ht="14.4" x14ac:dyDescent="0.3">
      <c r="A5" s="53">
        <v>1</v>
      </c>
      <c r="B5" s="255" t="str">
        <f>'Prevailing Wage'!C14</f>
        <v>Labor Lead</v>
      </c>
      <c r="C5" s="31"/>
      <c r="D5" s="60">
        <v>32</v>
      </c>
      <c r="E5" s="31" t="s">
        <v>118</v>
      </c>
      <c r="F5" s="256">
        <f>'Prevailing Wage'!D14</f>
        <v>74.69</v>
      </c>
      <c r="G5" s="31"/>
      <c r="H5" s="31"/>
      <c r="I5" s="31"/>
      <c r="J5" s="50">
        <f>D5*F5</f>
        <v>2390.08</v>
      </c>
      <c r="K5" s="31" t="s">
        <v>158</v>
      </c>
      <c r="L5" s="29"/>
      <c r="M5" s="29"/>
    </row>
    <row r="6" spans="1:13" ht="14.4" x14ac:dyDescent="0.3">
      <c r="A6" s="53">
        <v>2</v>
      </c>
      <c r="B6" s="255" t="str">
        <f>'Prevailing Wage'!C15</f>
        <v>Laborer</v>
      </c>
      <c r="C6" s="31"/>
      <c r="D6" s="225">
        <f>D5*'Bid Schedule'!$N$3</f>
        <v>96</v>
      </c>
      <c r="E6" s="31" t="s">
        <v>118</v>
      </c>
      <c r="F6" s="256">
        <f>'Prevailing Wage'!D15</f>
        <v>71.69</v>
      </c>
      <c r="G6" s="31"/>
      <c r="H6" s="31"/>
      <c r="I6" s="31"/>
      <c r="J6" s="50">
        <f t="shared" ref="J6:J13" si="0">D6*F6</f>
        <v>6882.24</v>
      </c>
      <c r="K6" s="225" t="s">
        <v>159</v>
      </c>
      <c r="L6" s="29"/>
      <c r="M6" s="29"/>
    </row>
    <row r="7" spans="1:13" ht="14.4" x14ac:dyDescent="0.3">
      <c r="A7" s="53">
        <v>3</v>
      </c>
      <c r="B7" s="255" t="str">
        <f>'Prevailing Wage'!C16</f>
        <v>Operator</v>
      </c>
      <c r="C7" s="31"/>
      <c r="D7" s="60">
        <v>64</v>
      </c>
      <c r="E7" s="31" t="s">
        <v>118</v>
      </c>
      <c r="F7" s="256">
        <f>'Prevailing Wage'!D16</f>
        <v>96.29</v>
      </c>
      <c r="G7" s="31"/>
      <c r="H7" s="31"/>
      <c r="I7" s="31"/>
      <c r="J7" s="50">
        <f t="shared" si="0"/>
        <v>6162.56</v>
      </c>
      <c r="K7" s="31"/>
      <c r="L7" s="29"/>
      <c r="M7" s="29"/>
    </row>
    <row r="8" spans="1:13" ht="14.4" x14ac:dyDescent="0.3">
      <c r="A8" s="53">
        <v>4</v>
      </c>
      <c r="B8" s="255" t="str">
        <f>'Prevailing Wage'!C17</f>
        <v>Driver</v>
      </c>
      <c r="C8" s="31"/>
      <c r="D8" s="60">
        <v>16</v>
      </c>
      <c r="E8" s="31" t="s">
        <v>118</v>
      </c>
      <c r="F8" s="256">
        <f>'Prevailing Wage'!D17</f>
        <v>76.709999999999994</v>
      </c>
      <c r="G8" s="31"/>
      <c r="H8" s="31"/>
      <c r="I8" s="31"/>
      <c r="J8" s="50">
        <f t="shared" si="0"/>
        <v>1227.3599999999999</v>
      </c>
      <c r="K8" s="31"/>
      <c r="L8" s="29"/>
      <c r="M8" s="29"/>
    </row>
    <row r="9" spans="1:13" ht="14.4" x14ac:dyDescent="0.3">
      <c r="A9" s="53">
        <v>5</v>
      </c>
      <c r="B9" s="255" t="str">
        <f>'Prevailing Wage'!C18</f>
        <v>Landscaper</v>
      </c>
      <c r="C9" s="31"/>
      <c r="D9" s="60"/>
      <c r="E9" s="31" t="s">
        <v>118</v>
      </c>
      <c r="F9" s="256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5" t="str">
        <f>'Prevailing Wage'!C19</f>
        <v>Pipefitter</v>
      </c>
      <c r="C10" s="31"/>
      <c r="D10" s="60"/>
      <c r="E10" s="31" t="s">
        <v>118</v>
      </c>
      <c r="F10" s="256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5" t="str">
        <f>'Prevailing Wage'!C20</f>
        <v>Etc</v>
      </c>
      <c r="C11" s="31"/>
      <c r="D11" s="60"/>
      <c r="E11" s="31" t="s">
        <v>118</v>
      </c>
      <c r="F11" s="256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5" t="str">
        <f>'Prevailing Wage'!C21</f>
        <v>Etc</v>
      </c>
      <c r="C12" s="31"/>
      <c r="D12" s="60"/>
      <c r="E12" s="31" t="s">
        <v>118</v>
      </c>
      <c r="F12" s="256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157</v>
      </c>
      <c r="B13" s="58"/>
      <c r="C13" s="31"/>
      <c r="D13" s="60"/>
      <c r="E13" s="31" t="s">
        <v>118</v>
      </c>
      <c r="F13" s="59"/>
      <c r="G13" s="31"/>
      <c r="H13" s="31"/>
      <c r="I13" s="31"/>
      <c r="J13" s="50">
        <f t="shared" si="0"/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112</v>
      </c>
      <c r="C15" s="30"/>
      <c r="D15" s="30"/>
      <c r="E15" s="30"/>
      <c r="F15" s="30"/>
      <c r="G15" s="30"/>
      <c r="H15" s="30"/>
      <c r="I15" s="30"/>
      <c r="J15" s="56">
        <f>SUM(J16:J22)</f>
        <v>56247.25</v>
      </c>
      <c r="K15" s="30"/>
      <c r="L15" s="29"/>
      <c r="M15" s="29"/>
    </row>
    <row r="16" spans="1:13" ht="14.4" x14ac:dyDescent="0.3">
      <c r="A16" s="53">
        <v>1</v>
      </c>
      <c r="B16" s="57" t="s">
        <v>251</v>
      </c>
      <c r="C16" s="31"/>
      <c r="D16" s="60">
        <v>1</v>
      </c>
      <c r="E16" s="31" t="s">
        <v>160</v>
      </c>
      <c r="F16" s="59">
        <v>10000</v>
      </c>
      <c r="G16" s="31"/>
      <c r="H16" s="31"/>
      <c r="I16" s="31"/>
      <c r="J16" s="50">
        <f>D16*F16</f>
        <v>10000</v>
      </c>
      <c r="K16" s="31"/>
      <c r="L16" s="29"/>
      <c r="M16" s="29"/>
    </row>
    <row r="17" spans="1:13" ht="14.4" x14ac:dyDescent="0.3">
      <c r="A17" s="53">
        <v>2</v>
      </c>
      <c r="B17" s="58" t="s">
        <v>252</v>
      </c>
      <c r="C17" s="31"/>
      <c r="D17" s="60">
        <v>1</v>
      </c>
      <c r="E17" s="31" t="s">
        <v>160</v>
      </c>
      <c r="F17" s="59">
        <v>35268</v>
      </c>
      <c r="G17" s="31"/>
      <c r="H17" s="31"/>
      <c r="I17" s="31"/>
      <c r="J17" s="50">
        <f t="shared" ref="J17:J22" si="1">D17*F17</f>
        <v>35268</v>
      </c>
      <c r="K17" s="31" t="s">
        <v>236</v>
      </c>
      <c r="L17" s="29"/>
      <c r="M17" s="29"/>
    </row>
    <row r="18" spans="1:13" ht="14.4" x14ac:dyDescent="0.3">
      <c r="A18" s="53"/>
      <c r="B18" s="58" t="s">
        <v>253</v>
      </c>
      <c r="C18" s="31"/>
      <c r="D18" s="60">
        <v>1</v>
      </c>
      <c r="E18" s="31" t="s">
        <v>160</v>
      </c>
      <c r="F18" s="59">
        <v>3379.25</v>
      </c>
      <c r="G18" s="31"/>
      <c r="H18" s="31"/>
      <c r="I18" s="31"/>
      <c r="J18" s="50">
        <f t="shared" si="1"/>
        <v>3379.25</v>
      </c>
      <c r="K18" s="31"/>
      <c r="L18" s="29"/>
      <c r="M18" s="29"/>
    </row>
    <row r="19" spans="1:13" ht="14.4" x14ac:dyDescent="0.3">
      <c r="A19" s="53">
        <v>3</v>
      </c>
      <c r="B19" s="58" t="s">
        <v>254</v>
      </c>
      <c r="C19" s="31"/>
      <c r="D19" s="60">
        <v>2</v>
      </c>
      <c r="E19" s="31" t="s">
        <v>160</v>
      </c>
      <c r="F19" s="59">
        <v>3000</v>
      </c>
      <c r="G19" s="31"/>
      <c r="H19" s="31"/>
      <c r="I19" s="31"/>
      <c r="J19" s="50">
        <f t="shared" si="1"/>
        <v>6000</v>
      </c>
      <c r="K19" s="31"/>
      <c r="L19" s="29"/>
      <c r="M19" s="29"/>
    </row>
    <row r="20" spans="1:13" ht="14.4" x14ac:dyDescent="0.3">
      <c r="A20" s="53">
        <v>4</v>
      </c>
      <c r="B20" s="58" t="s">
        <v>255</v>
      </c>
      <c r="C20" s="31"/>
      <c r="D20" s="60">
        <v>2</v>
      </c>
      <c r="E20" s="31" t="s">
        <v>160</v>
      </c>
      <c r="F20" s="59">
        <v>200</v>
      </c>
      <c r="G20" s="31"/>
      <c r="H20" s="31"/>
      <c r="I20" s="31"/>
      <c r="J20" s="50">
        <f t="shared" si="1"/>
        <v>400</v>
      </c>
      <c r="K20" s="31"/>
      <c r="L20" s="29"/>
      <c r="M20" s="29"/>
    </row>
    <row r="21" spans="1:13" ht="14.4" x14ac:dyDescent="0.3">
      <c r="A21" s="53" t="s">
        <v>157</v>
      </c>
      <c r="B21" s="58" t="s">
        <v>186</v>
      </c>
      <c r="C21" s="31"/>
      <c r="D21" s="60">
        <v>1</v>
      </c>
      <c r="E21" s="31" t="s">
        <v>107</v>
      </c>
      <c r="F21" s="59">
        <v>1200</v>
      </c>
      <c r="G21" s="31"/>
      <c r="H21" s="31"/>
      <c r="I21" s="31"/>
      <c r="J21" s="50">
        <f t="shared" si="1"/>
        <v>1200</v>
      </c>
      <c r="K21" s="31"/>
      <c r="L21" s="29"/>
      <c r="M21" s="29"/>
    </row>
    <row r="22" spans="1:13" ht="14.4" hidden="1" customHeight="1" x14ac:dyDescent="0.3">
      <c r="A22" s="54" t="s">
        <v>162</v>
      </c>
      <c r="B22" s="58"/>
      <c r="C22" s="31"/>
      <c r="D22" s="60"/>
      <c r="E22" s="31"/>
      <c r="F22" s="59"/>
      <c r="G22" s="31"/>
      <c r="H22" s="31"/>
      <c r="I22" s="31"/>
      <c r="J22" s="50">
        <f t="shared" si="1"/>
        <v>0</v>
      </c>
      <c r="K22" s="31"/>
      <c r="L22" s="29"/>
      <c r="M22" s="29"/>
    </row>
    <row r="23" spans="1:13" ht="14.4" x14ac:dyDescent="0.3">
      <c r="A23" s="188"/>
      <c r="B23" s="52" t="s">
        <v>116</v>
      </c>
      <c r="C23" s="30"/>
      <c r="D23" s="30"/>
      <c r="E23" s="30"/>
      <c r="F23" s="30"/>
      <c r="G23" s="30"/>
      <c r="H23" s="30"/>
      <c r="I23" s="30"/>
      <c r="J23" s="56">
        <f>SUM(J24:J29)</f>
        <v>0</v>
      </c>
      <c r="K23" s="30"/>
    </row>
    <row r="24" spans="1:13" ht="14.4" x14ac:dyDescent="0.3">
      <c r="A24" s="53">
        <v>1</v>
      </c>
      <c r="B24" s="57"/>
      <c r="C24" s="31"/>
      <c r="D24" s="60"/>
      <c r="E24" s="31"/>
      <c r="F24" s="59"/>
      <c r="G24" s="31"/>
      <c r="H24" s="31"/>
      <c r="I24" s="31"/>
      <c r="J24" s="50">
        <f>D24*F24</f>
        <v>0</v>
      </c>
      <c r="K24" s="31"/>
    </row>
    <row r="25" spans="1:13" ht="14.4" x14ac:dyDescent="0.3">
      <c r="A25" s="53">
        <v>2</v>
      </c>
      <c r="B25" s="58"/>
      <c r="C25" s="31"/>
      <c r="D25" s="60"/>
      <c r="E25" s="31"/>
      <c r="F25" s="59"/>
      <c r="G25" s="31"/>
      <c r="H25" s="31"/>
      <c r="I25" s="31"/>
      <c r="J25" s="50">
        <f t="shared" ref="J25:J29" si="2">D25*F25</f>
        <v>0</v>
      </c>
      <c r="K25" s="239"/>
    </row>
    <row r="26" spans="1:13" ht="14.4" x14ac:dyDescent="0.3">
      <c r="A26" s="53">
        <v>3</v>
      </c>
      <c r="B26" s="58"/>
      <c r="C26" s="31"/>
      <c r="D26" s="60"/>
      <c r="E26" s="31"/>
      <c r="F26" s="59"/>
      <c r="G26" s="31"/>
      <c r="H26" s="31"/>
      <c r="I26" s="31"/>
      <c r="J26" s="50">
        <f t="shared" si="2"/>
        <v>0</v>
      </c>
      <c r="K26" s="31"/>
    </row>
    <row r="27" spans="1:13" ht="14.4" x14ac:dyDescent="0.3">
      <c r="A27" s="53">
        <v>4</v>
      </c>
      <c r="B27" s="58"/>
      <c r="C27" s="31"/>
      <c r="D27" s="60"/>
      <c r="E27" s="31"/>
      <c r="F27" s="59"/>
      <c r="G27" s="31"/>
      <c r="H27" s="31"/>
      <c r="I27" s="31"/>
      <c r="J27" s="50">
        <f t="shared" si="2"/>
        <v>0</v>
      </c>
      <c r="K27" s="31"/>
    </row>
    <row r="28" spans="1:13" ht="14.4" x14ac:dyDescent="0.3">
      <c r="A28" s="53" t="s">
        <v>157</v>
      </c>
      <c r="B28" s="58"/>
      <c r="C28" s="31"/>
      <c r="D28" s="60"/>
      <c r="E28" s="31"/>
      <c r="F28" s="59"/>
      <c r="G28" s="31"/>
      <c r="H28" s="31"/>
      <c r="I28" s="31"/>
      <c r="J28" s="50">
        <f t="shared" si="2"/>
        <v>0</v>
      </c>
      <c r="K28" s="31"/>
    </row>
    <row r="29" spans="1:13" ht="14.4" hidden="1" x14ac:dyDescent="0.3">
      <c r="A29" s="54" t="s">
        <v>162</v>
      </c>
      <c r="B29" s="58"/>
      <c r="C29" s="31"/>
      <c r="D29" s="60"/>
      <c r="E29" s="31"/>
      <c r="F29" s="59"/>
      <c r="G29" s="31"/>
      <c r="H29" s="31"/>
      <c r="I29" s="31"/>
      <c r="J29" s="50">
        <f t="shared" si="2"/>
        <v>0</v>
      </c>
      <c r="K29" s="31"/>
    </row>
    <row r="30" spans="1:13" ht="14.4" x14ac:dyDescent="0.3">
      <c r="A30" s="188"/>
      <c r="B30" s="52" t="s">
        <v>136</v>
      </c>
      <c r="C30" s="30"/>
      <c r="D30" s="30"/>
      <c r="E30" s="30"/>
      <c r="F30" s="30"/>
      <c r="G30" s="30"/>
      <c r="H30" s="30"/>
      <c r="I30" s="30"/>
      <c r="J30" s="56">
        <f>SUM(J31:J36)</f>
        <v>0</v>
      </c>
      <c r="K30" s="30"/>
    </row>
    <row r="31" spans="1:13" ht="14.4" x14ac:dyDescent="0.3">
      <c r="A31" s="53">
        <v>1</v>
      </c>
      <c r="B31" s="57"/>
      <c r="C31" s="31"/>
      <c r="D31" s="60"/>
      <c r="E31" s="31"/>
      <c r="F31" s="59"/>
      <c r="G31" s="31"/>
      <c r="H31" s="31"/>
      <c r="I31" s="31"/>
      <c r="J31" s="50">
        <f>D31*F31</f>
        <v>0</v>
      </c>
      <c r="K31" s="31"/>
    </row>
    <row r="32" spans="1:13" ht="14.4" x14ac:dyDescent="0.3">
      <c r="A32" s="53">
        <v>2</v>
      </c>
      <c r="B32" s="58"/>
      <c r="C32" s="31"/>
      <c r="D32" s="60"/>
      <c r="E32" s="31"/>
      <c r="F32" s="59"/>
      <c r="G32" s="31"/>
      <c r="H32" s="31"/>
      <c r="I32" s="31"/>
      <c r="J32" s="50">
        <f t="shared" ref="J32:J36" si="3">D32*F32</f>
        <v>0</v>
      </c>
      <c r="K32" s="31"/>
    </row>
    <row r="33" spans="1:11" ht="14.4" x14ac:dyDescent="0.3">
      <c r="A33" s="53">
        <v>3</v>
      </c>
      <c r="B33" s="58"/>
      <c r="C33" s="31"/>
      <c r="D33" s="60"/>
      <c r="E33" s="31"/>
      <c r="F33" s="59"/>
      <c r="G33" s="31"/>
      <c r="H33" s="31"/>
      <c r="I33" s="31"/>
      <c r="J33" s="50">
        <f t="shared" si="3"/>
        <v>0</v>
      </c>
      <c r="K33" s="31"/>
    </row>
    <row r="34" spans="1:11" ht="14.4" x14ac:dyDescent="0.3">
      <c r="A34" s="53">
        <v>4</v>
      </c>
      <c r="B34" s="58"/>
      <c r="C34" s="31"/>
      <c r="D34" s="60"/>
      <c r="E34" s="31"/>
      <c r="F34" s="59"/>
      <c r="G34" s="31"/>
      <c r="H34" s="31"/>
      <c r="I34" s="31"/>
      <c r="J34" s="50">
        <f t="shared" si="3"/>
        <v>0</v>
      </c>
      <c r="K34" s="31"/>
    </row>
    <row r="35" spans="1:11" ht="14.4" x14ac:dyDescent="0.3">
      <c r="A35" s="53" t="s">
        <v>157</v>
      </c>
      <c r="B35" s="58"/>
      <c r="C35" s="31"/>
      <c r="D35" s="60"/>
      <c r="E35" s="31"/>
      <c r="F35" s="59"/>
      <c r="G35" s="31"/>
      <c r="H35" s="31"/>
      <c r="I35" s="31"/>
      <c r="J35" s="50">
        <f t="shared" si="3"/>
        <v>0</v>
      </c>
      <c r="K35" s="31"/>
    </row>
    <row r="36" spans="1:11" ht="14.4" hidden="1" x14ac:dyDescent="0.3">
      <c r="A36" s="54" t="s">
        <v>162</v>
      </c>
      <c r="B36" s="58"/>
      <c r="C36" s="31"/>
      <c r="D36" s="60"/>
      <c r="E36" s="31"/>
      <c r="F36" s="59"/>
      <c r="G36" s="31"/>
      <c r="H36" s="31"/>
      <c r="I36" s="31"/>
      <c r="J36" s="50">
        <f t="shared" si="3"/>
        <v>0</v>
      </c>
      <c r="K36" s="31"/>
    </row>
    <row r="37" spans="1:11" ht="14.4" x14ac:dyDescent="0.3">
      <c r="A37" s="188"/>
      <c r="B37" s="52" t="s">
        <v>121</v>
      </c>
      <c r="C37" s="30"/>
      <c r="D37" s="30"/>
      <c r="E37" s="30"/>
      <c r="F37" s="30"/>
      <c r="G37" s="30"/>
      <c r="H37" s="30"/>
      <c r="I37" s="30"/>
      <c r="J37" s="56">
        <f>SUM(J38:J43)</f>
        <v>2423</v>
      </c>
      <c r="K37" s="30"/>
    </row>
    <row r="38" spans="1:11" ht="14.4" x14ac:dyDescent="0.3">
      <c r="A38" s="53">
        <v>1</v>
      </c>
      <c r="B38" s="57" t="s">
        <v>215</v>
      </c>
      <c r="C38" s="31"/>
      <c r="D38" s="269">
        <v>0</v>
      </c>
      <c r="E38" s="31" t="s">
        <v>165</v>
      </c>
      <c r="F38" s="59">
        <v>13100</v>
      </c>
      <c r="G38" s="31"/>
      <c r="H38" s="31"/>
      <c r="I38" s="31"/>
      <c r="J38" s="50">
        <f>D38*F38</f>
        <v>0</v>
      </c>
      <c r="K38" s="31" t="s">
        <v>166</v>
      </c>
    </row>
    <row r="39" spans="1:11" ht="14.4" x14ac:dyDescent="0.3">
      <c r="A39" s="53">
        <v>2</v>
      </c>
      <c r="B39" s="57" t="s">
        <v>216</v>
      </c>
      <c r="C39" s="31"/>
      <c r="D39" s="60">
        <f>5/20</f>
        <v>0.25</v>
      </c>
      <c r="E39" s="31" t="s">
        <v>165</v>
      </c>
      <c r="F39" s="59">
        <v>6055</v>
      </c>
      <c r="G39" s="31"/>
      <c r="H39" s="31"/>
      <c r="I39" s="31"/>
      <c r="J39" s="50">
        <f t="shared" ref="J39:J43" si="4">D39*F39</f>
        <v>1513.75</v>
      </c>
      <c r="K39" s="239" t="s">
        <v>168</v>
      </c>
    </row>
    <row r="40" spans="1:11" ht="14.4" x14ac:dyDescent="0.3">
      <c r="A40" s="53">
        <v>3</v>
      </c>
      <c r="B40" s="58" t="s">
        <v>167</v>
      </c>
      <c r="C40" s="31"/>
      <c r="D40" s="60">
        <f>2/20</f>
        <v>0.1</v>
      </c>
      <c r="E40" s="31" t="s">
        <v>165</v>
      </c>
      <c r="F40" s="59">
        <v>4345</v>
      </c>
      <c r="G40" s="31"/>
      <c r="H40" s="31"/>
      <c r="I40" s="31"/>
      <c r="J40" s="50">
        <f t="shared" si="4"/>
        <v>434.5</v>
      </c>
      <c r="K40" s="31"/>
    </row>
    <row r="41" spans="1:11" ht="14.4" x14ac:dyDescent="0.3">
      <c r="A41" s="53">
        <v>4</v>
      </c>
      <c r="B41" s="58" t="s">
        <v>169</v>
      </c>
      <c r="C41" s="31"/>
      <c r="D41" s="269">
        <f>5/20</f>
        <v>0.25</v>
      </c>
      <c r="E41" s="31" t="s">
        <v>165</v>
      </c>
      <c r="F41" s="59">
        <v>605</v>
      </c>
      <c r="G41" s="31"/>
      <c r="H41" s="31"/>
      <c r="I41" s="31"/>
      <c r="J41" s="50">
        <f t="shared" si="4"/>
        <v>151.25</v>
      </c>
      <c r="K41" s="31"/>
    </row>
    <row r="42" spans="1:11" ht="14.4" x14ac:dyDescent="0.3">
      <c r="A42" s="53" t="s">
        <v>157</v>
      </c>
      <c r="B42" s="58" t="s">
        <v>218</v>
      </c>
      <c r="C42" s="31"/>
      <c r="D42" s="60">
        <f>2/20</f>
        <v>0.1</v>
      </c>
      <c r="E42" s="31" t="s">
        <v>165</v>
      </c>
      <c r="F42" s="59">
        <v>3235</v>
      </c>
      <c r="G42" s="31"/>
      <c r="H42" s="31"/>
      <c r="I42" s="31"/>
      <c r="J42" s="50">
        <f t="shared" si="4"/>
        <v>323.5</v>
      </c>
      <c r="K42" s="31"/>
    </row>
    <row r="43" spans="1:11" ht="14.4" hidden="1" x14ac:dyDescent="0.3">
      <c r="A43" s="54" t="s">
        <v>162</v>
      </c>
      <c r="B43" s="58"/>
      <c r="C43" s="31"/>
      <c r="D43" s="60"/>
      <c r="E43" s="31"/>
      <c r="F43" s="59"/>
      <c r="G43" s="31"/>
      <c r="H43" s="31"/>
      <c r="I43" s="31"/>
      <c r="J43" s="50">
        <f t="shared" si="4"/>
        <v>0</v>
      </c>
      <c r="K43" s="31"/>
    </row>
    <row r="44" spans="1:11" ht="14.4" x14ac:dyDescent="0.3">
      <c r="A44" s="188"/>
      <c r="B44" s="52" t="s">
        <v>123</v>
      </c>
      <c r="C44" s="30"/>
      <c r="D44" s="30"/>
      <c r="E44" s="30"/>
      <c r="F44" s="30"/>
      <c r="G44" s="30"/>
      <c r="H44" s="30"/>
      <c r="I44" s="30"/>
      <c r="J44" s="56">
        <f>SUM(J45:J50)</f>
        <v>7680</v>
      </c>
      <c r="K44" s="30"/>
    </row>
    <row r="45" spans="1:11" ht="14.4" x14ac:dyDescent="0.3">
      <c r="A45" s="53">
        <v>1</v>
      </c>
      <c r="B45" s="57" t="s">
        <v>170</v>
      </c>
      <c r="C45" s="31"/>
      <c r="D45" s="60">
        <f>D7*20</f>
        <v>1280</v>
      </c>
      <c r="E45" s="31" t="s">
        <v>171</v>
      </c>
      <c r="F45" s="59">
        <v>6</v>
      </c>
      <c r="G45" s="31"/>
      <c r="H45" s="31"/>
      <c r="I45" s="31"/>
      <c r="J45" s="50">
        <f>D45*F45</f>
        <v>7680</v>
      </c>
      <c r="K45" s="31"/>
    </row>
    <row r="46" spans="1:11" ht="14.4" x14ac:dyDescent="0.3">
      <c r="A46" s="53">
        <v>2</v>
      </c>
      <c r="B46" s="58" t="s">
        <v>172</v>
      </c>
      <c r="C46" s="31"/>
      <c r="D46" s="60"/>
      <c r="E46" s="31"/>
      <c r="F46" s="59"/>
      <c r="G46" s="31"/>
      <c r="H46" s="31"/>
      <c r="I46" s="31"/>
      <c r="J46" s="50">
        <f t="shared" ref="J46:J50" si="5">D46*F46</f>
        <v>0</v>
      </c>
      <c r="K46" s="31"/>
    </row>
    <row r="47" spans="1:11" ht="14.4" x14ac:dyDescent="0.3">
      <c r="A47" s="53">
        <v>3</v>
      </c>
      <c r="B47" s="58"/>
      <c r="C47" s="31"/>
      <c r="D47" s="60"/>
      <c r="E47" s="31"/>
      <c r="F47" s="59"/>
      <c r="G47" s="31"/>
      <c r="H47" s="31"/>
      <c r="I47" s="31"/>
      <c r="J47" s="50">
        <f t="shared" si="5"/>
        <v>0</v>
      </c>
      <c r="K47" s="31"/>
    </row>
    <row r="48" spans="1:11" ht="14.4" x14ac:dyDescent="0.3">
      <c r="A48" s="53">
        <v>4</v>
      </c>
      <c r="B48" s="58"/>
      <c r="C48" s="31"/>
      <c r="D48" s="60"/>
      <c r="E48" s="31"/>
      <c r="F48" s="59"/>
      <c r="G48" s="31"/>
      <c r="H48" s="31"/>
      <c r="I48" s="31"/>
      <c r="J48" s="50">
        <f t="shared" si="5"/>
        <v>0</v>
      </c>
      <c r="K48" s="31"/>
    </row>
    <row r="49" spans="1:11" ht="14.4" x14ac:dyDescent="0.3">
      <c r="A49" s="53" t="s">
        <v>157</v>
      </c>
      <c r="B49" s="58"/>
      <c r="C49" s="31"/>
      <c r="D49" s="60"/>
      <c r="E49" s="31"/>
      <c r="F49" s="59"/>
      <c r="G49" s="31"/>
      <c r="H49" s="31"/>
      <c r="I49" s="31"/>
      <c r="J49" s="50">
        <f t="shared" si="5"/>
        <v>0</v>
      </c>
      <c r="K49" s="31"/>
    </row>
    <row r="50" spans="1:11" ht="14.4" hidden="1" x14ac:dyDescent="0.3">
      <c r="A50" s="54" t="s">
        <v>162</v>
      </c>
      <c r="B50" s="58"/>
      <c r="C50" s="31"/>
      <c r="D50" s="60"/>
      <c r="E50" s="31"/>
      <c r="F50" s="59"/>
      <c r="G50" s="31"/>
      <c r="H50" s="31"/>
      <c r="I50" s="31"/>
      <c r="J50" s="50">
        <f t="shared" si="5"/>
        <v>0</v>
      </c>
      <c r="K50" s="31"/>
    </row>
    <row r="51" spans="1:11" ht="14.4" x14ac:dyDescent="0.3">
      <c r="A51" s="188"/>
      <c r="B51" s="52" t="s">
        <v>120</v>
      </c>
      <c r="C51" s="30"/>
      <c r="D51" s="30"/>
      <c r="E51" s="30"/>
      <c r="F51" s="30"/>
      <c r="G51" s="30"/>
      <c r="H51" s="30"/>
      <c r="I51" s="30"/>
      <c r="J51" s="56">
        <f>SUM(J52:J57)</f>
        <v>0</v>
      </c>
      <c r="K51" s="30"/>
    </row>
    <row r="52" spans="1:11" ht="14.4" x14ac:dyDescent="0.3">
      <c r="A52" s="53">
        <v>1</v>
      </c>
      <c r="B52" s="57"/>
      <c r="C52" s="31"/>
      <c r="D52" s="60"/>
      <c r="E52" s="31"/>
      <c r="F52" s="59"/>
      <c r="G52" s="31"/>
      <c r="H52" s="31"/>
      <c r="I52" s="31"/>
      <c r="J52" s="50">
        <f>D52*F52</f>
        <v>0</v>
      </c>
      <c r="K52" s="31"/>
    </row>
    <row r="53" spans="1:11" ht="14.4" x14ac:dyDescent="0.3">
      <c r="A53" s="53">
        <v>2</v>
      </c>
      <c r="B53" s="58"/>
      <c r="C53" s="31"/>
      <c r="D53" s="60"/>
      <c r="E53" s="31"/>
      <c r="F53" s="59"/>
      <c r="G53" s="31"/>
      <c r="H53" s="31"/>
      <c r="I53" s="31"/>
      <c r="J53" s="50">
        <f t="shared" ref="J53:J57" si="6">D53*F53</f>
        <v>0</v>
      </c>
      <c r="K53" s="31"/>
    </row>
    <row r="54" spans="1:11" ht="14.4" x14ac:dyDescent="0.3">
      <c r="A54" s="53">
        <v>3</v>
      </c>
      <c r="B54" s="58"/>
      <c r="C54" s="31"/>
      <c r="D54" s="60"/>
      <c r="E54" s="31"/>
      <c r="F54" s="59"/>
      <c r="G54" s="31"/>
      <c r="H54" s="31"/>
      <c r="I54" s="31"/>
      <c r="J54" s="50">
        <f t="shared" si="6"/>
        <v>0</v>
      </c>
      <c r="K54" s="31"/>
    </row>
    <row r="55" spans="1:11" ht="14.4" x14ac:dyDescent="0.3">
      <c r="A55" s="53">
        <v>4</v>
      </c>
      <c r="B55" s="58"/>
      <c r="C55" s="31"/>
      <c r="D55" s="60"/>
      <c r="E55" s="31"/>
      <c r="F55" s="59"/>
      <c r="G55" s="31"/>
      <c r="H55" s="31"/>
      <c r="I55" s="31"/>
      <c r="J55" s="50">
        <f t="shared" si="6"/>
        <v>0</v>
      </c>
      <c r="K55" s="31"/>
    </row>
    <row r="56" spans="1:11" ht="14.4" x14ac:dyDescent="0.3">
      <c r="A56" s="53" t="s">
        <v>157</v>
      </c>
      <c r="B56" s="58"/>
      <c r="C56" s="31"/>
      <c r="D56" s="60"/>
      <c r="E56" s="31"/>
      <c r="F56" s="59"/>
      <c r="G56" s="31"/>
      <c r="H56" s="31"/>
      <c r="I56" s="31"/>
      <c r="J56" s="50">
        <f t="shared" si="6"/>
        <v>0</v>
      </c>
      <c r="K56" s="31"/>
    </row>
    <row r="57" spans="1:11" ht="14.4" hidden="1" x14ac:dyDescent="0.3">
      <c r="A57" s="54" t="s">
        <v>162</v>
      </c>
      <c r="B57" s="58"/>
      <c r="C57" s="31"/>
      <c r="D57" s="60"/>
      <c r="E57" s="31"/>
      <c r="F57" s="59"/>
      <c r="G57" s="31"/>
      <c r="H57" s="31"/>
      <c r="I57" s="31"/>
      <c r="J57" s="50">
        <f t="shared" si="6"/>
        <v>0</v>
      </c>
      <c r="K57" s="31"/>
    </row>
  </sheetData>
  <hyperlinks>
    <hyperlink ref="K39" r:id="rId1" xr:uid="{CB5EE674-563C-4EA0-B602-D0FF2BF0F527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E83DA-AF3C-40A2-98C5-C9199DDE6006}">
  <sheetPr>
    <tabColor rgb="FF92D050"/>
  </sheetPr>
  <dimension ref="A1:M57"/>
  <sheetViews>
    <sheetView zoomScale="90" zoomScaleNormal="90" workbookViewId="0">
      <selection activeCell="F19" sqref="F19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4.33203125" bestFit="1" customWidth="1"/>
    <col min="7" max="7" width="13.77734375" customWidth="1"/>
    <col min="8" max="8" width="11.77734375" bestFit="1" customWidth="1"/>
    <col min="9" max="9" width="13.6640625" customWidth="1"/>
    <col min="10" max="10" width="16.109375" customWidth="1"/>
    <col min="11" max="11" width="72.6640625" customWidth="1"/>
    <col min="12" max="12" width="10.109375" bestFit="1" customWidth="1"/>
  </cols>
  <sheetData>
    <row r="1" spans="1:13" ht="14.4" x14ac:dyDescent="0.3">
      <c r="I1" s="252" t="s">
        <v>147</v>
      </c>
      <c r="J1" s="253">
        <f>J4+J15+J23+J30+J37+J44+J51</f>
        <v>81935.959999999992</v>
      </c>
      <c r="K1" t="s">
        <v>96</v>
      </c>
    </row>
    <row r="2" spans="1:13" ht="18" x14ac:dyDescent="0.3">
      <c r="B2" s="146" t="s">
        <v>256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148</v>
      </c>
      <c r="C3" s="49" t="s">
        <v>149</v>
      </c>
      <c r="D3" s="49" t="s">
        <v>8</v>
      </c>
      <c r="E3" s="49" t="s">
        <v>150</v>
      </c>
      <c r="F3" s="49" t="s">
        <v>151</v>
      </c>
      <c r="G3" s="49" t="s">
        <v>152</v>
      </c>
      <c r="H3" s="49" t="s">
        <v>175</v>
      </c>
      <c r="I3" s="49" t="s">
        <v>153</v>
      </c>
      <c r="J3" s="49" t="s">
        <v>94</v>
      </c>
      <c r="K3" s="49" t="s">
        <v>154</v>
      </c>
      <c r="L3" s="29"/>
      <c r="M3" s="29"/>
    </row>
    <row r="4" spans="1:13" ht="14.4" x14ac:dyDescent="0.3">
      <c r="A4" s="188"/>
      <c r="B4" s="52" t="s">
        <v>109</v>
      </c>
      <c r="C4" s="30"/>
      <c r="D4" s="30"/>
      <c r="E4" s="30"/>
      <c r="F4" s="30"/>
      <c r="G4" s="30"/>
      <c r="H4" s="30"/>
      <c r="I4" s="30"/>
      <c r="J4" s="56">
        <f>SUM(J5:J14)</f>
        <v>18240.96</v>
      </c>
      <c r="K4" s="30"/>
      <c r="L4" s="29"/>
      <c r="M4" s="29"/>
    </row>
    <row r="5" spans="1:13" ht="14.4" x14ac:dyDescent="0.3">
      <c r="A5" s="53">
        <v>1</v>
      </c>
      <c r="B5" s="255" t="str">
        <f>'Prevailing Wage'!C14</f>
        <v>Labor Lead</v>
      </c>
      <c r="C5" s="31"/>
      <c r="D5" s="60">
        <v>32</v>
      </c>
      <c r="E5" s="31" t="s">
        <v>118</v>
      </c>
      <c r="F5" s="256">
        <f>'Prevailing Wage'!D14</f>
        <v>74.69</v>
      </c>
      <c r="G5" s="31"/>
      <c r="H5" s="31"/>
      <c r="I5" s="31"/>
      <c r="J5" s="50">
        <f>D5*F5</f>
        <v>2390.08</v>
      </c>
      <c r="K5" s="31" t="s">
        <v>158</v>
      </c>
      <c r="L5" s="29"/>
      <c r="M5" s="29"/>
    </row>
    <row r="6" spans="1:13" ht="14.4" x14ac:dyDescent="0.3">
      <c r="A6" s="53">
        <v>2</v>
      </c>
      <c r="B6" s="255" t="str">
        <f>'Prevailing Wage'!C15</f>
        <v>Laborer</v>
      </c>
      <c r="C6" s="31"/>
      <c r="D6" s="225">
        <f>D5*'Bid Schedule'!$N$3</f>
        <v>96</v>
      </c>
      <c r="E6" s="31" t="s">
        <v>118</v>
      </c>
      <c r="F6" s="256">
        <f>'Prevailing Wage'!D15</f>
        <v>71.69</v>
      </c>
      <c r="G6" s="31"/>
      <c r="H6" s="31"/>
      <c r="I6" s="31"/>
      <c r="J6" s="50">
        <f t="shared" ref="J6:J13" si="0">D6*F6</f>
        <v>6882.24</v>
      </c>
      <c r="K6" s="225" t="s">
        <v>159</v>
      </c>
      <c r="L6" s="29"/>
      <c r="M6" s="29"/>
    </row>
    <row r="7" spans="1:13" ht="14.4" x14ac:dyDescent="0.3">
      <c r="A7" s="53">
        <v>3</v>
      </c>
      <c r="B7" s="255" t="str">
        <f>'Prevailing Wage'!C16</f>
        <v>Operator</v>
      </c>
      <c r="C7" s="31"/>
      <c r="D7" s="60">
        <v>64</v>
      </c>
      <c r="E7" s="31" t="s">
        <v>118</v>
      </c>
      <c r="F7" s="256">
        <f>'Prevailing Wage'!D16</f>
        <v>96.29</v>
      </c>
      <c r="G7" s="31"/>
      <c r="H7" s="31"/>
      <c r="I7" s="31"/>
      <c r="J7" s="50">
        <f t="shared" si="0"/>
        <v>6162.56</v>
      </c>
      <c r="K7" s="31"/>
      <c r="L7" s="29"/>
      <c r="M7" s="29"/>
    </row>
    <row r="8" spans="1:13" ht="14.4" x14ac:dyDescent="0.3">
      <c r="A8" s="53">
        <v>4</v>
      </c>
      <c r="B8" s="255" t="str">
        <f>'Prevailing Wage'!C17</f>
        <v>Driver</v>
      </c>
      <c r="C8" s="31"/>
      <c r="D8" s="60"/>
      <c r="E8" s="31" t="s">
        <v>118</v>
      </c>
      <c r="F8" s="256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5" t="str">
        <f>'Prevailing Wage'!C18</f>
        <v>Landscaper</v>
      </c>
      <c r="C9" s="31"/>
      <c r="D9" s="60"/>
      <c r="E9" s="31" t="s">
        <v>118</v>
      </c>
      <c r="F9" s="256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5" t="str">
        <f>'Prevailing Wage'!C19</f>
        <v>Pipefitter</v>
      </c>
      <c r="C10" s="31"/>
      <c r="D10" s="60">
        <v>32</v>
      </c>
      <c r="E10" s="31" t="s">
        <v>118</v>
      </c>
      <c r="F10" s="256">
        <f>'Prevailing Wage'!D19</f>
        <v>87.69</v>
      </c>
      <c r="G10" s="31"/>
      <c r="H10" s="31"/>
      <c r="I10" s="31"/>
      <c r="J10" s="50">
        <f t="shared" si="0"/>
        <v>2806.08</v>
      </c>
      <c r="K10" s="31"/>
      <c r="L10" s="29"/>
      <c r="M10" s="29"/>
    </row>
    <row r="11" spans="1:13" ht="14.4" x14ac:dyDescent="0.3">
      <c r="A11" s="53">
        <v>7</v>
      </c>
      <c r="B11" s="255" t="str">
        <f>'Prevailing Wage'!C20</f>
        <v>Etc</v>
      </c>
      <c r="C11" s="31"/>
      <c r="D11" s="60"/>
      <c r="E11" s="31" t="s">
        <v>118</v>
      </c>
      <c r="F11" s="256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5" t="str">
        <f>'Prevailing Wage'!C21</f>
        <v>Etc</v>
      </c>
      <c r="C12" s="31"/>
      <c r="D12" s="60"/>
      <c r="E12" s="31" t="s">
        <v>118</v>
      </c>
      <c r="F12" s="256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157</v>
      </c>
      <c r="B13" s="58"/>
      <c r="C13" s="31"/>
      <c r="D13" s="60"/>
      <c r="E13" s="31" t="s">
        <v>118</v>
      </c>
      <c r="F13" s="59"/>
      <c r="G13" s="31"/>
      <c r="H13" s="31"/>
      <c r="I13" s="31"/>
      <c r="J13" s="50">
        <f t="shared" si="0"/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112</v>
      </c>
      <c r="C15" s="30"/>
      <c r="D15" s="30"/>
      <c r="E15" s="30"/>
      <c r="F15" s="30"/>
      <c r="G15" s="30"/>
      <c r="H15" s="30"/>
      <c r="I15" s="30"/>
      <c r="J15" s="56">
        <f>SUM(J16:J22)</f>
        <v>53592</v>
      </c>
      <c r="K15" s="30"/>
      <c r="L15" s="29"/>
      <c r="M15" s="29"/>
    </row>
    <row r="16" spans="1:13" ht="14.4" x14ac:dyDescent="0.3">
      <c r="A16" s="53">
        <v>1</v>
      </c>
      <c r="B16" s="57" t="s">
        <v>257</v>
      </c>
      <c r="C16" s="31"/>
      <c r="D16" s="60">
        <v>0</v>
      </c>
      <c r="E16" s="31" t="s">
        <v>160</v>
      </c>
      <c r="F16" s="59">
        <v>30000</v>
      </c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 t="s">
        <v>258</v>
      </c>
      <c r="C17" s="31"/>
      <c r="D17" s="60">
        <v>1</v>
      </c>
      <c r="E17" s="31" t="s">
        <v>160</v>
      </c>
      <c r="F17" s="59">
        <v>37052</v>
      </c>
      <c r="G17" s="31" t="s">
        <v>235</v>
      </c>
      <c r="H17" s="31"/>
      <c r="I17" s="31"/>
      <c r="J17" s="50">
        <f t="shared" ref="J17:J22" si="1">D17*F17</f>
        <v>37052</v>
      </c>
      <c r="K17" s="31" t="s">
        <v>236</v>
      </c>
      <c r="L17" s="29"/>
      <c r="M17" s="29"/>
    </row>
    <row r="18" spans="1:13" ht="14.4" x14ac:dyDescent="0.3">
      <c r="A18" s="53">
        <v>3</v>
      </c>
      <c r="B18" s="58" t="s">
        <v>259</v>
      </c>
      <c r="C18" s="31"/>
      <c r="D18" s="60">
        <v>1</v>
      </c>
      <c r="E18" s="31" t="s">
        <v>160</v>
      </c>
      <c r="F18" s="59">
        <v>4840</v>
      </c>
      <c r="G18" s="31"/>
      <c r="H18" s="31"/>
      <c r="I18" s="31"/>
      <c r="J18" s="50">
        <f t="shared" si="1"/>
        <v>4840</v>
      </c>
      <c r="K18" s="31"/>
      <c r="L18" s="29"/>
      <c r="M18" s="29"/>
    </row>
    <row r="19" spans="1:13" ht="14.4" x14ac:dyDescent="0.3">
      <c r="A19" s="53">
        <v>4</v>
      </c>
      <c r="B19" s="58" t="s">
        <v>260</v>
      </c>
      <c r="C19" s="31"/>
      <c r="D19" s="60">
        <v>2</v>
      </c>
      <c r="E19" s="31" t="s">
        <v>160</v>
      </c>
      <c r="F19" s="59">
        <v>5000</v>
      </c>
      <c r="G19" s="31"/>
      <c r="H19" s="31"/>
      <c r="I19" s="31"/>
      <c r="J19" s="50">
        <f t="shared" si="1"/>
        <v>10000</v>
      </c>
      <c r="K19" s="31"/>
      <c r="L19" s="29"/>
      <c r="M19" s="29"/>
    </row>
    <row r="20" spans="1:13" ht="14.4" x14ac:dyDescent="0.3">
      <c r="A20" s="53"/>
      <c r="B20" s="58" t="s">
        <v>161</v>
      </c>
      <c r="C20" s="31"/>
      <c r="D20" s="60">
        <v>2</v>
      </c>
      <c r="E20" s="31" t="s">
        <v>160</v>
      </c>
      <c r="F20" s="59">
        <v>250</v>
      </c>
      <c r="G20" s="31"/>
      <c r="H20" s="31"/>
      <c r="I20" s="31"/>
      <c r="J20" s="50">
        <f t="shared" si="1"/>
        <v>500</v>
      </c>
      <c r="K20" s="31"/>
      <c r="L20" s="29"/>
      <c r="M20" s="29"/>
    </row>
    <row r="21" spans="1:13" ht="14.4" x14ac:dyDescent="0.3">
      <c r="A21" s="53" t="s">
        <v>157</v>
      </c>
      <c r="B21" s="58" t="s">
        <v>186</v>
      </c>
      <c r="C21" s="31"/>
      <c r="D21" s="60">
        <v>1</v>
      </c>
      <c r="E21" s="31" t="s">
        <v>107</v>
      </c>
      <c r="F21" s="59">
        <v>1200</v>
      </c>
      <c r="G21" s="31"/>
      <c r="H21" s="31"/>
      <c r="I21" s="31"/>
      <c r="J21" s="50">
        <f t="shared" si="1"/>
        <v>1200</v>
      </c>
      <c r="K21" s="31"/>
      <c r="L21" s="29"/>
      <c r="M21" s="29"/>
    </row>
    <row r="22" spans="1:13" ht="14.4" hidden="1" customHeight="1" x14ac:dyDescent="0.3">
      <c r="A22" s="54" t="s">
        <v>162</v>
      </c>
      <c r="B22" s="58"/>
      <c r="C22" s="31"/>
      <c r="D22" s="60"/>
      <c r="E22" s="31"/>
      <c r="F22" s="59"/>
      <c r="G22" s="31"/>
      <c r="H22" s="31"/>
      <c r="I22" s="31"/>
      <c r="J22" s="50">
        <f t="shared" si="1"/>
        <v>0</v>
      </c>
      <c r="K22" s="31"/>
      <c r="L22" s="29"/>
      <c r="M22" s="29"/>
    </row>
    <row r="23" spans="1:13" ht="14.4" x14ac:dyDescent="0.3">
      <c r="A23" s="188"/>
      <c r="B23" s="52" t="s">
        <v>116</v>
      </c>
      <c r="C23" s="30"/>
      <c r="D23" s="30"/>
      <c r="E23" s="30"/>
      <c r="F23" s="30"/>
      <c r="G23" s="30"/>
      <c r="H23" s="30"/>
      <c r="I23" s="30"/>
      <c r="J23" s="56">
        <f>SUM(J24:J29)</f>
        <v>0</v>
      </c>
      <c r="K23" s="30"/>
    </row>
    <row r="24" spans="1:13" ht="14.4" x14ac:dyDescent="0.3">
      <c r="A24" s="53">
        <v>1</v>
      </c>
      <c r="B24" s="57"/>
      <c r="C24" s="31"/>
      <c r="D24" s="60"/>
      <c r="E24" s="31"/>
      <c r="F24" s="59"/>
      <c r="G24" s="31"/>
      <c r="H24" s="31"/>
      <c r="I24" s="31"/>
      <c r="J24" s="50">
        <f>D24*F24</f>
        <v>0</v>
      </c>
      <c r="K24" s="31"/>
    </row>
    <row r="25" spans="1:13" ht="14.4" x14ac:dyDescent="0.3">
      <c r="A25" s="53">
        <v>2</v>
      </c>
      <c r="B25" s="58"/>
      <c r="C25" s="31"/>
      <c r="D25" s="60"/>
      <c r="E25" s="31"/>
      <c r="F25" s="59"/>
      <c r="G25" s="31"/>
      <c r="H25" s="31"/>
      <c r="I25" s="31"/>
      <c r="J25" s="50">
        <f t="shared" ref="J25:J29" si="2">D25*F25</f>
        <v>0</v>
      </c>
      <c r="K25" s="239"/>
    </row>
    <row r="26" spans="1:13" ht="14.4" x14ac:dyDescent="0.3">
      <c r="A26" s="53">
        <v>3</v>
      </c>
      <c r="B26" s="58"/>
      <c r="C26" s="31"/>
      <c r="D26" s="60"/>
      <c r="E26" s="31"/>
      <c r="F26" s="59"/>
      <c r="G26" s="31"/>
      <c r="H26" s="31"/>
      <c r="I26" s="31"/>
      <c r="J26" s="50">
        <f t="shared" si="2"/>
        <v>0</v>
      </c>
      <c r="K26" s="31"/>
    </row>
    <row r="27" spans="1:13" ht="14.4" x14ac:dyDescent="0.3">
      <c r="A27" s="53">
        <v>4</v>
      </c>
      <c r="B27" s="58"/>
      <c r="C27" s="31"/>
      <c r="D27" s="60"/>
      <c r="E27" s="31"/>
      <c r="F27" s="59"/>
      <c r="G27" s="31"/>
      <c r="H27" s="31"/>
      <c r="I27" s="31"/>
      <c r="J27" s="50">
        <f t="shared" si="2"/>
        <v>0</v>
      </c>
      <c r="K27" s="31"/>
    </row>
    <row r="28" spans="1:13" ht="14.4" x14ac:dyDescent="0.3">
      <c r="A28" s="53" t="s">
        <v>157</v>
      </c>
      <c r="B28" s="58"/>
      <c r="C28" s="31"/>
      <c r="D28" s="60"/>
      <c r="E28" s="31"/>
      <c r="F28" s="59"/>
      <c r="G28" s="31"/>
      <c r="H28" s="31"/>
      <c r="I28" s="31"/>
      <c r="J28" s="50">
        <f t="shared" si="2"/>
        <v>0</v>
      </c>
      <c r="K28" s="31"/>
    </row>
    <row r="29" spans="1:13" ht="14.4" hidden="1" x14ac:dyDescent="0.3">
      <c r="A29" s="54" t="s">
        <v>162</v>
      </c>
      <c r="B29" s="58"/>
      <c r="C29" s="31"/>
      <c r="D29" s="60"/>
      <c r="E29" s="31"/>
      <c r="F29" s="59"/>
      <c r="G29" s="31"/>
      <c r="H29" s="31"/>
      <c r="I29" s="31"/>
      <c r="J29" s="50">
        <f t="shared" si="2"/>
        <v>0</v>
      </c>
      <c r="K29" s="31"/>
    </row>
    <row r="30" spans="1:13" ht="14.4" x14ac:dyDescent="0.3">
      <c r="A30" s="188"/>
      <c r="B30" s="52" t="s">
        <v>136</v>
      </c>
      <c r="C30" s="30"/>
      <c r="D30" s="30"/>
      <c r="E30" s="30"/>
      <c r="F30" s="30"/>
      <c r="G30" s="30"/>
      <c r="H30" s="30"/>
      <c r="I30" s="30"/>
      <c r="J30" s="56">
        <f>SUM(J31:J36)</f>
        <v>0</v>
      </c>
      <c r="K30" s="30"/>
    </row>
    <row r="31" spans="1:13" ht="14.4" x14ac:dyDescent="0.3">
      <c r="A31" s="53">
        <v>1</v>
      </c>
      <c r="B31" s="57"/>
      <c r="C31" s="31"/>
      <c r="D31" s="60"/>
      <c r="E31" s="31"/>
      <c r="F31" s="59"/>
      <c r="G31" s="31"/>
      <c r="H31" s="31"/>
      <c r="I31" s="31"/>
      <c r="J31" s="50">
        <f>D31*F31</f>
        <v>0</v>
      </c>
      <c r="K31" s="31"/>
    </row>
    <row r="32" spans="1:13" ht="14.4" x14ac:dyDescent="0.3">
      <c r="A32" s="53">
        <v>2</v>
      </c>
      <c r="B32" s="58"/>
      <c r="C32" s="31"/>
      <c r="D32" s="60"/>
      <c r="E32" s="31"/>
      <c r="F32" s="59"/>
      <c r="G32" s="31"/>
      <c r="H32" s="31"/>
      <c r="I32" s="31"/>
      <c r="J32" s="50">
        <f t="shared" ref="J32:J36" si="3">D32*F32</f>
        <v>0</v>
      </c>
      <c r="K32" s="31"/>
    </row>
    <row r="33" spans="1:11" ht="14.4" x14ac:dyDescent="0.3">
      <c r="A33" s="53">
        <v>3</v>
      </c>
      <c r="B33" s="58"/>
      <c r="C33" s="31"/>
      <c r="D33" s="60"/>
      <c r="E33" s="31"/>
      <c r="F33" s="59"/>
      <c r="G33" s="31"/>
      <c r="H33" s="31"/>
      <c r="I33" s="31"/>
      <c r="J33" s="50">
        <f t="shared" si="3"/>
        <v>0</v>
      </c>
      <c r="K33" s="31"/>
    </row>
    <row r="34" spans="1:11" ht="14.4" x14ac:dyDescent="0.3">
      <c r="A34" s="53">
        <v>4</v>
      </c>
      <c r="B34" s="58"/>
      <c r="C34" s="31"/>
      <c r="D34" s="60"/>
      <c r="E34" s="31"/>
      <c r="F34" s="59"/>
      <c r="G34" s="31"/>
      <c r="H34" s="31"/>
      <c r="I34" s="31"/>
      <c r="J34" s="50">
        <f t="shared" si="3"/>
        <v>0</v>
      </c>
      <c r="K34" s="31"/>
    </row>
    <row r="35" spans="1:11" ht="14.4" x14ac:dyDescent="0.3">
      <c r="A35" s="53" t="s">
        <v>157</v>
      </c>
      <c r="B35" s="58"/>
      <c r="C35" s="31"/>
      <c r="D35" s="60"/>
      <c r="E35" s="31"/>
      <c r="F35" s="59"/>
      <c r="G35" s="31"/>
      <c r="H35" s="31"/>
      <c r="I35" s="31"/>
      <c r="J35" s="50">
        <f t="shared" si="3"/>
        <v>0</v>
      </c>
      <c r="K35" s="31"/>
    </row>
    <row r="36" spans="1:11" ht="14.4" hidden="1" x14ac:dyDescent="0.3">
      <c r="A36" s="54" t="s">
        <v>162</v>
      </c>
      <c r="B36" s="58"/>
      <c r="C36" s="31"/>
      <c r="D36" s="60"/>
      <c r="E36" s="31"/>
      <c r="F36" s="59"/>
      <c r="G36" s="31"/>
      <c r="H36" s="31"/>
      <c r="I36" s="31"/>
      <c r="J36" s="50">
        <f t="shared" si="3"/>
        <v>0</v>
      </c>
      <c r="K36" s="31"/>
    </row>
    <row r="37" spans="1:11" ht="14.4" x14ac:dyDescent="0.3">
      <c r="A37" s="188"/>
      <c r="B37" s="52" t="s">
        <v>121</v>
      </c>
      <c r="C37" s="30"/>
      <c r="D37" s="30"/>
      <c r="E37" s="30"/>
      <c r="F37" s="30"/>
      <c r="G37" s="30"/>
      <c r="H37" s="30"/>
      <c r="I37" s="30"/>
      <c r="J37" s="56">
        <f>SUM(J38:J43)</f>
        <v>2423</v>
      </c>
      <c r="K37" s="30"/>
    </row>
    <row r="38" spans="1:11" ht="14.4" x14ac:dyDescent="0.3">
      <c r="A38" s="53">
        <v>1</v>
      </c>
      <c r="B38" s="57" t="s">
        <v>215</v>
      </c>
      <c r="C38" s="31"/>
      <c r="D38" s="269">
        <v>0</v>
      </c>
      <c r="E38" s="31" t="s">
        <v>165</v>
      </c>
      <c r="F38" s="59">
        <v>13100</v>
      </c>
      <c r="G38" s="31"/>
      <c r="H38" s="31"/>
      <c r="I38" s="31"/>
      <c r="J38" s="50">
        <f>D38*F38</f>
        <v>0</v>
      </c>
      <c r="K38" s="31" t="s">
        <v>166</v>
      </c>
    </row>
    <row r="39" spans="1:11" ht="14.4" x14ac:dyDescent="0.3">
      <c r="A39" s="53">
        <v>2</v>
      </c>
      <c r="B39" s="57" t="s">
        <v>216</v>
      </c>
      <c r="C39" s="31"/>
      <c r="D39" s="60">
        <f>5/20</f>
        <v>0.25</v>
      </c>
      <c r="E39" s="31" t="s">
        <v>165</v>
      </c>
      <c r="F39" s="59">
        <v>6055</v>
      </c>
      <c r="G39" s="31"/>
      <c r="H39" s="31"/>
      <c r="I39" s="31"/>
      <c r="J39" s="50">
        <f t="shared" ref="J39:J43" si="4">D39*F39</f>
        <v>1513.75</v>
      </c>
      <c r="K39" s="239" t="s">
        <v>168</v>
      </c>
    </row>
    <row r="40" spans="1:11" ht="14.4" x14ac:dyDescent="0.3">
      <c r="A40" s="53">
        <v>3</v>
      </c>
      <c r="B40" s="58" t="s">
        <v>167</v>
      </c>
      <c r="C40" s="31"/>
      <c r="D40" s="60">
        <f>2/20</f>
        <v>0.1</v>
      </c>
      <c r="E40" s="31" t="s">
        <v>165</v>
      </c>
      <c r="F40" s="59">
        <v>4345</v>
      </c>
      <c r="G40" s="31"/>
      <c r="H40" s="31"/>
      <c r="I40" s="31"/>
      <c r="J40" s="50">
        <f t="shared" si="4"/>
        <v>434.5</v>
      </c>
      <c r="K40" s="31"/>
    </row>
    <row r="41" spans="1:11" ht="14.4" x14ac:dyDescent="0.3">
      <c r="A41" s="53">
        <v>4</v>
      </c>
      <c r="B41" s="58" t="s">
        <v>169</v>
      </c>
      <c r="C41" s="31"/>
      <c r="D41" s="269">
        <f>5/20</f>
        <v>0.25</v>
      </c>
      <c r="E41" s="31" t="s">
        <v>165</v>
      </c>
      <c r="F41" s="59">
        <v>605</v>
      </c>
      <c r="G41" s="31"/>
      <c r="H41" s="31"/>
      <c r="I41" s="31"/>
      <c r="J41" s="50">
        <f t="shared" si="4"/>
        <v>151.25</v>
      </c>
      <c r="K41" s="31"/>
    </row>
    <row r="42" spans="1:11" ht="14.4" x14ac:dyDescent="0.3">
      <c r="A42" s="53" t="s">
        <v>157</v>
      </c>
      <c r="B42" s="58" t="s">
        <v>218</v>
      </c>
      <c r="C42" s="31"/>
      <c r="D42" s="60">
        <f>2/20</f>
        <v>0.1</v>
      </c>
      <c r="E42" s="31" t="s">
        <v>165</v>
      </c>
      <c r="F42" s="59">
        <v>3235</v>
      </c>
      <c r="G42" s="31"/>
      <c r="H42" s="31"/>
      <c r="I42" s="31"/>
      <c r="J42" s="50">
        <f t="shared" si="4"/>
        <v>323.5</v>
      </c>
      <c r="K42" s="31"/>
    </row>
    <row r="43" spans="1:11" ht="14.4" hidden="1" x14ac:dyDescent="0.3">
      <c r="A43" s="54" t="s">
        <v>162</v>
      </c>
      <c r="B43" s="58"/>
      <c r="C43" s="31"/>
      <c r="D43" s="60"/>
      <c r="E43" s="31"/>
      <c r="F43" s="59"/>
      <c r="G43" s="31"/>
      <c r="H43" s="31"/>
      <c r="I43" s="31"/>
      <c r="J43" s="50">
        <f t="shared" si="4"/>
        <v>0</v>
      </c>
      <c r="K43" s="31"/>
    </row>
    <row r="44" spans="1:11" ht="14.4" x14ac:dyDescent="0.3">
      <c r="A44" s="188"/>
      <c r="B44" s="52" t="s">
        <v>123</v>
      </c>
      <c r="C44" s="30"/>
      <c r="D44" s="30"/>
      <c r="E44" s="30"/>
      <c r="F44" s="30"/>
      <c r="G44" s="30"/>
      <c r="H44" s="30"/>
      <c r="I44" s="30"/>
      <c r="J44" s="56">
        <f>SUM(J45:J50)</f>
        <v>7680</v>
      </c>
      <c r="K44" s="30"/>
    </row>
    <row r="45" spans="1:11" ht="14.4" x14ac:dyDescent="0.3">
      <c r="A45" s="53">
        <v>1</v>
      </c>
      <c r="B45" s="57" t="s">
        <v>170</v>
      </c>
      <c r="C45" s="31"/>
      <c r="D45" s="60">
        <f>D7*20</f>
        <v>1280</v>
      </c>
      <c r="E45" s="31" t="s">
        <v>171</v>
      </c>
      <c r="F45" s="59">
        <v>6</v>
      </c>
      <c r="G45" s="31"/>
      <c r="H45" s="31"/>
      <c r="I45" s="31"/>
      <c r="J45" s="50">
        <f>D45*F45</f>
        <v>7680</v>
      </c>
      <c r="K45" s="31"/>
    </row>
    <row r="46" spans="1:11" ht="14.4" x14ac:dyDescent="0.3">
      <c r="A46" s="53">
        <v>2</v>
      </c>
      <c r="B46" s="58" t="s">
        <v>172</v>
      </c>
      <c r="C46" s="31"/>
      <c r="D46" s="60"/>
      <c r="E46" s="31"/>
      <c r="F46" s="59"/>
      <c r="G46" s="31"/>
      <c r="H46" s="31"/>
      <c r="I46" s="31"/>
      <c r="J46" s="50">
        <f t="shared" ref="J46:J50" si="5">D46*F46</f>
        <v>0</v>
      </c>
      <c r="K46" s="31"/>
    </row>
    <row r="47" spans="1:11" ht="14.4" x14ac:dyDescent="0.3">
      <c r="A47" s="53">
        <v>3</v>
      </c>
      <c r="B47" s="58"/>
      <c r="C47" s="31"/>
      <c r="D47" s="60"/>
      <c r="E47" s="31"/>
      <c r="F47" s="59"/>
      <c r="G47" s="31"/>
      <c r="H47" s="31"/>
      <c r="I47" s="31"/>
      <c r="J47" s="50">
        <f t="shared" si="5"/>
        <v>0</v>
      </c>
      <c r="K47" s="31"/>
    </row>
    <row r="48" spans="1:11" ht="14.4" x14ac:dyDescent="0.3">
      <c r="A48" s="53">
        <v>4</v>
      </c>
      <c r="B48" s="58"/>
      <c r="C48" s="31"/>
      <c r="D48" s="60"/>
      <c r="E48" s="31"/>
      <c r="F48" s="59"/>
      <c r="G48" s="31"/>
      <c r="H48" s="31"/>
      <c r="I48" s="31"/>
      <c r="J48" s="50">
        <f t="shared" si="5"/>
        <v>0</v>
      </c>
      <c r="K48" s="31"/>
    </row>
    <row r="49" spans="1:11" ht="14.4" x14ac:dyDescent="0.3">
      <c r="A49" s="53" t="s">
        <v>157</v>
      </c>
      <c r="B49" s="58"/>
      <c r="C49" s="31"/>
      <c r="D49" s="60"/>
      <c r="E49" s="31"/>
      <c r="F49" s="59"/>
      <c r="G49" s="31"/>
      <c r="H49" s="31"/>
      <c r="I49" s="31"/>
      <c r="J49" s="50">
        <f t="shared" si="5"/>
        <v>0</v>
      </c>
      <c r="K49" s="31"/>
    </row>
    <row r="50" spans="1:11" ht="14.4" hidden="1" x14ac:dyDescent="0.3">
      <c r="A50" s="54" t="s">
        <v>162</v>
      </c>
      <c r="B50" s="58"/>
      <c r="C50" s="31"/>
      <c r="D50" s="60"/>
      <c r="E50" s="31"/>
      <c r="F50" s="59"/>
      <c r="G50" s="31"/>
      <c r="H50" s="31"/>
      <c r="I50" s="31"/>
      <c r="J50" s="50">
        <f t="shared" si="5"/>
        <v>0</v>
      </c>
      <c r="K50" s="31"/>
    </row>
    <row r="51" spans="1:11" ht="14.4" x14ac:dyDescent="0.3">
      <c r="A51" s="188"/>
      <c r="B51" s="52" t="s">
        <v>120</v>
      </c>
      <c r="C51" s="30"/>
      <c r="D51" s="30"/>
      <c r="E51" s="30"/>
      <c r="F51" s="30"/>
      <c r="G51" s="30"/>
      <c r="H51" s="30"/>
      <c r="I51" s="30"/>
      <c r="J51" s="56">
        <f>SUM(J52:J57)</f>
        <v>0</v>
      </c>
      <c r="K51" s="30"/>
    </row>
    <row r="52" spans="1:11" ht="14.4" x14ac:dyDescent="0.3">
      <c r="A52" s="53">
        <v>1</v>
      </c>
      <c r="B52" s="57"/>
      <c r="C52" s="31"/>
      <c r="D52" s="60"/>
      <c r="E52" s="31"/>
      <c r="F52" s="59"/>
      <c r="G52" s="31"/>
      <c r="H52" s="31"/>
      <c r="I52" s="31"/>
      <c r="J52" s="50">
        <f>D52*F52</f>
        <v>0</v>
      </c>
      <c r="K52" s="31"/>
    </row>
    <row r="53" spans="1:11" ht="14.4" x14ac:dyDescent="0.3">
      <c r="A53" s="53">
        <v>2</v>
      </c>
      <c r="B53" s="58"/>
      <c r="C53" s="31"/>
      <c r="D53" s="60"/>
      <c r="E53" s="31"/>
      <c r="F53" s="59"/>
      <c r="G53" s="31"/>
      <c r="H53" s="31"/>
      <c r="I53" s="31"/>
      <c r="J53" s="50">
        <f t="shared" ref="J53:J57" si="6">D53*F53</f>
        <v>0</v>
      </c>
      <c r="K53" s="31"/>
    </row>
    <row r="54" spans="1:11" ht="14.4" x14ac:dyDescent="0.3">
      <c r="A54" s="53">
        <v>3</v>
      </c>
      <c r="B54" s="58"/>
      <c r="C54" s="31"/>
      <c r="D54" s="60"/>
      <c r="E54" s="31"/>
      <c r="F54" s="59"/>
      <c r="G54" s="31"/>
      <c r="H54" s="31"/>
      <c r="I54" s="31"/>
      <c r="J54" s="50">
        <f t="shared" si="6"/>
        <v>0</v>
      </c>
      <c r="K54" s="31"/>
    </row>
    <row r="55" spans="1:11" ht="14.4" x14ac:dyDescent="0.3">
      <c r="A55" s="53">
        <v>4</v>
      </c>
      <c r="B55" s="58"/>
      <c r="C55" s="31"/>
      <c r="D55" s="60"/>
      <c r="E55" s="31"/>
      <c r="F55" s="59"/>
      <c r="G55" s="31"/>
      <c r="H55" s="31"/>
      <c r="I55" s="31"/>
      <c r="J55" s="50">
        <f t="shared" si="6"/>
        <v>0</v>
      </c>
      <c r="K55" s="31"/>
    </row>
    <row r="56" spans="1:11" ht="14.4" x14ac:dyDescent="0.3">
      <c r="A56" s="53" t="s">
        <v>157</v>
      </c>
      <c r="B56" s="58"/>
      <c r="C56" s="31"/>
      <c r="D56" s="60"/>
      <c r="E56" s="31"/>
      <c r="F56" s="59"/>
      <c r="G56" s="31"/>
      <c r="H56" s="31"/>
      <c r="I56" s="31"/>
      <c r="J56" s="50">
        <f t="shared" si="6"/>
        <v>0</v>
      </c>
      <c r="K56" s="31"/>
    </row>
    <row r="57" spans="1:11" ht="14.4" hidden="1" x14ac:dyDescent="0.3">
      <c r="A57" s="54" t="s">
        <v>162</v>
      </c>
      <c r="B57" s="58"/>
      <c r="C57" s="31"/>
      <c r="D57" s="60"/>
      <c r="E57" s="31"/>
      <c r="F57" s="59"/>
      <c r="G57" s="31"/>
      <c r="H57" s="31"/>
      <c r="I57" s="31"/>
      <c r="J57" s="50">
        <f t="shared" si="6"/>
        <v>0</v>
      </c>
      <c r="K57" s="31"/>
    </row>
  </sheetData>
  <hyperlinks>
    <hyperlink ref="K39" r:id="rId1" xr:uid="{ACD9FF15-47BB-459F-B9F5-99E1593AB25B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A1E2B-D9F8-493F-895F-1BA74AF5829C}">
  <sheetPr>
    <tabColor rgb="FF92D050"/>
  </sheetPr>
  <dimension ref="A1:M63"/>
  <sheetViews>
    <sheetView zoomScale="90" zoomScaleNormal="90" workbookViewId="0">
      <selection activeCell="D5" sqref="D5:D8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3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2" t="s">
        <v>147</v>
      </c>
      <c r="J1" s="253">
        <f>J4+J15+J29+J36+J43+J50+J57</f>
        <v>47262.44</v>
      </c>
      <c r="K1" t="s">
        <v>96</v>
      </c>
    </row>
    <row r="2" spans="1:13" ht="18" x14ac:dyDescent="0.3">
      <c r="B2" s="146" t="str">
        <f>'Bid Summary'!F25</f>
        <v>2-inch Underground Combination Air Valve Assembly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148</v>
      </c>
      <c r="C3" s="49" t="s">
        <v>149</v>
      </c>
      <c r="D3" s="49" t="s">
        <v>8</v>
      </c>
      <c r="E3" s="49" t="s">
        <v>150</v>
      </c>
      <c r="F3" s="49" t="s">
        <v>151</v>
      </c>
      <c r="G3" s="49" t="s">
        <v>152</v>
      </c>
      <c r="H3" s="49" t="s">
        <v>175</v>
      </c>
      <c r="I3" s="49" t="s">
        <v>153</v>
      </c>
      <c r="J3" s="49" t="s">
        <v>94</v>
      </c>
      <c r="K3" s="49" t="s">
        <v>154</v>
      </c>
      <c r="L3" s="29"/>
      <c r="M3" s="29"/>
    </row>
    <row r="4" spans="1:13" ht="14.4" x14ac:dyDescent="0.3">
      <c r="A4" s="188"/>
      <c r="B4" s="52" t="s">
        <v>109</v>
      </c>
      <c r="C4" s="30"/>
      <c r="D4" s="30"/>
      <c r="E4" s="30"/>
      <c r="F4" s="30"/>
      <c r="G4" s="30"/>
      <c r="H4" s="30"/>
      <c r="I4" s="30"/>
      <c r="J4" s="56">
        <f>SUM(J5:J14)</f>
        <v>20371.440000000002</v>
      </c>
      <c r="K4" s="30"/>
      <c r="L4" s="29"/>
      <c r="M4" s="29"/>
    </row>
    <row r="5" spans="1:13" ht="14.4" x14ac:dyDescent="0.3">
      <c r="A5" s="53">
        <v>1</v>
      </c>
      <c r="B5" s="255" t="str">
        <f>'Prevailing Wage'!C14</f>
        <v>Labor Lead</v>
      </c>
      <c r="C5" s="31"/>
      <c r="D5" s="60">
        <v>48</v>
      </c>
      <c r="E5" s="31" t="s">
        <v>118</v>
      </c>
      <c r="F5" s="256">
        <f>'Prevailing Wage'!D14</f>
        <v>74.69</v>
      </c>
      <c r="G5" s="31"/>
      <c r="H5" s="31"/>
      <c r="I5" s="31"/>
      <c r="J5" s="50">
        <f>D5*F5</f>
        <v>3585.12</v>
      </c>
      <c r="K5" s="31" t="s">
        <v>158</v>
      </c>
      <c r="L5" s="29"/>
      <c r="M5" s="29"/>
    </row>
    <row r="6" spans="1:13" ht="14.4" x14ac:dyDescent="0.3">
      <c r="A6" s="53">
        <v>2</v>
      </c>
      <c r="B6" s="255" t="str">
        <f>'Prevailing Wage'!C15</f>
        <v>Laborer</v>
      </c>
      <c r="C6" s="31"/>
      <c r="D6" s="225">
        <f>D5*'Bid Schedule'!$N$3</f>
        <v>144</v>
      </c>
      <c r="E6" s="31" t="s">
        <v>118</v>
      </c>
      <c r="F6" s="256">
        <f>'Prevailing Wage'!D15</f>
        <v>71.69</v>
      </c>
      <c r="G6" s="31"/>
      <c r="H6" s="31"/>
      <c r="I6" s="31"/>
      <c r="J6" s="50">
        <f t="shared" ref="J6:J12" si="0">D6*F6</f>
        <v>10323.36</v>
      </c>
      <c r="K6" s="225" t="s">
        <v>159</v>
      </c>
      <c r="L6" s="29"/>
      <c r="M6" s="29"/>
    </row>
    <row r="7" spans="1:13" ht="14.4" x14ac:dyDescent="0.3">
      <c r="A7" s="53">
        <v>3</v>
      </c>
      <c r="B7" s="255" t="str">
        <f>'Prevailing Wage'!C16</f>
        <v>Operator</v>
      </c>
      <c r="C7" s="31"/>
      <c r="D7" s="60">
        <v>48</v>
      </c>
      <c r="E7" s="31" t="s">
        <v>118</v>
      </c>
      <c r="F7" s="256">
        <f>'Prevailing Wage'!D16</f>
        <v>96.29</v>
      </c>
      <c r="G7" s="31"/>
      <c r="H7" s="31"/>
      <c r="I7" s="31"/>
      <c r="J7" s="50">
        <f t="shared" si="0"/>
        <v>4621.92</v>
      </c>
      <c r="K7" s="31"/>
      <c r="L7" s="29"/>
      <c r="M7" s="29"/>
    </row>
    <row r="8" spans="1:13" ht="14.4" x14ac:dyDescent="0.3">
      <c r="A8" s="53">
        <v>4</v>
      </c>
      <c r="B8" s="255" t="str">
        <f>'Prevailing Wage'!C17</f>
        <v>Driver</v>
      </c>
      <c r="C8" s="31"/>
      <c r="D8" s="60">
        <v>24</v>
      </c>
      <c r="E8" s="31" t="s">
        <v>118</v>
      </c>
      <c r="F8" s="256">
        <f>'Prevailing Wage'!D17</f>
        <v>76.709999999999994</v>
      </c>
      <c r="G8" s="31"/>
      <c r="H8" s="31"/>
      <c r="I8" s="31"/>
      <c r="J8" s="50">
        <f t="shared" si="0"/>
        <v>1841.04</v>
      </c>
      <c r="K8" s="31"/>
      <c r="L8" s="29"/>
      <c r="M8" s="29"/>
    </row>
    <row r="9" spans="1:13" ht="14.4" x14ac:dyDescent="0.3">
      <c r="A9" s="53">
        <v>5</v>
      </c>
      <c r="B9" s="255" t="str">
        <f>'Prevailing Wage'!C18</f>
        <v>Landscaper</v>
      </c>
      <c r="C9" s="31"/>
      <c r="D9" s="60"/>
      <c r="E9" s="31" t="s">
        <v>118</v>
      </c>
      <c r="F9" s="256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5" t="str">
        <f>'Prevailing Wage'!C19</f>
        <v>Pipefitter</v>
      </c>
      <c r="C10" s="31"/>
      <c r="D10" s="60"/>
      <c r="E10" s="31" t="s">
        <v>118</v>
      </c>
      <c r="F10" s="256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5" t="str">
        <f>'Prevailing Wage'!C20</f>
        <v>Etc</v>
      </c>
      <c r="C11" s="31"/>
      <c r="D11" s="60"/>
      <c r="E11" s="31" t="s">
        <v>118</v>
      </c>
      <c r="F11" s="256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5" t="str">
        <f>'Prevailing Wage'!C21</f>
        <v>Etc</v>
      </c>
      <c r="C12" s="31"/>
      <c r="D12" s="60"/>
      <c r="E12" s="31" t="s">
        <v>118</v>
      </c>
      <c r="F12" s="256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157</v>
      </c>
      <c r="B13" s="58"/>
      <c r="C13" s="31"/>
      <c r="D13" s="60"/>
      <c r="E13" s="31" t="s">
        <v>118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112</v>
      </c>
      <c r="C15" s="30"/>
      <c r="D15" s="30"/>
      <c r="E15" s="30"/>
      <c r="F15" s="30"/>
      <c r="G15" s="30"/>
      <c r="H15" s="30"/>
      <c r="I15" s="30"/>
      <c r="J15" s="56">
        <f>SUM(J16:J28)</f>
        <v>23170</v>
      </c>
      <c r="K15" s="30"/>
      <c r="L15" s="29"/>
      <c r="M15" s="29"/>
    </row>
    <row r="16" spans="1:13" ht="14.4" x14ac:dyDescent="0.3">
      <c r="A16" s="53">
        <v>1</v>
      </c>
      <c r="B16" s="57" t="s">
        <v>261</v>
      </c>
      <c r="C16" s="31"/>
      <c r="D16" s="60">
        <v>1</v>
      </c>
      <c r="E16" s="31" t="s">
        <v>160</v>
      </c>
      <c r="F16" s="59">
        <v>4000</v>
      </c>
      <c r="G16" s="31"/>
      <c r="H16" s="31"/>
      <c r="I16" s="31"/>
      <c r="J16" s="50">
        <f>D16*F16</f>
        <v>4000</v>
      </c>
      <c r="K16" s="31"/>
      <c r="L16" s="29"/>
      <c r="M16" s="29"/>
    </row>
    <row r="17" spans="1:13" ht="14.4" x14ac:dyDescent="0.3">
      <c r="A17" s="53"/>
      <c r="B17" s="57" t="s">
        <v>262</v>
      </c>
      <c r="C17" s="31"/>
      <c r="D17" s="60">
        <v>1</v>
      </c>
      <c r="E17" s="31" t="s">
        <v>160</v>
      </c>
      <c r="F17" s="59">
        <v>5000</v>
      </c>
      <c r="G17" s="31"/>
      <c r="H17" s="31"/>
      <c r="I17" s="31"/>
      <c r="J17" s="50">
        <f t="shared" ref="J17:J24" si="2">D17*F17</f>
        <v>5000</v>
      </c>
      <c r="K17" s="31"/>
      <c r="L17" s="29"/>
      <c r="M17" s="29"/>
    </row>
    <row r="18" spans="1:13" ht="14.4" x14ac:dyDescent="0.3">
      <c r="A18" s="53">
        <v>2</v>
      </c>
      <c r="B18" s="58" t="s">
        <v>263</v>
      </c>
      <c r="C18" s="31"/>
      <c r="D18" s="60">
        <v>2</v>
      </c>
      <c r="E18" s="31" t="s">
        <v>160</v>
      </c>
      <c r="F18" s="59">
        <v>20</v>
      </c>
      <c r="G18" s="31"/>
      <c r="H18" s="31"/>
      <c r="I18" s="31"/>
      <c r="J18" s="50">
        <f t="shared" si="2"/>
        <v>40</v>
      </c>
      <c r="K18" s="31"/>
      <c r="L18" s="29"/>
      <c r="M18" s="29"/>
    </row>
    <row r="19" spans="1:13" ht="14.4" x14ac:dyDescent="0.3">
      <c r="A19" s="53">
        <v>3</v>
      </c>
      <c r="B19" s="58" t="s">
        <v>264</v>
      </c>
      <c r="C19" s="31"/>
      <c r="D19" s="60">
        <v>2</v>
      </c>
      <c r="E19" s="31" t="s">
        <v>160</v>
      </c>
      <c r="F19" s="59">
        <v>200</v>
      </c>
      <c r="G19" s="31"/>
      <c r="H19" s="31"/>
      <c r="I19" s="31"/>
      <c r="J19" s="50">
        <f t="shared" si="2"/>
        <v>400</v>
      </c>
      <c r="K19" s="31"/>
      <c r="L19" s="29"/>
      <c r="M19" s="29"/>
    </row>
    <row r="20" spans="1:13" ht="14.4" x14ac:dyDescent="0.3">
      <c r="A20" s="53">
        <v>4</v>
      </c>
      <c r="B20" s="58" t="s">
        <v>265</v>
      </c>
      <c r="C20" s="31"/>
      <c r="D20" s="60">
        <v>2</v>
      </c>
      <c r="E20" s="31" t="s">
        <v>160</v>
      </c>
      <c r="F20" s="59">
        <v>15</v>
      </c>
      <c r="G20" s="31"/>
      <c r="H20" s="31"/>
      <c r="I20" s="31"/>
      <c r="J20" s="50">
        <f t="shared" si="2"/>
        <v>30</v>
      </c>
      <c r="K20" s="31"/>
      <c r="L20" s="29"/>
      <c r="M20" s="29"/>
    </row>
    <row r="21" spans="1:13" ht="14.4" x14ac:dyDescent="0.3">
      <c r="A21" s="53">
        <v>5</v>
      </c>
      <c r="B21" s="58" t="s">
        <v>266</v>
      </c>
      <c r="C21" s="31"/>
      <c r="D21" s="60">
        <v>2</v>
      </c>
      <c r="E21" s="31" t="s">
        <v>160</v>
      </c>
      <c r="F21" s="59">
        <v>2230</v>
      </c>
      <c r="G21" s="31"/>
      <c r="H21" s="31"/>
      <c r="I21" s="31"/>
      <c r="J21" s="50">
        <f t="shared" si="2"/>
        <v>4460</v>
      </c>
      <c r="K21" s="31" t="s">
        <v>267</v>
      </c>
      <c r="L21" s="29"/>
      <c r="M21" s="29"/>
    </row>
    <row r="22" spans="1:13" ht="14.4" x14ac:dyDescent="0.3">
      <c r="A22" s="53">
        <v>6</v>
      </c>
      <c r="B22" s="58" t="s">
        <v>268</v>
      </c>
      <c r="C22" s="31"/>
      <c r="D22" s="60">
        <v>2</v>
      </c>
      <c r="E22" s="31" t="s">
        <v>160</v>
      </c>
      <c r="F22" s="59">
        <v>20</v>
      </c>
      <c r="G22" s="31"/>
      <c r="H22" s="31"/>
      <c r="I22" s="31"/>
      <c r="J22" s="50">
        <f t="shared" si="2"/>
        <v>40</v>
      </c>
      <c r="K22" s="31"/>
      <c r="L22" s="29"/>
      <c r="M22" s="29"/>
    </row>
    <row r="23" spans="1:13" ht="14.4" x14ac:dyDescent="0.3">
      <c r="A23" s="53">
        <v>7</v>
      </c>
      <c r="B23" s="58" t="s">
        <v>269</v>
      </c>
      <c r="C23" s="31"/>
      <c r="D23" s="60">
        <v>2</v>
      </c>
      <c r="E23" s="31" t="s">
        <v>160</v>
      </c>
      <c r="F23" s="59">
        <v>100</v>
      </c>
      <c r="G23" s="31"/>
      <c r="H23" s="31"/>
      <c r="I23" s="31"/>
      <c r="J23" s="50">
        <f t="shared" si="2"/>
        <v>200</v>
      </c>
      <c r="K23" s="31"/>
      <c r="L23" s="29"/>
      <c r="M23" s="29"/>
    </row>
    <row r="24" spans="1:13" ht="14.4" x14ac:dyDescent="0.3">
      <c r="A24" s="53">
        <v>8</v>
      </c>
      <c r="B24" s="58" t="s">
        <v>270</v>
      </c>
      <c r="C24" s="31"/>
      <c r="D24" s="60">
        <v>2</v>
      </c>
      <c r="E24" s="31" t="s">
        <v>160</v>
      </c>
      <c r="F24" s="59">
        <v>4000</v>
      </c>
      <c r="G24" s="31"/>
      <c r="H24" s="31"/>
      <c r="I24" s="31"/>
      <c r="J24" s="50">
        <f t="shared" si="2"/>
        <v>8000</v>
      </c>
      <c r="K24" s="31"/>
      <c r="L24" s="29"/>
      <c r="M24" s="29"/>
    </row>
    <row r="25" spans="1:13" ht="14.4" x14ac:dyDescent="0.3">
      <c r="A25" s="53">
        <v>9</v>
      </c>
      <c r="B25" s="58" t="s">
        <v>325</v>
      </c>
      <c r="C25" s="31"/>
      <c r="D25" s="60">
        <v>2</v>
      </c>
      <c r="E25" s="31" t="s">
        <v>160</v>
      </c>
      <c r="F25" s="59">
        <v>500</v>
      </c>
      <c r="G25" s="31"/>
      <c r="H25" s="31"/>
      <c r="I25" s="31"/>
      <c r="J25" s="50">
        <f t="shared" ref="J25:J28" si="3">D25*F25</f>
        <v>1000</v>
      </c>
      <c r="K25" s="31"/>
      <c r="L25" s="29"/>
      <c r="M25" s="29"/>
    </row>
    <row r="26" spans="1:13" ht="14.4" x14ac:dyDescent="0.3">
      <c r="A26" s="53">
        <v>10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  <c r="L26" s="29"/>
      <c r="M26" s="29"/>
    </row>
    <row r="27" spans="1:13" ht="14.4" x14ac:dyDescent="0.3">
      <c r="A27" s="53" t="s">
        <v>157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  <c r="L27" s="29"/>
      <c r="M27" s="29"/>
    </row>
    <row r="28" spans="1:13" ht="14.4" hidden="1" customHeight="1" x14ac:dyDescent="0.3">
      <c r="A28" s="54" t="s">
        <v>162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  <c r="L28" s="29"/>
      <c r="M28" s="29"/>
    </row>
    <row r="29" spans="1:13" ht="14.4" x14ac:dyDescent="0.3">
      <c r="A29" s="188"/>
      <c r="B29" s="52" t="s">
        <v>116</v>
      </c>
      <c r="C29" s="30"/>
      <c r="D29" s="30"/>
      <c r="E29" s="30"/>
      <c r="F29" s="30"/>
      <c r="G29" s="30"/>
      <c r="H29" s="30"/>
      <c r="I29" s="30"/>
      <c r="J29" s="56">
        <f>SUM(J30:J35)</f>
        <v>640</v>
      </c>
      <c r="K29" s="30"/>
    </row>
    <row r="30" spans="1:13" ht="14.4" x14ac:dyDescent="0.3">
      <c r="A30" s="53">
        <v>1</v>
      </c>
      <c r="B30" s="57" t="s">
        <v>271</v>
      </c>
      <c r="C30" s="31"/>
      <c r="D30" s="60">
        <v>8</v>
      </c>
      <c r="E30" s="31" t="s">
        <v>118</v>
      </c>
      <c r="F30" s="59">
        <v>80</v>
      </c>
      <c r="G30" s="31"/>
      <c r="H30" s="31"/>
      <c r="I30" s="31"/>
      <c r="J30" s="50">
        <f>D30*F30</f>
        <v>640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239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157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162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136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/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31"/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157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162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121</v>
      </c>
      <c r="C43" s="30"/>
      <c r="D43" s="30"/>
      <c r="E43" s="30"/>
      <c r="F43" s="30"/>
      <c r="G43" s="30"/>
      <c r="H43" s="30"/>
      <c r="I43" s="30"/>
      <c r="J43" s="56">
        <f>SUM(J44:J49)</f>
        <v>1161</v>
      </c>
      <c r="K43" s="30"/>
    </row>
    <row r="44" spans="1:11" ht="14.4" x14ac:dyDescent="0.3">
      <c r="A44" s="53">
        <v>1</v>
      </c>
      <c r="B44" s="57" t="s">
        <v>215</v>
      </c>
      <c r="C44" s="31"/>
      <c r="D44" s="269">
        <v>0</v>
      </c>
      <c r="E44" s="31" t="s">
        <v>165</v>
      </c>
      <c r="F44" s="59">
        <v>13100</v>
      </c>
      <c r="G44" s="31"/>
      <c r="H44" s="31"/>
      <c r="I44" s="31"/>
      <c r="J44" s="50">
        <f>D44*F44</f>
        <v>0</v>
      </c>
      <c r="K44" s="31" t="s">
        <v>166</v>
      </c>
    </row>
    <row r="45" spans="1:11" ht="14.4" x14ac:dyDescent="0.3">
      <c r="A45" s="53">
        <v>2</v>
      </c>
      <c r="B45" s="57" t="s">
        <v>216</v>
      </c>
      <c r="C45" s="31"/>
      <c r="D45" s="60">
        <f>2/20</f>
        <v>0.1</v>
      </c>
      <c r="E45" s="31" t="s">
        <v>165</v>
      </c>
      <c r="F45" s="59">
        <v>6055</v>
      </c>
      <c r="G45" s="31"/>
      <c r="H45" s="31"/>
      <c r="I45" s="31"/>
      <c r="J45" s="50">
        <f t="shared" ref="J45:J49" si="6">D45*F45</f>
        <v>605.5</v>
      </c>
      <c r="K45" s="239" t="s">
        <v>168</v>
      </c>
    </row>
    <row r="46" spans="1:11" ht="14.4" x14ac:dyDescent="0.3">
      <c r="A46" s="53">
        <v>3</v>
      </c>
      <c r="B46" s="58" t="s">
        <v>167</v>
      </c>
      <c r="C46" s="31"/>
      <c r="D46" s="60">
        <f>2/20</f>
        <v>0.1</v>
      </c>
      <c r="E46" s="31" t="s">
        <v>165</v>
      </c>
      <c r="F46" s="59">
        <v>4345</v>
      </c>
      <c r="G46" s="31"/>
      <c r="H46" s="31"/>
      <c r="I46" s="31"/>
      <c r="J46" s="50">
        <f t="shared" si="6"/>
        <v>434.5</v>
      </c>
      <c r="K46" s="31"/>
    </row>
    <row r="47" spans="1:11" ht="14.4" x14ac:dyDescent="0.3">
      <c r="A47" s="53">
        <v>4</v>
      </c>
      <c r="B47" s="58" t="s">
        <v>169</v>
      </c>
      <c r="C47" s="31"/>
      <c r="D47" s="269">
        <f>4/20</f>
        <v>0.2</v>
      </c>
      <c r="E47" s="31" t="s">
        <v>165</v>
      </c>
      <c r="F47" s="59">
        <v>605</v>
      </c>
      <c r="G47" s="31"/>
      <c r="H47" s="31"/>
      <c r="I47" s="31"/>
      <c r="J47" s="50">
        <f t="shared" si="6"/>
        <v>121</v>
      </c>
      <c r="K47" s="31"/>
    </row>
    <row r="48" spans="1:11" ht="14.4" x14ac:dyDescent="0.3">
      <c r="A48" s="53" t="s">
        <v>157</v>
      </c>
      <c r="B48" s="58" t="s">
        <v>218</v>
      </c>
      <c r="C48" s="31"/>
      <c r="D48" s="60">
        <v>0</v>
      </c>
      <c r="E48" s="31" t="s">
        <v>165</v>
      </c>
      <c r="F48" s="59">
        <v>3235</v>
      </c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162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123</v>
      </c>
      <c r="C50" s="30"/>
      <c r="D50" s="30"/>
      <c r="E50" s="30"/>
      <c r="F50" s="30"/>
      <c r="G50" s="30"/>
      <c r="H50" s="30"/>
      <c r="I50" s="30"/>
      <c r="J50" s="56">
        <f>SUM(J51:J56)</f>
        <v>1920</v>
      </c>
      <c r="K50" s="30"/>
    </row>
    <row r="51" spans="1:11" ht="14.4" x14ac:dyDescent="0.3">
      <c r="A51" s="53">
        <v>1</v>
      </c>
      <c r="B51" s="57" t="s">
        <v>170</v>
      </c>
      <c r="C51" s="31"/>
      <c r="D51" s="60">
        <v>320</v>
      </c>
      <c r="E51" s="31" t="s">
        <v>171</v>
      </c>
      <c r="F51" s="59">
        <v>6</v>
      </c>
      <c r="G51" s="31"/>
      <c r="H51" s="31"/>
      <c r="I51" s="31"/>
      <c r="J51" s="50">
        <f>D51*F51</f>
        <v>1920</v>
      </c>
      <c r="K51" s="31"/>
    </row>
    <row r="52" spans="1:11" ht="14.4" x14ac:dyDescent="0.3">
      <c r="A52" s="53">
        <v>2</v>
      </c>
      <c r="B52" s="58" t="s">
        <v>172</v>
      </c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157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162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  <row r="57" spans="1:11" ht="14.4" x14ac:dyDescent="0.3">
      <c r="A57" s="188"/>
      <c r="B57" s="52" t="s">
        <v>120</v>
      </c>
      <c r="C57" s="30"/>
      <c r="D57" s="30"/>
      <c r="E57" s="30"/>
      <c r="F57" s="30"/>
      <c r="G57" s="30"/>
      <c r="H57" s="30"/>
      <c r="I57" s="30"/>
      <c r="J57" s="56">
        <f>SUM(J58:J63)</f>
        <v>0</v>
      </c>
      <c r="K57" s="30"/>
    </row>
    <row r="58" spans="1:11" ht="14.4" x14ac:dyDescent="0.3">
      <c r="A58" s="53">
        <v>1</v>
      </c>
      <c r="B58" s="57"/>
      <c r="C58" s="31"/>
      <c r="D58" s="60"/>
      <c r="E58" s="31"/>
      <c r="F58" s="59"/>
      <c r="G58" s="31"/>
      <c r="H58" s="31"/>
      <c r="I58" s="31"/>
      <c r="J58" s="50">
        <f>D58*F58</f>
        <v>0</v>
      </c>
      <c r="K58" s="31"/>
    </row>
    <row r="59" spans="1:11" ht="14.4" x14ac:dyDescent="0.3">
      <c r="A59" s="53">
        <v>2</v>
      </c>
      <c r="B59" s="58"/>
      <c r="C59" s="31"/>
      <c r="D59" s="60"/>
      <c r="E59" s="31"/>
      <c r="F59" s="59"/>
      <c r="G59" s="31"/>
      <c r="H59" s="31"/>
      <c r="I59" s="31"/>
      <c r="J59" s="50">
        <f t="shared" ref="J59:J63" si="8">D59*F59</f>
        <v>0</v>
      </c>
      <c r="K59" s="31"/>
    </row>
    <row r="60" spans="1:11" ht="14.4" x14ac:dyDescent="0.3">
      <c r="A60" s="53">
        <v>3</v>
      </c>
      <c r="B60" s="58"/>
      <c r="C60" s="31"/>
      <c r="D60" s="60"/>
      <c r="E60" s="31"/>
      <c r="F60" s="59"/>
      <c r="G60" s="31"/>
      <c r="H60" s="31"/>
      <c r="I60" s="31"/>
      <c r="J60" s="50">
        <f t="shared" si="8"/>
        <v>0</v>
      </c>
      <c r="K60" s="31"/>
    </row>
    <row r="61" spans="1:11" ht="14.4" x14ac:dyDescent="0.3">
      <c r="A61" s="53">
        <v>4</v>
      </c>
      <c r="B61" s="58"/>
      <c r="C61" s="31"/>
      <c r="D61" s="60"/>
      <c r="E61" s="31"/>
      <c r="F61" s="59"/>
      <c r="G61" s="31"/>
      <c r="H61" s="31"/>
      <c r="I61" s="31"/>
      <c r="J61" s="50">
        <f t="shared" si="8"/>
        <v>0</v>
      </c>
      <c r="K61" s="31"/>
    </row>
    <row r="62" spans="1:11" ht="14.4" x14ac:dyDescent="0.3">
      <c r="A62" s="53" t="s">
        <v>157</v>
      </c>
      <c r="B62" s="58"/>
      <c r="C62" s="31"/>
      <c r="D62" s="60"/>
      <c r="E62" s="31"/>
      <c r="F62" s="59"/>
      <c r="G62" s="31"/>
      <c r="H62" s="31"/>
      <c r="I62" s="31"/>
      <c r="J62" s="50">
        <f t="shared" si="8"/>
        <v>0</v>
      </c>
      <c r="K62" s="31"/>
    </row>
    <row r="63" spans="1:11" ht="14.4" hidden="1" x14ac:dyDescent="0.3">
      <c r="A63" s="54" t="s">
        <v>162</v>
      </c>
      <c r="B63" s="58"/>
      <c r="C63" s="31"/>
      <c r="D63" s="60"/>
      <c r="E63" s="31"/>
      <c r="F63" s="59"/>
      <c r="G63" s="31"/>
      <c r="H63" s="31"/>
      <c r="I63" s="31"/>
      <c r="J63" s="50">
        <f t="shared" si="8"/>
        <v>0</v>
      </c>
      <c r="K63" s="31"/>
    </row>
  </sheetData>
  <hyperlinks>
    <hyperlink ref="K45" r:id="rId1" xr:uid="{8EBA85E9-FAE7-4A97-89B9-C3B472CA039E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CE69E-52F2-4051-85D8-BA88BE25FCFC}">
  <sheetPr>
    <tabColor rgb="FF92D050"/>
  </sheetPr>
  <dimension ref="A1:M62"/>
  <sheetViews>
    <sheetView topLeftCell="A10" zoomScale="90" zoomScaleNormal="90" workbookViewId="0">
      <selection activeCell="H10" sqref="H10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4.109375" customWidth="1"/>
    <col min="7" max="7" width="13.77734375" customWidth="1"/>
    <col min="8" max="8" width="11.77734375" bestFit="1" customWidth="1"/>
    <col min="9" max="9" width="13.6640625" customWidth="1"/>
    <col min="10" max="10" width="13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2" t="s">
        <v>147</v>
      </c>
      <c r="J1" s="253">
        <f>J4+J15+J28+J35+J42+J49+J56</f>
        <v>52478.94</v>
      </c>
      <c r="K1" t="s">
        <v>96</v>
      </c>
    </row>
    <row r="2" spans="1:13" ht="18" x14ac:dyDescent="0.3">
      <c r="B2" s="146" t="str">
        <f>'Bid Summary'!F26</f>
        <v>3-inch Underground Combination Air Valve Assembly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148</v>
      </c>
      <c r="C3" s="49" t="s">
        <v>149</v>
      </c>
      <c r="D3" s="49" t="s">
        <v>8</v>
      </c>
      <c r="E3" s="49" t="s">
        <v>150</v>
      </c>
      <c r="F3" s="49" t="s">
        <v>151</v>
      </c>
      <c r="G3" s="49" t="s">
        <v>152</v>
      </c>
      <c r="H3" s="49" t="s">
        <v>175</v>
      </c>
      <c r="I3" s="49" t="s">
        <v>153</v>
      </c>
      <c r="J3" s="49" t="s">
        <v>94</v>
      </c>
      <c r="K3" s="49" t="s">
        <v>154</v>
      </c>
      <c r="L3" s="29"/>
      <c r="M3" s="29"/>
    </row>
    <row r="4" spans="1:13" ht="14.4" x14ac:dyDescent="0.3">
      <c r="A4" s="188"/>
      <c r="B4" s="52" t="s">
        <v>109</v>
      </c>
      <c r="C4" s="30"/>
      <c r="D4" s="30"/>
      <c r="E4" s="30"/>
      <c r="F4" s="30"/>
      <c r="G4" s="30"/>
      <c r="H4" s="30"/>
      <c r="I4" s="30"/>
      <c r="J4" s="56">
        <f>SUM(J5:J14)</f>
        <v>20371.440000000002</v>
      </c>
      <c r="K4" s="30"/>
      <c r="L4" s="29"/>
      <c r="M4" s="29"/>
    </row>
    <row r="5" spans="1:13" ht="14.4" x14ac:dyDescent="0.3">
      <c r="A5" s="53">
        <v>1</v>
      </c>
      <c r="B5" s="255" t="str">
        <f>'Prevailing Wage'!C14</f>
        <v>Labor Lead</v>
      </c>
      <c r="C5" s="31"/>
      <c r="D5" s="60">
        <v>48</v>
      </c>
      <c r="E5" s="31" t="s">
        <v>118</v>
      </c>
      <c r="F5" s="256">
        <f>'Prevailing Wage'!D14</f>
        <v>74.69</v>
      </c>
      <c r="G5" s="31"/>
      <c r="H5" s="31"/>
      <c r="I5" s="31"/>
      <c r="J5" s="50">
        <f>D5*F5</f>
        <v>3585.12</v>
      </c>
      <c r="K5" s="31" t="s">
        <v>158</v>
      </c>
      <c r="L5" s="29"/>
      <c r="M5" s="29"/>
    </row>
    <row r="6" spans="1:13" ht="14.4" x14ac:dyDescent="0.3">
      <c r="A6" s="53">
        <v>2</v>
      </c>
      <c r="B6" s="255" t="str">
        <f>'Prevailing Wage'!C15</f>
        <v>Laborer</v>
      </c>
      <c r="C6" s="31"/>
      <c r="D6" s="225">
        <f>D5*'Bid Schedule'!$N$3</f>
        <v>144</v>
      </c>
      <c r="E6" s="31" t="s">
        <v>118</v>
      </c>
      <c r="F6" s="256">
        <f>'Prevailing Wage'!D15</f>
        <v>71.69</v>
      </c>
      <c r="G6" s="31"/>
      <c r="H6" s="31"/>
      <c r="I6" s="31"/>
      <c r="J6" s="50">
        <f t="shared" ref="J6:J12" si="0">D6*F6</f>
        <v>10323.36</v>
      </c>
      <c r="K6" s="225" t="s">
        <v>159</v>
      </c>
      <c r="L6" s="29"/>
      <c r="M6" s="29"/>
    </row>
    <row r="7" spans="1:13" ht="14.4" x14ac:dyDescent="0.3">
      <c r="A7" s="53">
        <v>3</v>
      </c>
      <c r="B7" s="255" t="str">
        <f>'Prevailing Wage'!C16</f>
        <v>Operator</v>
      </c>
      <c r="C7" s="31"/>
      <c r="D7" s="60">
        <v>48</v>
      </c>
      <c r="E7" s="31" t="s">
        <v>118</v>
      </c>
      <c r="F7" s="256">
        <f>'Prevailing Wage'!D16</f>
        <v>96.29</v>
      </c>
      <c r="G7" s="31"/>
      <c r="H7" s="31"/>
      <c r="I7" s="31"/>
      <c r="J7" s="50">
        <f t="shared" si="0"/>
        <v>4621.92</v>
      </c>
      <c r="K7" s="31"/>
      <c r="L7" s="29"/>
      <c r="M7" s="29"/>
    </row>
    <row r="8" spans="1:13" ht="14.4" x14ac:dyDescent="0.3">
      <c r="A8" s="53">
        <v>4</v>
      </c>
      <c r="B8" s="255" t="str">
        <f>'Prevailing Wage'!C17</f>
        <v>Driver</v>
      </c>
      <c r="C8" s="31"/>
      <c r="D8" s="60">
        <v>24</v>
      </c>
      <c r="E8" s="31" t="s">
        <v>118</v>
      </c>
      <c r="F8" s="256">
        <f>'Prevailing Wage'!D17</f>
        <v>76.709999999999994</v>
      </c>
      <c r="G8" s="31"/>
      <c r="H8" s="31"/>
      <c r="I8" s="31"/>
      <c r="J8" s="50">
        <f t="shared" si="0"/>
        <v>1841.04</v>
      </c>
      <c r="K8" s="31"/>
      <c r="L8" s="29"/>
      <c r="M8" s="29"/>
    </row>
    <row r="9" spans="1:13" ht="14.4" x14ac:dyDescent="0.3">
      <c r="A9" s="53">
        <v>5</v>
      </c>
      <c r="B9" s="255" t="str">
        <f>'Prevailing Wage'!C18</f>
        <v>Landscaper</v>
      </c>
      <c r="C9" s="31"/>
      <c r="D9" s="60"/>
      <c r="E9" s="31" t="s">
        <v>118</v>
      </c>
      <c r="F9" s="256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5" t="str">
        <f>'Prevailing Wage'!C19</f>
        <v>Pipefitter</v>
      </c>
      <c r="C10" s="31"/>
      <c r="D10" s="60"/>
      <c r="E10" s="31" t="s">
        <v>118</v>
      </c>
      <c r="F10" s="256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5" t="str">
        <f>'Prevailing Wage'!C20</f>
        <v>Etc</v>
      </c>
      <c r="C11" s="31"/>
      <c r="D11" s="60"/>
      <c r="E11" s="31" t="s">
        <v>118</v>
      </c>
      <c r="F11" s="256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5" t="str">
        <f>'Prevailing Wage'!C21</f>
        <v>Etc</v>
      </c>
      <c r="C12" s="31"/>
      <c r="D12" s="60"/>
      <c r="E12" s="31" t="s">
        <v>118</v>
      </c>
      <c r="F12" s="256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157</v>
      </c>
      <c r="B13" s="58"/>
      <c r="C13" s="31"/>
      <c r="D13" s="60"/>
      <c r="E13" s="31" t="s">
        <v>118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112</v>
      </c>
      <c r="C15" s="30"/>
      <c r="D15" s="30"/>
      <c r="E15" s="30"/>
      <c r="F15" s="30"/>
      <c r="G15" s="30"/>
      <c r="H15" s="30"/>
      <c r="I15" s="30"/>
      <c r="J15" s="56">
        <f>SUM(J16:J27)</f>
        <v>25926</v>
      </c>
      <c r="K15" s="30"/>
      <c r="L15" s="29"/>
      <c r="M15" s="29"/>
    </row>
    <row r="16" spans="1:13" ht="14.4" x14ac:dyDescent="0.3">
      <c r="A16" s="53">
        <v>1</v>
      </c>
      <c r="B16" s="57" t="s">
        <v>272</v>
      </c>
      <c r="C16" s="31"/>
      <c r="D16" s="60">
        <v>1</v>
      </c>
      <c r="E16" s="31" t="s">
        <v>160</v>
      </c>
      <c r="F16" s="59">
        <v>4000</v>
      </c>
      <c r="G16" s="31"/>
      <c r="H16" s="31"/>
      <c r="I16" s="31"/>
      <c r="J16" s="50">
        <f>D16*F16</f>
        <v>4000</v>
      </c>
      <c r="K16" s="31"/>
      <c r="L16" s="29"/>
      <c r="M16" s="29"/>
    </row>
    <row r="17" spans="1:13" ht="14.4" x14ac:dyDescent="0.3">
      <c r="A17" s="53">
        <v>2</v>
      </c>
      <c r="B17" s="57" t="s">
        <v>273</v>
      </c>
      <c r="C17" s="31"/>
      <c r="D17" s="60">
        <v>1</v>
      </c>
      <c r="E17" s="31" t="s">
        <v>160</v>
      </c>
      <c r="F17" s="59">
        <v>5000</v>
      </c>
      <c r="G17" s="31"/>
      <c r="H17" s="31"/>
      <c r="I17" s="31"/>
      <c r="J17" s="50">
        <f t="shared" ref="J17:J27" si="2">D17*F17</f>
        <v>5000</v>
      </c>
      <c r="K17" s="31"/>
      <c r="L17" s="29"/>
      <c r="M17" s="29"/>
    </row>
    <row r="18" spans="1:13" ht="14.4" x14ac:dyDescent="0.3">
      <c r="A18" s="53">
        <v>3</v>
      </c>
      <c r="B18" s="58" t="s">
        <v>274</v>
      </c>
      <c r="C18" s="31"/>
      <c r="D18" s="60">
        <v>2</v>
      </c>
      <c r="E18" s="31" t="s">
        <v>160</v>
      </c>
      <c r="F18" s="59">
        <v>30</v>
      </c>
      <c r="G18" s="31"/>
      <c r="H18" s="31"/>
      <c r="I18" s="31"/>
      <c r="J18" s="50">
        <f t="shared" si="2"/>
        <v>60</v>
      </c>
      <c r="K18" s="31"/>
      <c r="L18" s="29"/>
      <c r="M18" s="29"/>
    </row>
    <row r="19" spans="1:13" ht="14.4" x14ac:dyDescent="0.3">
      <c r="A19" s="53">
        <v>4</v>
      </c>
      <c r="B19" s="58" t="s">
        <v>275</v>
      </c>
      <c r="C19" s="31"/>
      <c r="D19" s="60">
        <v>2</v>
      </c>
      <c r="E19" s="31" t="s">
        <v>160</v>
      </c>
      <c r="F19" s="59">
        <v>250</v>
      </c>
      <c r="G19" s="31"/>
      <c r="H19" s="31"/>
      <c r="I19" s="31"/>
      <c r="J19" s="50">
        <f t="shared" si="2"/>
        <v>500</v>
      </c>
      <c r="K19" s="31"/>
      <c r="L19" s="29"/>
      <c r="M19" s="29"/>
    </row>
    <row r="20" spans="1:13" ht="14.4" x14ac:dyDescent="0.3">
      <c r="A20" s="53"/>
      <c r="B20" s="58" t="s">
        <v>276</v>
      </c>
      <c r="C20" s="31"/>
      <c r="D20" s="60">
        <v>2</v>
      </c>
      <c r="E20" s="31" t="s">
        <v>160</v>
      </c>
      <c r="F20" s="59">
        <v>20</v>
      </c>
      <c r="G20" s="31"/>
      <c r="H20" s="31"/>
      <c r="I20" s="31"/>
      <c r="J20" s="50">
        <f t="shared" si="2"/>
        <v>40</v>
      </c>
      <c r="K20" s="31"/>
      <c r="L20" s="29"/>
      <c r="M20" s="29"/>
    </row>
    <row r="21" spans="1:13" ht="14.4" x14ac:dyDescent="0.3">
      <c r="A21" s="53"/>
      <c r="B21" s="58" t="s">
        <v>277</v>
      </c>
      <c r="C21" s="31"/>
      <c r="D21" s="60">
        <v>2</v>
      </c>
      <c r="E21" s="31" t="s">
        <v>160</v>
      </c>
      <c r="F21" s="59">
        <v>3983</v>
      </c>
      <c r="G21" s="31"/>
      <c r="H21" s="31"/>
      <c r="I21" s="31"/>
      <c r="J21" s="50">
        <f t="shared" si="2"/>
        <v>7966</v>
      </c>
      <c r="K21" s="31" t="s">
        <v>278</v>
      </c>
      <c r="L21" s="29"/>
      <c r="M21" s="29"/>
    </row>
    <row r="22" spans="1:13" ht="14.4" x14ac:dyDescent="0.3">
      <c r="A22" s="53"/>
      <c r="B22" s="58" t="s">
        <v>279</v>
      </c>
      <c r="C22" s="31"/>
      <c r="D22" s="60">
        <v>2</v>
      </c>
      <c r="E22" s="31" t="s">
        <v>160</v>
      </c>
      <c r="F22" s="59">
        <v>30</v>
      </c>
      <c r="G22" s="31"/>
      <c r="H22" s="31"/>
      <c r="I22" s="31"/>
      <c r="J22" s="50">
        <f t="shared" si="2"/>
        <v>60</v>
      </c>
      <c r="K22" s="31"/>
      <c r="L22" s="29"/>
      <c r="M22" s="29"/>
    </row>
    <row r="23" spans="1:13" ht="14.4" x14ac:dyDescent="0.3">
      <c r="A23" s="53"/>
      <c r="B23" s="58" t="s">
        <v>280</v>
      </c>
      <c r="C23" s="31"/>
      <c r="D23" s="60">
        <v>2</v>
      </c>
      <c r="E23" s="31" t="s">
        <v>160</v>
      </c>
      <c r="F23" s="59">
        <v>150</v>
      </c>
      <c r="G23" s="31"/>
      <c r="H23" s="31"/>
      <c r="I23" s="31"/>
      <c r="J23" s="50">
        <f t="shared" si="2"/>
        <v>300</v>
      </c>
      <c r="K23" s="31"/>
      <c r="L23" s="29"/>
      <c r="M23" s="29"/>
    </row>
    <row r="24" spans="1:13" ht="14.4" x14ac:dyDescent="0.3">
      <c r="A24" s="53"/>
      <c r="B24" s="58" t="s">
        <v>270</v>
      </c>
      <c r="C24" s="31"/>
      <c r="D24" s="60">
        <v>2</v>
      </c>
      <c r="E24" s="31" t="s">
        <v>160</v>
      </c>
      <c r="F24" s="59">
        <v>4000</v>
      </c>
      <c r="G24" s="31"/>
      <c r="H24" s="31"/>
      <c r="I24" s="31"/>
      <c r="J24" s="50">
        <f t="shared" si="2"/>
        <v>8000</v>
      </c>
      <c r="K24" s="31"/>
      <c r="L24" s="29"/>
      <c r="M24" s="29"/>
    </row>
    <row r="25" spans="1:13" ht="14.4" x14ac:dyDescent="0.3">
      <c r="A25" s="53"/>
      <c r="B25" s="58"/>
      <c r="C25" s="31"/>
      <c r="D25" s="60"/>
      <c r="E25" s="31"/>
      <c r="F25" s="59"/>
      <c r="G25" s="31"/>
      <c r="H25" s="31"/>
      <c r="I25" s="31"/>
      <c r="J25" s="50"/>
      <c r="K25" s="31"/>
      <c r="L25" s="29"/>
      <c r="M25" s="29"/>
    </row>
    <row r="26" spans="1:13" ht="14.4" x14ac:dyDescent="0.3">
      <c r="A26" s="53" t="s">
        <v>157</v>
      </c>
      <c r="B26" s="58"/>
      <c r="C26" s="31"/>
      <c r="D26" s="60"/>
      <c r="E26" s="31"/>
      <c r="F26" s="59"/>
      <c r="G26" s="31"/>
      <c r="H26" s="31"/>
      <c r="I26" s="31"/>
      <c r="J26" s="50">
        <f t="shared" si="2"/>
        <v>0</v>
      </c>
      <c r="K26" s="31"/>
      <c r="L26" s="29"/>
      <c r="M26" s="29"/>
    </row>
    <row r="27" spans="1:13" ht="14.4" hidden="1" customHeight="1" x14ac:dyDescent="0.3">
      <c r="A27" s="54" t="s">
        <v>162</v>
      </c>
      <c r="B27" s="58"/>
      <c r="C27" s="31"/>
      <c r="D27" s="60"/>
      <c r="E27" s="31"/>
      <c r="F27" s="59"/>
      <c r="G27" s="31"/>
      <c r="H27" s="31"/>
      <c r="I27" s="31"/>
      <c r="J27" s="50">
        <f t="shared" si="2"/>
        <v>0</v>
      </c>
      <c r="K27" s="31"/>
      <c r="L27" s="29"/>
      <c r="M27" s="29"/>
    </row>
    <row r="28" spans="1:13" ht="14.4" x14ac:dyDescent="0.3">
      <c r="A28" s="188"/>
      <c r="B28" s="52" t="s">
        <v>116</v>
      </c>
      <c r="C28" s="30"/>
      <c r="D28" s="30"/>
      <c r="E28" s="30"/>
      <c r="F28" s="30"/>
      <c r="G28" s="30"/>
      <c r="H28" s="30"/>
      <c r="I28" s="30"/>
      <c r="J28" s="56">
        <f>SUM(J29:J34)</f>
        <v>640</v>
      </c>
      <c r="K28" s="30"/>
    </row>
    <row r="29" spans="1:13" ht="14.4" x14ac:dyDescent="0.3">
      <c r="A29" s="53">
        <v>1</v>
      </c>
      <c r="B29" s="57" t="s">
        <v>271</v>
      </c>
      <c r="C29" s="31"/>
      <c r="D29" s="60">
        <v>8</v>
      </c>
      <c r="E29" s="31" t="s">
        <v>118</v>
      </c>
      <c r="F29" s="59">
        <v>80</v>
      </c>
      <c r="G29" s="31"/>
      <c r="H29" s="31"/>
      <c r="I29" s="31"/>
      <c r="J29" s="50">
        <f>D29*F29</f>
        <v>640</v>
      </c>
      <c r="K29" s="31"/>
    </row>
    <row r="30" spans="1:13" ht="14.4" x14ac:dyDescent="0.3">
      <c r="A30" s="53">
        <v>2</v>
      </c>
      <c r="B30" s="58"/>
      <c r="C30" s="31"/>
      <c r="D30" s="60"/>
      <c r="E30" s="31"/>
      <c r="F30" s="59"/>
      <c r="G30" s="31"/>
      <c r="H30" s="31"/>
      <c r="I30" s="31"/>
      <c r="J30" s="50">
        <f t="shared" ref="J30:J34" si="3">D30*F30</f>
        <v>0</v>
      </c>
      <c r="K30" s="239"/>
    </row>
    <row r="31" spans="1:13" ht="14.4" x14ac:dyDescent="0.3">
      <c r="A31" s="53">
        <v>3</v>
      </c>
      <c r="B31" s="58"/>
      <c r="C31" s="31"/>
      <c r="D31" s="60"/>
      <c r="E31" s="31"/>
      <c r="F31" s="59"/>
      <c r="G31" s="31"/>
      <c r="H31" s="31"/>
      <c r="I31" s="31"/>
      <c r="J31" s="50">
        <f t="shared" si="3"/>
        <v>0</v>
      </c>
      <c r="K31" s="31"/>
    </row>
    <row r="32" spans="1:13" ht="14.4" x14ac:dyDescent="0.3">
      <c r="A32" s="53">
        <v>4</v>
      </c>
      <c r="B32" s="58"/>
      <c r="C32" s="31"/>
      <c r="D32" s="60"/>
      <c r="E32" s="31"/>
      <c r="F32" s="59"/>
      <c r="G32" s="31"/>
      <c r="H32" s="31"/>
      <c r="I32" s="31"/>
      <c r="J32" s="50">
        <f t="shared" si="3"/>
        <v>0</v>
      </c>
      <c r="K32" s="31"/>
    </row>
    <row r="33" spans="1:11" ht="14.4" x14ac:dyDescent="0.3">
      <c r="A33" s="53" t="s">
        <v>157</v>
      </c>
      <c r="B33" s="58"/>
      <c r="C33" s="31"/>
      <c r="D33" s="60"/>
      <c r="E33" s="31"/>
      <c r="F33" s="59"/>
      <c r="G33" s="31"/>
      <c r="H33" s="31"/>
      <c r="I33" s="31"/>
      <c r="J33" s="50">
        <f t="shared" si="3"/>
        <v>0</v>
      </c>
      <c r="K33" s="31"/>
    </row>
    <row r="34" spans="1:11" ht="14.4" hidden="1" x14ac:dyDescent="0.3">
      <c r="A34" s="54" t="s">
        <v>162</v>
      </c>
      <c r="B34" s="58"/>
      <c r="C34" s="31"/>
      <c r="D34" s="60"/>
      <c r="E34" s="31"/>
      <c r="F34" s="59"/>
      <c r="G34" s="31"/>
      <c r="H34" s="31"/>
      <c r="I34" s="31"/>
      <c r="J34" s="50">
        <f t="shared" si="3"/>
        <v>0</v>
      </c>
      <c r="K34" s="31"/>
    </row>
    <row r="35" spans="1:11" ht="14.4" x14ac:dyDescent="0.3">
      <c r="A35" s="188"/>
      <c r="B35" s="52" t="s">
        <v>136</v>
      </c>
      <c r="C35" s="30"/>
      <c r="D35" s="30"/>
      <c r="E35" s="30"/>
      <c r="F35" s="30"/>
      <c r="G35" s="30"/>
      <c r="H35" s="30"/>
      <c r="I35" s="30"/>
      <c r="J35" s="56">
        <f>SUM(J36:J41)</f>
        <v>0</v>
      </c>
      <c r="K35" s="30"/>
    </row>
    <row r="36" spans="1:11" ht="14.4" x14ac:dyDescent="0.3">
      <c r="A36" s="53">
        <v>1</v>
      </c>
      <c r="B36" s="57"/>
      <c r="C36" s="31"/>
      <c r="D36" s="60"/>
      <c r="E36" s="31"/>
      <c r="F36" s="59"/>
      <c r="G36" s="31"/>
      <c r="H36" s="31"/>
      <c r="I36" s="31"/>
      <c r="J36" s="50">
        <f>D36*F36</f>
        <v>0</v>
      </c>
      <c r="K36" s="31"/>
    </row>
    <row r="37" spans="1:11" ht="14.4" x14ac:dyDescent="0.3">
      <c r="A37" s="53">
        <v>2</v>
      </c>
      <c r="B37" s="58"/>
      <c r="C37" s="31"/>
      <c r="D37" s="60"/>
      <c r="E37" s="31"/>
      <c r="F37" s="59"/>
      <c r="G37" s="31"/>
      <c r="H37" s="31"/>
      <c r="I37" s="31"/>
      <c r="J37" s="50">
        <f t="shared" ref="J37:J41" si="4">D37*F37</f>
        <v>0</v>
      </c>
      <c r="K37" s="31"/>
    </row>
    <row r="38" spans="1:11" ht="14.4" x14ac:dyDescent="0.3">
      <c r="A38" s="53">
        <v>3</v>
      </c>
      <c r="B38" s="58"/>
      <c r="C38" s="31"/>
      <c r="D38" s="60"/>
      <c r="E38" s="31"/>
      <c r="F38" s="59"/>
      <c r="G38" s="31"/>
      <c r="H38" s="31"/>
      <c r="I38" s="31"/>
      <c r="J38" s="50">
        <f t="shared" si="4"/>
        <v>0</v>
      </c>
      <c r="K38" s="31"/>
    </row>
    <row r="39" spans="1:11" ht="14.4" x14ac:dyDescent="0.3">
      <c r="A39" s="53">
        <v>4</v>
      </c>
      <c r="B39" s="58"/>
      <c r="C39" s="31"/>
      <c r="D39" s="60"/>
      <c r="E39" s="31"/>
      <c r="F39" s="59"/>
      <c r="G39" s="31"/>
      <c r="H39" s="31"/>
      <c r="I39" s="31"/>
      <c r="J39" s="50">
        <f t="shared" si="4"/>
        <v>0</v>
      </c>
      <c r="K39" s="31"/>
    </row>
    <row r="40" spans="1:11" ht="14.4" x14ac:dyDescent="0.3">
      <c r="A40" s="53" t="s">
        <v>157</v>
      </c>
      <c r="B40" s="58"/>
      <c r="C40" s="31"/>
      <c r="D40" s="60"/>
      <c r="E40" s="31"/>
      <c r="F40" s="59"/>
      <c r="G40" s="31"/>
      <c r="H40" s="31"/>
      <c r="I40" s="31"/>
      <c r="J40" s="50">
        <f t="shared" si="4"/>
        <v>0</v>
      </c>
      <c r="K40" s="31"/>
    </row>
    <row r="41" spans="1:11" ht="14.4" hidden="1" x14ac:dyDescent="0.3">
      <c r="A41" s="54" t="s">
        <v>162</v>
      </c>
      <c r="B41" s="58"/>
      <c r="C41" s="31"/>
      <c r="D41" s="60"/>
      <c r="E41" s="31"/>
      <c r="F41" s="59"/>
      <c r="G41" s="31"/>
      <c r="H41" s="31"/>
      <c r="I41" s="31"/>
      <c r="J41" s="50">
        <f t="shared" si="4"/>
        <v>0</v>
      </c>
      <c r="K41" s="31"/>
    </row>
    <row r="42" spans="1:11" ht="14.4" x14ac:dyDescent="0.3">
      <c r="A42" s="188"/>
      <c r="B42" s="52" t="s">
        <v>121</v>
      </c>
      <c r="C42" s="30"/>
      <c r="D42" s="30"/>
      <c r="E42" s="30"/>
      <c r="F42" s="30"/>
      <c r="G42" s="30"/>
      <c r="H42" s="30"/>
      <c r="I42" s="30"/>
      <c r="J42" s="56">
        <f>SUM(J43:J48)</f>
        <v>1221.5</v>
      </c>
      <c r="K42" s="30"/>
    </row>
    <row r="43" spans="1:11" ht="14.4" x14ac:dyDescent="0.3">
      <c r="A43" s="53">
        <v>1</v>
      </c>
      <c r="B43" s="57" t="s">
        <v>215</v>
      </c>
      <c r="C43" s="31"/>
      <c r="D43" s="269">
        <v>0</v>
      </c>
      <c r="E43" s="31" t="s">
        <v>165</v>
      </c>
      <c r="F43" s="59">
        <v>13100</v>
      </c>
      <c r="G43" s="31"/>
      <c r="H43" s="31"/>
      <c r="I43" s="31"/>
      <c r="J43" s="50">
        <f>D43*F43</f>
        <v>0</v>
      </c>
      <c r="K43" s="31" t="s">
        <v>166</v>
      </c>
    </row>
    <row r="44" spans="1:11" ht="14.4" x14ac:dyDescent="0.3">
      <c r="A44" s="53">
        <v>2</v>
      </c>
      <c r="B44" s="57" t="s">
        <v>216</v>
      </c>
      <c r="C44" s="31"/>
      <c r="D44" s="60">
        <f>2/20</f>
        <v>0.1</v>
      </c>
      <c r="E44" s="31" t="s">
        <v>165</v>
      </c>
      <c r="F44" s="59">
        <v>6055</v>
      </c>
      <c r="G44" s="31"/>
      <c r="H44" s="31"/>
      <c r="I44" s="31"/>
      <c r="J44" s="50">
        <f t="shared" ref="J44:J48" si="5">D44*F44</f>
        <v>605.5</v>
      </c>
      <c r="K44" s="239" t="s">
        <v>168</v>
      </c>
    </row>
    <row r="45" spans="1:11" ht="14.4" x14ac:dyDescent="0.3">
      <c r="A45" s="53">
        <v>3</v>
      </c>
      <c r="B45" s="58" t="s">
        <v>167</v>
      </c>
      <c r="C45" s="31"/>
      <c r="D45" s="60">
        <f>2/20</f>
        <v>0.1</v>
      </c>
      <c r="E45" s="31" t="s">
        <v>165</v>
      </c>
      <c r="F45" s="59">
        <v>4345</v>
      </c>
      <c r="G45" s="31"/>
      <c r="H45" s="31"/>
      <c r="I45" s="31"/>
      <c r="J45" s="50">
        <f t="shared" si="5"/>
        <v>434.5</v>
      </c>
      <c r="K45" s="31"/>
    </row>
    <row r="46" spans="1:11" ht="14.4" x14ac:dyDescent="0.3">
      <c r="A46" s="53">
        <v>4</v>
      </c>
      <c r="B46" s="58" t="s">
        <v>169</v>
      </c>
      <c r="C46" s="31"/>
      <c r="D46" s="269">
        <f>6/20</f>
        <v>0.3</v>
      </c>
      <c r="E46" s="31" t="s">
        <v>165</v>
      </c>
      <c r="F46" s="59">
        <v>605</v>
      </c>
      <c r="G46" s="31"/>
      <c r="H46" s="31"/>
      <c r="I46" s="31"/>
      <c r="J46" s="50">
        <f t="shared" si="5"/>
        <v>181.5</v>
      </c>
      <c r="K46" s="31"/>
    </row>
    <row r="47" spans="1:11" ht="14.4" x14ac:dyDescent="0.3">
      <c r="A47" s="53" t="s">
        <v>157</v>
      </c>
      <c r="B47" s="58" t="s">
        <v>218</v>
      </c>
      <c r="C47" s="31"/>
      <c r="D47" s="60">
        <v>0</v>
      </c>
      <c r="E47" s="31" t="s">
        <v>165</v>
      </c>
      <c r="F47" s="59">
        <v>3235</v>
      </c>
      <c r="G47" s="31"/>
      <c r="H47" s="31"/>
      <c r="I47" s="31"/>
      <c r="J47" s="50">
        <f t="shared" si="5"/>
        <v>0</v>
      </c>
      <c r="K47" s="31"/>
    </row>
    <row r="48" spans="1:11" ht="14.4" hidden="1" x14ac:dyDescent="0.3">
      <c r="A48" s="54" t="s">
        <v>162</v>
      </c>
      <c r="B48" s="58"/>
      <c r="C48" s="31"/>
      <c r="D48" s="60"/>
      <c r="E48" s="31"/>
      <c r="F48" s="59"/>
      <c r="G48" s="31"/>
      <c r="H48" s="31"/>
      <c r="I48" s="31"/>
      <c r="J48" s="50">
        <f t="shared" si="5"/>
        <v>0</v>
      </c>
      <c r="K48" s="31"/>
    </row>
    <row r="49" spans="1:11" ht="14.4" x14ac:dyDescent="0.3">
      <c r="A49" s="188"/>
      <c r="B49" s="52" t="s">
        <v>123</v>
      </c>
      <c r="C49" s="30"/>
      <c r="D49" s="30"/>
      <c r="E49" s="30"/>
      <c r="F49" s="30"/>
      <c r="G49" s="30"/>
      <c r="H49" s="30"/>
      <c r="I49" s="30"/>
      <c r="J49" s="56">
        <f>SUM(J50:J55)</f>
        <v>4320</v>
      </c>
      <c r="K49" s="30"/>
    </row>
    <row r="50" spans="1:11" ht="14.4" x14ac:dyDescent="0.3">
      <c r="A50" s="53">
        <v>1</v>
      </c>
      <c r="B50" s="57" t="s">
        <v>170</v>
      </c>
      <c r="C50" s="31"/>
      <c r="D50" s="60">
        <f>D7*15</f>
        <v>720</v>
      </c>
      <c r="E50" s="31" t="s">
        <v>171</v>
      </c>
      <c r="F50" s="59">
        <v>6</v>
      </c>
      <c r="G50" s="31"/>
      <c r="H50" s="31"/>
      <c r="I50" s="31"/>
      <c r="J50" s="50">
        <f>D50*F50</f>
        <v>4320</v>
      </c>
      <c r="K50" s="31"/>
    </row>
    <row r="51" spans="1:11" ht="14.4" x14ac:dyDescent="0.3">
      <c r="A51" s="53">
        <v>2</v>
      </c>
      <c r="B51" s="58" t="s">
        <v>172</v>
      </c>
      <c r="C51" s="31"/>
      <c r="D51" s="60"/>
      <c r="E51" s="31"/>
      <c r="F51" s="59"/>
      <c r="G51" s="31"/>
      <c r="H51" s="31"/>
      <c r="I51" s="31"/>
      <c r="J51" s="50">
        <f t="shared" ref="J51:J55" si="6">D51*F51</f>
        <v>0</v>
      </c>
      <c r="K51" s="31"/>
    </row>
    <row r="52" spans="1:11" ht="14.4" x14ac:dyDescent="0.3">
      <c r="A52" s="53">
        <v>3</v>
      </c>
      <c r="B52" s="58"/>
      <c r="C52" s="31"/>
      <c r="D52" s="60"/>
      <c r="E52" s="31"/>
      <c r="F52" s="59"/>
      <c r="G52" s="31"/>
      <c r="H52" s="31"/>
      <c r="I52" s="31"/>
      <c r="J52" s="50">
        <f t="shared" si="6"/>
        <v>0</v>
      </c>
      <c r="K52" s="31"/>
    </row>
    <row r="53" spans="1:11" ht="14.4" x14ac:dyDescent="0.3">
      <c r="A53" s="53">
        <v>4</v>
      </c>
      <c r="B53" s="58"/>
      <c r="C53" s="31"/>
      <c r="D53" s="60"/>
      <c r="E53" s="31"/>
      <c r="F53" s="59"/>
      <c r="G53" s="31"/>
      <c r="H53" s="31"/>
      <c r="I53" s="31"/>
      <c r="J53" s="50">
        <f t="shared" si="6"/>
        <v>0</v>
      </c>
      <c r="K53" s="31"/>
    </row>
    <row r="54" spans="1:11" ht="14.4" x14ac:dyDescent="0.3">
      <c r="A54" s="53" t="s">
        <v>157</v>
      </c>
      <c r="B54" s="58"/>
      <c r="C54" s="31"/>
      <c r="D54" s="60"/>
      <c r="E54" s="31"/>
      <c r="F54" s="59"/>
      <c r="G54" s="31"/>
      <c r="H54" s="31"/>
      <c r="I54" s="31"/>
      <c r="J54" s="50">
        <f t="shared" si="6"/>
        <v>0</v>
      </c>
      <c r="K54" s="31"/>
    </row>
    <row r="55" spans="1:11" ht="14.4" hidden="1" x14ac:dyDescent="0.3">
      <c r="A55" s="54" t="s">
        <v>162</v>
      </c>
      <c r="B55" s="58"/>
      <c r="C55" s="31"/>
      <c r="D55" s="60"/>
      <c r="E55" s="31"/>
      <c r="F55" s="59"/>
      <c r="G55" s="31"/>
      <c r="H55" s="31"/>
      <c r="I55" s="31"/>
      <c r="J55" s="50">
        <f t="shared" si="6"/>
        <v>0</v>
      </c>
      <c r="K55" s="31"/>
    </row>
    <row r="56" spans="1:11" ht="14.4" x14ac:dyDescent="0.3">
      <c r="A56" s="188"/>
      <c r="B56" s="52" t="s">
        <v>120</v>
      </c>
      <c r="C56" s="30"/>
      <c r="D56" s="30"/>
      <c r="E56" s="30"/>
      <c r="F56" s="30"/>
      <c r="G56" s="30"/>
      <c r="H56" s="30"/>
      <c r="I56" s="30"/>
      <c r="J56" s="56">
        <f>SUM(J57:J62)</f>
        <v>0</v>
      </c>
      <c r="K56" s="30"/>
    </row>
    <row r="57" spans="1:11" ht="14.4" x14ac:dyDescent="0.3">
      <c r="A57" s="53">
        <v>1</v>
      </c>
      <c r="B57" s="57"/>
      <c r="C57" s="31"/>
      <c r="D57" s="60"/>
      <c r="E57" s="31"/>
      <c r="F57" s="59"/>
      <c r="G57" s="31"/>
      <c r="H57" s="31"/>
      <c r="I57" s="31"/>
      <c r="J57" s="50">
        <f>D57*F57</f>
        <v>0</v>
      </c>
      <c r="K57" s="31"/>
    </row>
    <row r="58" spans="1:11" ht="14.4" x14ac:dyDescent="0.3">
      <c r="A58" s="53">
        <v>2</v>
      </c>
      <c r="B58" s="58"/>
      <c r="C58" s="31"/>
      <c r="D58" s="60"/>
      <c r="E58" s="31"/>
      <c r="F58" s="59"/>
      <c r="G58" s="31"/>
      <c r="H58" s="31"/>
      <c r="I58" s="31"/>
      <c r="J58" s="50">
        <f t="shared" ref="J58:J62" si="7">D58*F58</f>
        <v>0</v>
      </c>
      <c r="K58" s="31"/>
    </row>
    <row r="59" spans="1:11" ht="14.4" x14ac:dyDescent="0.3">
      <c r="A59" s="53">
        <v>3</v>
      </c>
      <c r="B59" s="58"/>
      <c r="C59" s="31"/>
      <c r="D59" s="60"/>
      <c r="E59" s="31"/>
      <c r="F59" s="59"/>
      <c r="G59" s="31"/>
      <c r="H59" s="31"/>
      <c r="I59" s="31"/>
      <c r="J59" s="50">
        <f t="shared" si="7"/>
        <v>0</v>
      </c>
      <c r="K59" s="31"/>
    </row>
    <row r="60" spans="1:11" ht="14.4" x14ac:dyDescent="0.3">
      <c r="A60" s="53">
        <v>4</v>
      </c>
      <c r="B60" s="58"/>
      <c r="C60" s="31"/>
      <c r="D60" s="60"/>
      <c r="E60" s="31"/>
      <c r="F60" s="59"/>
      <c r="G60" s="31"/>
      <c r="H60" s="31"/>
      <c r="I60" s="31"/>
      <c r="J60" s="50">
        <f t="shared" si="7"/>
        <v>0</v>
      </c>
      <c r="K60" s="31"/>
    </row>
    <row r="61" spans="1:11" ht="14.4" x14ac:dyDescent="0.3">
      <c r="A61" s="53" t="s">
        <v>157</v>
      </c>
      <c r="B61" s="58"/>
      <c r="C61" s="31"/>
      <c r="D61" s="60"/>
      <c r="E61" s="31"/>
      <c r="F61" s="59"/>
      <c r="G61" s="31"/>
      <c r="H61" s="31"/>
      <c r="I61" s="31"/>
      <c r="J61" s="50">
        <f t="shared" si="7"/>
        <v>0</v>
      </c>
      <c r="K61" s="31"/>
    </row>
    <row r="62" spans="1:11" ht="14.4" hidden="1" x14ac:dyDescent="0.3">
      <c r="A62" s="54" t="s">
        <v>162</v>
      </c>
      <c r="B62" s="58"/>
      <c r="C62" s="31"/>
      <c r="D62" s="60"/>
      <c r="E62" s="31"/>
      <c r="F62" s="59"/>
      <c r="G62" s="31"/>
      <c r="H62" s="31"/>
      <c r="I62" s="31"/>
      <c r="J62" s="50">
        <f t="shared" si="7"/>
        <v>0</v>
      </c>
      <c r="K62" s="31"/>
    </row>
  </sheetData>
  <hyperlinks>
    <hyperlink ref="K44" r:id="rId1" xr:uid="{B2F495FA-12A1-4EB3-8260-C084C0C7452B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4A22F-D69D-4B27-B44C-8CDE17FA5A0D}">
  <sheetPr>
    <tabColor rgb="FF92D050"/>
  </sheetPr>
  <dimension ref="A1:M67"/>
  <sheetViews>
    <sheetView zoomScale="90" zoomScaleNormal="90" workbookViewId="0">
      <selection activeCell="F24" sqref="F24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4.33203125" bestFit="1" customWidth="1"/>
    <col min="7" max="7" width="13.77734375" customWidth="1"/>
    <col min="8" max="8" width="11.77734375" bestFit="1" customWidth="1"/>
    <col min="9" max="9" width="13.6640625" customWidth="1"/>
    <col min="10" max="10" width="13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2" t="s">
        <v>147</v>
      </c>
      <c r="J1" s="253">
        <f>J4+J15+J32+J40+J47+J54+J61</f>
        <v>47574.36</v>
      </c>
      <c r="K1" t="s">
        <v>96</v>
      </c>
    </row>
    <row r="2" spans="1:13" ht="18" x14ac:dyDescent="0.3">
      <c r="B2" s="146" t="str">
        <f>'Bid Summary'!F27</f>
        <v>6-inch Underground Combination Air Valve Assembly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148</v>
      </c>
      <c r="C3" s="49" t="s">
        <v>149</v>
      </c>
      <c r="D3" s="49" t="s">
        <v>8</v>
      </c>
      <c r="E3" s="49" t="s">
        <v>150</v>
      </c>
      <c r="F3" s="49" t="s">
        <v>151</v>
      </c>
      <c r="G3" s="49" t="s">
        <v>152</v>
      </c>
      <c r="H3" s="49" t="s">
        <v>175</v>
      </c>
      <c r="I3" s="49" t="s">
        <v>153</v>
      </c>
      <c r="J3" s="49" t="s">
        <v>94</v>
      </c>
      <c r="K3" s="49" t="s">
        <v>154</v>
      </c>
      <c r="L3" s="29"/>
      <c r="M3" s="29"/>
    </row>
    <row r="4" spans="1:13" ht="14.4" x14ac:dyDescent="0.3">
      <c r="A4" s="188"/>
      <c r="B4" s="52" t="s">
        <v>109</v>
      </c>
      <c r="C4" s="30"/>
      <c r="D4" s="30"/>
      <c r="E4" s="30"/>
      <c r="F4" s="30"/>
      <c r="G4" s="30"/>
      <c r="H4" s="30"/>
      <c r="I4" s="30"/>
      <c r="J4" s="56">
        <f>SUM(J5:J14)</f>
        <v>5092.8600000000006</v>
      </c>
      <c r="K4" s="30"/>
      <c r="L4" s="29"/>
      <c r="M4" s="29"/>
    </row>
    <row r="5" spans="1:13" ht="14.4" x14ac:dyDescent="0.3">
      <c r="A5" s="53">
        <v>1</v>
      </c>
      <c r="B5" s="255" t="str">
        <f>'Prevailing Wage'!C14</f>
        <v>Labor Lead</v>
      </c>
      <c r="C5" s="31"/>
      <c r="D5" s="60">
        <v>12</v>
      </c>
      <c r="E5" s="31" t="s">
        <v>118</v>
      </c>
      <c r="F5" s="256">
        <f>'Prevailing Wage'!D14</f>
        <v>74.69</v>
      </c>
      <c r="G5" s="31"/>
      <c r="H5" s="31"/>
      <c r="I5" s="31"/>
      <c r="J5" s="50">
        <f>D5*F5</f>
        <v>896.28</v>
      </c>
      <c r="K5" s="31" t="s">
        <v>158</v>
      </c>
      <c r="L5" s="29"/>
      <c r="M5" s="29"/>
    </row>
    <row r="6" spans="1:13" ht="14.4" x14ac:dyDescent="0.3">
      <c r="A6" s="53">
        <v>2</v>
      </c>
      <c r="B6" s="255" t="str">
        <f>'Prevailing Wage'!C15</f>
        <v>Laborer</v>
      </c>
      <c r="C6" s="31"/>
      <c r="D6" s="225">
        <f>D5*'Bid Schedule'!$N$3</f>
        <v>36</v>
      </c>
      <c r="E6" s="31" t="s">
        <v>118</v>
      </c>
      <c r="F6" s="256">
        <f>'Prevailing Wage'!D15</f>
        <v>71.69</v>
      </c>
      <c r="G6" s="31"/>
      <c r="H6" s="31"/>
      <c r="I6" s="31"/>
      <c r="J6" s="50">
        <f t="shared" ref="J6:J12" si="0">D6*F6</f>
        <v>2580.84</v>
      </c>
      <c r="K6" s="225" t="s">
        <v>159</v>
      </c>
      <c r="L6" s="29"/>
      <c r="M6" s="29"/>
    </row>
    <row r="7" spans="1:13" ht="14.4" x14ac:dyDescent="0.3">
      <c r="A7" s="53">
        <v>3</v>
      </c>
      <c r="B7" s="255" t="str">
        <f>'Prevailing Wage'!C16</f>
        <v>Operator</v>
      </c>
      <c r="C7" s="31"/>
      <c r="D7" s="60">
        <v>12</v>
      </c>
      <c r="E7" s="31" t="s">
        <v>118</v>
      </c>
      <c r="F7" s="256">
        <f>'Prevailing Wage'!D16</f>
        <v>96.29</v>
      </c>
      <c r="G7" s="31"/>
      <c r="H7" s="31"/>
      <c r="I7" s="31"/>
      <c r="J7" s="50">
        <f t="shared" si="0"/>
        <v>1155.48</v>
      </c>
      <c r="K7" s="31"/>
      <c r="L7" s="29"/>
      <c r="M7" s="29"/>
    </row>
    <row r="8" spans="1:13" ht="14.4" x14ac:dyDescent="0.3">
      <c r="A8" s="53">
        <v>4</v>
      </c>
      <c r="B8" s="255" t="str">
        <f>'Prevailing Wage'!C17</f>
        <v>Driver</v>
      </c>
      <c r="C8" s="31"/>
      <c r="D8" s="60">
        <v>6</v>
      </c>
      <c r="E8" s="31" t="s">
        <v>118</v>
      </c>
      <c r="F8" s="256">
        <f>'Prevailing Wage'!D17</f>
        <v>76.709999999999994</v>
      </c>
      <c r="G8" s="31"/>
      <c r="H8" s="31"/>
      <c r="I8" s="31"/>
      <c r="J8" s="50">
        <f t="shared" si="0"/>
        <v>460.26</v>
      </c>
      <c r="K8" s="31"/>
      <c r="L8" s="29"/>
      <c r="M8" s="29"/>
    </row>
    <row r="9" spans="1:13" ht="14.4" x14ac:dyDescent="0.3">
      <c r="A9" s="53">
        <v>5</v>
      </c>
      <c r="B9" s="255" t="str">
        <f>'Prevailing Wage'!C18</f>
        <v>Landscaper</v>
      </c>
      <c r="C9" s="31"/>
      <c r="D9" s="60"/>
      <c r="E9" s="31" t="s">
        <v>118</v>
      </c>
      <c r="F9" s="256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5" t="str">
        <f>'Prevailing Wage'!C19</f>
        <v>Pipefitter</v>
      </c>
      <c r="C10" s="31"/>
      <c r="D10" s="60"/>
      <c r="E10" s="31" t="s">
        <v>118</v>
      </c>
      <c r="F10" s="256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5" t="str">
        <f>'Prevailing Wage'!C20</f>
        <v>Etc</v>
      </c>
      <c r="C11" s="31"/>
      <c r="D11" s="60"/>
      <c r="E11" s="31" t="s">
        <v>118</v>
      </c>
      <c r="F11" s="256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5" t="str">
        <f>'Prevailing Wage'!C21</f>
        <v>Etc</v>
      </c>
      <c r="C12" s="31"/>
      <c r="D12" s="60"/>
      <c r="E12" s="31" t="s">
        <v>118</v>
      </c>
      <c r="F12" s="256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157</v>
      </c>
      <c r="B13" s="58"/>
      <c r="C13" s="31"/>
      <c r="D13" s="60"/>
      <c r="E13" s="31" t="s">
        <v>118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112</v>
      </c>
      <c r="C15" s="30"/>
      <c r="D15" s="30"/>
      <c r="E15" s="30"/>
      <c r="F15" s="30"/>
      <c r="G15" s="30"/>
      <c r="H15" s="30"/>
      <c r="I15" s="30"/>
      <c r="J15" s="56">
        <f>SUM(J16:J31)</f>
        <v>40180</v>
      </c>
      <c r="K15" s="30"/>
      <c r="L15" s="29"/>
      <c r="M15" s="29"/>
    </row>
    <row r="16" spans="1:13" ht="14.4" x14ac:dyDescent="0.3">
      <c r="A16" s="53">
        <v>1</v>
      </c>
      <c r="B16" s="57" t="s">
        <v>281</v>
      </c>
      <c r="C16" s="31"/>
      <c r="D16" s="60">
        <v>0</v>
      </c>
      <c r="E16" s="31" t="s">
        <v>160</v>
      </c>
      <c r="F16" s="59">
        <v>8000</v>
      </c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 t="s">
        <v>282</v>
      </c>
      <c r="C17" s="31"/>
      <c r="D17" s="60">
        <v>2</v>
      </c>
      <c r="E17" s="31" t="s">
        <v>160</v>
      </c>
      <c r="F17" s="59">
        <v>400</v>
      </c>
      <c r="G17" s="31"/>
      <c r="H17" s="31"/>
      <c r="I17" s="31"/>
      <c r="J17" s="50">
        <f t="shared" ref="J17:J31" si="2">D17*F17</f>
        <v>800</v>
      </c>
      <c r="K17" s="31"/>
      <c r="L17" s="29"/>
      <c r="M17" s="29"/>
    </row>
    <row r="18" spans="1:13" ht="14.4" x14ac:dyDescent="0.3">
      <c r="A18" s="53">
        <v>3</v>
      </c>
      <c r="B18" s="58" t="s">
        <v>283</v>
      </c>
      <c r="C18" s="31"/>
      <c r="D18" s="60">
        <v>8</v>
      </c>
      <c r="E18" s="31" t="s">
        <v>160</v>
      </c>
      <c r="F18" s="59">
        <v>150</v>
      </c>
      <c r="G18" s="31"/>
      <c r="H18" s="31"/>
      <c r="I18" s="31"/>
      <c r="J18" s="50">
        <f t="shared" si="2"/>
        <v>1200</v>
      </c>
      <c r="K18" s="31"/>
      <c r="L18" s="29"/>
      <c r="M18" s="29"/>
    </row>
    <row r="19" spans="1:13" ht="14.4" x14ac:dyDescent="0.3">
      <c r="A19" s="53">
        <v>4</v>
      </c>
      <c r="B19" s="58" t="s">
        <v>284</v>
      </c>
      <c r="C19" s="31"/>
      <c r="D19" s="60">
        <v>4</v>
      </c>
      <c r="E19" s="31" t="s">
        <v>160</v>
      </c>
      <c r="F19" s="59">
        <v>400</v>
      </c>
      <c r="G19" s="31"/>
      <c r="H19" s="31"/>
      <c r="I19" s="31"/>
      <c r="J19" s="50">
        <f t="shared" si="2"/>
        <v>1600</v>
      </c>
      <c r="K19" s="31"/>
      <c r="L19" s="29"/>
      <c r="M19" s="29"/>
    </row>
    <row r="20" spans="1:13" ht="14.4" x14ac:dyDescent="0.3">
      <c r="A20" s="53"/>
      <c r="B20" s="58" t="s">
        <v>285</v>
      </c>
      <c r="C20" s="31"/>
      <c r="D20" s="60">
        <v>20</v>
      </c>
      <c r="E20" s="31" t="s">
        <v>196</v>
      </c>
      <c r="F20" s="59">
        <v>34</v>
      </c>
      <c r="G20" s="31"/>
      <c r="H20" s="31"/>
      <c r="I20" s="31"/>
      <c r="J20" s="50">
        <f t="shared" si="2"/>
        <v>680</v>
      </c>
      <c r="K20" s="31"/>
      <c r="L20" s="29"/>
      <c r="M20" s="29"/>
    </row>
    <row r="21" spans="1:13" ht="14.4" x14ac:dyDescent="0.3">
      <c r="A21" s="53"/>
      <c r="B21" s="58" t="s">
        <v>286</v>
      </c>
      <c r="C21" s="31"/>
      <c r="D21" s="60">
        <v>2</v>
      </c>
      <c r="E21" s="31" t="s">
        <v>160</v>
      </c>
      <c r="F21" s="59">
        <v>4335</v>
      </c>
      <c r="G21" s="31"/>
      <c r="H21" s="31"/>
      <c r="I21" s="31"/>
      <c r="J21" s="50">
        <f t="shared" si="2"/>
        <v>8670</v>
      </c>
      <c r="K21" s="31" t="s">
        <v>236</v>
      </c>
      <c r="L21" s="29"/>
      <c r="M21" s="29"/>
    </row>
    <row r="22" spans="1:13" ht="14.4" x14ac:dyDescent="0.3">
      <c r="A22" s="53"/>
      <c r="B22" s="58" t="s">
        <v>287</v>
      </c>
      <c r="C22" s="31"/>
      <c r="D22" s="60">
        <v>2</v>
      </c>
      <c r="E22" s="31" t="s">
        <v>160</v>
      </c>
      <c r="F22" s="59">
        <v>300</v>
      </c>
      <c r="G22" s="31"/>
      <c r="H22" s="31"/>
      <c r="I22" s="31"/>
      <c r="J22" s="50">
        <f t="shared" si="2"/>
        <v>600</v>
      </c>
      <c r="K22" s="31"/>
      <c r="L22" s="29"/>
      <c r="M22" s="29"/>
    </row>
    <row r="23" spans="1:13" ht="14.4" x14ac:dyDescent="0.3">
      <c r="A23" s="53"/>
      <c r="B23" s="58" t="s">
        <v>288</v>
      </c>
      <c r="C23" s="31"/>
      <c r="D23" s="60">
        <v>1</v>
      </c>
      <c r="E23" s="31" t="s">
        <v>160</v>
      </c>
      <c r="F23" s="59">
        <v>200</v>
      </c>
      <c r="G23" s="31"/>
      <c r="H23" s="31"/>
      <c r="I23" s="31"/>
      <c r="J23" s="50">
        <f t="shared" si="2"/>
        <v>200</v>
      </c>
      <c r="K23" s="31"/>
      <c r="L23" s="29"/>
      <c r="M23" s="29"/>
    </row>
    <row r="24" spans="1:13" ht="14.4" x14ac:dyDescent="0.3">
      <c r="A24" s="53"/>
      <c r="B24" s="58" t="s">
        <v>289</v>
      </c>
      <c r="C24" s="31"/>
      <c r="D24" s="60">
        <v>1</v>
      </c>
      <c r="E24" s="31" t="s">
        <v>160</v>
      </c>
      <c r="F24" s="59">
        <v>11430</v>
      </c>
      <c r="G24" s="31"/>
      <c r="H24" s="31"/>
      <c r="I24" s="31"/>
      <c r="J24" s="50">
        <f t="shared" si="2"/>
        <v>11430</v>
      </c>
      <c r="K24" s="31" t="s">
        <v>290</v>
      </c>
      <c r="L24" s="29"/>
      <c r="M24" s="29"/>
    </row>
    <row r="25" spans="1:13" ht="14.4" x14ac:dyDescent="0.3">
      <c r="A25" s="53"/>
      <c r="B25" s="58" t="s">
        <v>291</v>
      </c>
      <c r="C25" s="31"/>
      <c r="D25" s="60">
        <v>1</v>
      </c>
      <c r="E25" s="31" t="s">
        <v>160</v>
      </c>
      <c r="F25" s="59">
        <v>6000</v>
      </c>
      <c r="G25" s="31"/>
      <c r="H25" s="31"/>
      <c r="I25" s="31"/>
      <c r="J25" s="50">
        <f t="shared" si="2"/>
        <v>6000</v>
      </c>
      <c r="K25" s="31"/>
      <c r="L25" s="29"/>
      <c r="M25" s="29"/>
    </row>
    <row r="26" spans="1:13" ht="14.4" x14ac:dyDescent="0.3">
      <c r="A26" s="53"/>
      <c r="B26" s="58" t="s">
        <v>292</v>
      </c>
      <c r="C26" s="31"/>
      <c r="D26" s="60">
        <v>1</v>
      </c>
      <c r="E26" s="31" t="s">
        <v>160</v>
      </c>
      <c r="F26" s="59">
        <v>2000</v>
      </c>
      <c r="G26" s="31"/>
      <c r="H26" s="31"/>
      <c r="I26" s="31"/>
      <c r="J26" s="50">
        <f t="shared" si="2"/>
        <v>2000</v>
      </c>
      <c r="K26" s="31"/>
      <c r="L26" s="29"/>
      <c r="M26" s="29"/>
    </row>
    <row r="27" spans="1:13" ht="14.4" x14ac:dyDescent="0.3">
      <c r="A27" s="53"/>
      <c r="B27" s="58" t="s">
        <v>163</v>
      </c>
      <c r="C27" s="31"/>
      <c r="D27" s="60">
        <v>1</v>
      </c>
      <c r="E27" s="31" t="s">
        <v>160</v>
      </c>
      <c r="F27" s="59">
        <v>2000</v>
      </c>
      <c r="G27" s="31"/>
      <c r="H27" s="31"/>
      <c r="I27" s="31"/>
      <c r="J27" s="50">
        <f t="shared" si="2"/>
        <v>2000</v>
      </c>
      <c r="K27" s="31"/>
      <c r="L27" s="29"/>
      <c r="M27" s="29"/>
    </row>
    <row r="28" spans="1:13" ht="14.4" x14ac:dyDescent="0.3">
      <c r="A28" s="53"/>
      <c r="B28" s="58" t="s">
        <v>326</v>
      </c>
      <c r="C28" s="31"/>
      <c r="D28" s="60">
        <v>1</v>
      </c>
      <c r="E28" s="31"/>
      <c r="F28" s="59">
        <v>5000</v>
      </c>
      <c r="G28" s="31"/>
      <c r="H28" s="31"/>
      <c r="I28" s="31"/>
      <c r="J28" s="50">
        <f t="shared" si="2"/>
        <v>5000</v>
      </c>
      <c r="K28" s="31"/>
      <c r="L28" s="29"/>
      <c r="M28" s="29"/>
    </row>
    <row r="29" spans="1:13" ht="14.4" x14ac:dyDescent="0.3">
      <c r="A29" s="53"/>
      <c r="B29" s="58"/>
      <c r="C29" s="31"/>
      <c r="D29" s="60"/>
      <c r="E29" s="31"/>
      <c r="F29" s="59"/>
      <c r="G29" s="31"/>
      <c r="H29" s="31"/>
      <c r="I29" s="31"/>
      <c r="J29" s="50"/>
      <c r="K29" s="31"/>
      <c r="L29" s="29"/>
      <c r="M29" s="29"/>
    </row>
    <row r="30" spans="1:13" ht="14.4" x14ac:dyDescent="0.3">
      <c r="A30" s="53" t="s">
        <v>157</v>
      </c>
      <c r="B30" s="58"/>
      <c r="C30" s="31"/>
      <c r="D30" s="60"/>
      <c r="E30" s="31"/>
      <c r="F30" s="59"/>
      <c r="G30" s="31"/>
      <c r="H30" s="31"/>
      <c r="I30" s="31"/>
      <c r="J30" s="50">
        <f t="shared" si="2"/>
        <v>0</v>
      </c>
      <c r="K30" s="31"/>
      <c r="L30" s="29"/>
      <c r="M30" s="29"/>
    </row>
    <row r="31" spans="1:13" ht="14.4" hidden="1" customHeight="1" x14ac:dyDescent="0.3">
      <c r="A31" s="54" t="s">
        <v>162</v>
      </c>
      <c r="B31" s="58"/>
      <c r="C31" s="31"/>
      <c r="D31" s="60"/>
      <c r="E31" s="31"/>
      <c r="F31" s="59"/>
      <c r="G31" s="31"/>
      <c r="H31" s="31"/>
      <c r="I31" s="31"/>
      <c r="J31" s="50">
        <f t="shared" si="2"/>
        <v>0</v>
      </c>
      <c r="K31" s="31"/>
      <c r="L31" s="29"/>
      <c r="M31" s="29"/>
    </row>
    <row r="32" spans="1:13" ht="14.4" x14ac:dyDescent="0.3">
      <c r="A32" s="188"/>
      <c r="B32" s="52" t="s">
        <v>116</v>
      </c>
      <c r="C32" s="30"/>
      <c r="D32" s="30"/>
      <c r="E32" s="30"/>
      <c r="F32" s="30"/>
      <c r="G32" s="30"/>
      <c r="H32" s="30"/>
      <c r="I32" s="30"/>
      <c r="J32" s="56">
        <f>SUM(J33:J39)</f>
        <v>0</v>
      </c>
      <c r="K32" s="30"/>
    </row>
    <row r="33" spans="1:11" ht="14.4" x14ac:dyDescent="0.3">
      <c r="A33" s="53">
        <v>1</v>
      </c>
      <c r="B33" s="57"/>
      <c r="C33" s="31"/>
      <c r="D33" s="60"/>
      <c r="E33" s="31"/>
      <c r="F33" s="59"/>
      <c r="G33" s="31"/>
      <c r="H33" s="31"/>
      <c r="I33" s="31"/>
      <c r="J33" s="50">
        <f>D33*F33</f>
        <v>0</v>
      </c>
      <c r="K33" s="31"/>
    </row>
    <row r="34" spans="1:11" ht="14.4" x14ac:dyDescent="0.3">
      <c r="A34" s="53">
        <v>2</v>
      </c>
      <c r="B34" s="58"/>
      <c r="C34" s="31"/>
      <c r="D34" s="60"/>
      <c r="E34" s="31"/>
      <c r="F34" s="59"/>
      <c r="G34" s="31"/>
      <c r="H34" s="31"/>
      <c r="I34" s="31"/>
      <c r="J34" s="50">
        <f t="shared" ref="J34:J39" si="3">D34*F34</f>
        <v>0</v>
      </c>
      <c r="K34" s="239"/>
    </row>
    <row r="35" spans="1:11" ht="14.4" x14ac:dyDescent="0.3">
      <c r="A35" s="53">
        <v>3</v>
      </c>
      <c r="B35" s="58"/>
      <c r="C35" s="31"/>
      <c r="D35" s="60"/>
      <c r="E35" s="31"/>
      <c r="F35" s="59"/>
      <c r="G35" s="31"/>
      <c r="H35" s="31"/>
      <c r="I35" s="31"/>
      <c r="J35" s="50">
        <f t="shared" si="3"/>
        <v>0</v>
      </c>
      <c r="K35" s="31"/>
    </row>
    <row r="36" spans="1:11" ht="14.4" x14ac:dyDescent="0.3">
      <c r="A36" s="53">
        <v>4</v>
      </c>
      <c r="B36" s="58"/>
      <c r="C36" s="31"/>
      <c r="D36" s="60"/>
      <c r="E36" s="31"/>
      <c r="F36" s="59"/>
      <c r="G36" s="31"/>
      <c r="H36" s="31"/>
      <c r="I36" s="31"/>
      <c r="J36" s="50">
        <f t="shared" si="3"/>
        <v>0</v>
      </c>
      <c r="K36" s="31"/>
    </row>
    <row r="37" spans="1:11" ht="14.4" x14ac:dyDescent="0.3">
      <c r="A37" s="53"/>
      <c r="B37" s="58"/>
      <c r="C37" s="31"/>
      <c r="D37" s="60"/>
      <c r="E37" s="31"/>
      <c r="F37" s="59"/>
      <c r="G37" s="31"/>
      <c r="H37" s="31"/>
      <c r="I37" s="31"/>
      <c r="J37" s="50"/>
      <c r="K37" s="31"/>
    </row>
    <row r="38" spans="1:11" ht="14.4" x14ac:dyDescent="0.3">
      <c r="A38" s="53" t="s">
        <v>157</v>
      </c>
      <c r="B38" s="58"/>
      <c r="C38" s="31"/>
      <c r="D38" s="60"/>
      <c r="E38" s="31"/>
      <c r="F38" s="59"/>
      <c r="G38" s="31"/>
      <c r="H38" s="31"/>
      <c r="I38" s="31"/>
      <c r="J38" s="50">
        <f t="shared" si="3"/>
        <v>0</v>
      </c>
      <c r="K38" s="31"/>
    </row>
    <row r="39" spans="1:11" ht="14.4" hidden="1" x14ac:dyDescent="0.3">
      <c r="A39" s="54" t="s">
        <v>162</v>
      </c>
      <c r="B39" s="58"/>
      <c r="C39" s="31"/>
      <c r="D39" s="60"/>
      <c r="E39" s="31"/>
      <c r="F39" s="59"/>
      <c r="G39" s="31"/>
      <c r="H39" s="31"/>
      <c r="I39" s="31"/>
      <c r="J39" s="50">
        <f t="shared" si="3"/>
        <v>0</v>
      </c>
      <c r="K39" s="31"/>
    </row>
    <row r="40" spans="1:11" ht="14.4" x14ac:dyDescent="0.3">
      <c r="A40" s="188"/>
      <c r="B40" s="52" t="s">
        <v>136</v>
      </c>
      <c r="C40" s="30"/>
      <c r="D40" s="30"/>
      <c r="E40" s="30"/>
      <c r="F40" s="30"/>
      <c r="G40" s="30"/>
      <c r="H40" s="30"/>
      <c r="I40" s="30"/>
      <c r="J40" s="56">
        <f>SUM(J41:J46)</f>
        <v>0</v>
      </c>
      <c r="K40" s="30"/>
    </row>
    <row r="41" spans="1:11" ht="14.4" x14ac:dyDescent="0.3">
      <c r="A41" s="53">
        <v>1</v>
      </c>
      <c r="B41" s="57"/>
      <c r="C41" s="31"/>
      <c r="D41" s="60"/>
      <c r="E41" s="31"/>
      <c r="F41" s="59"/>
      <c r="G41" s="31"/>
      <c r="H41" s="31"/>
      <c r="I41" s="31"/>
      <c r="J41" s="50">
        <f>D41*F41</f>
        <v>0</v>
      </c>
      <c r="K41" s="31"/>
    </row>
    <row r="42" spans="1:11" ht="14.4" x14ac:dyDescent="0.3">
      <c r="A42" s="53">
        <v>2</v>
      </c>
      <c r="B42" s="58"/>
      <c r="C42" s="31"/>
      <c r="D42" s="60"/>
      <c r="E42" s="31"/>
      <c r="F42" s="59"/>
      <c r="G42" s="31"/>
      <c r="H42" s="31"/>
      <c r="I42" s="31"/>
      <c r="J42" s="50">
        <f t="shared" ref="J42:J46" si="4">D42*F42</f>
        <v>0</v>
      </c>
      <c r="K42" s="31"/>
    </row>
    <row r="43" spans="1:11" ht="14.4" x14ac:dyDescent="0.3">
      <c r="A43" s="53">
        <v>3</v>
      </c>
      <c r="B43" s="58"/>
      <c r="C43" s="31"/>
      <c r="D43" s="60"/>
      <c r="E43" s="31"/>
      <c r="F43" s="59"/>
      <c r="G43" s="31"/>
      <c r="H43" s="31"/>
      <c r="I43" s="31"/>
      <c r="J43" s="50">
        <f t="shared" si="4"/>
        <v>0</v>
      </c>
      <c r="K43" s="31"/>
    </row>
    <row r="44" spans="1:11" ht="14.4" x14ac:dyDescent="0.3">
      <c r="A44" s="53">
        <v>4</v>
      </c>
      <c r="B44" s="58"/>
      <c r="C44" s="31"/>
      <c r="D44" s="60"/>
      <c r="E44" s="31"/>
      <c r="F44" s="59"/>
      <c r="G44" s="31"/>
      <c r="H44" s="31"/>
      <c r="I44" s="31"/>
      <c r="J44" s="50">
        <f t="shared" si="4"/>
        <v>0</v>
      </c>
      <c r="K44" s="31"/>
    </row>
    <row r="45" spans="1:11" ht="14.4" x14ac:dyDescent="0.3">
      <c r="A45" s="53" t="s">
        <v>157</v>
      </c>
      <c r="B45" s="58"/>
      <c r="C45" s="31"/>
      <c r="D45" s="60"/>
      <c r="E45" s="31"/>
      <c r="F45" s="59"/>
      <c r="G45" s="31"/>
      <c r="H45" s="31"/>
      <c r="I45" s="31"/>
      <c r="J45" s="50">
        <f t="shared" si="4"/>
        <v>0</v>
      </c>
      <c r="K45" s="31"/>
    </row>
    <row r="46" spans="1:11" ht="14.4" hidden="1" x14ac:dyDescent="0.3">
      <c r="A46" s="54" t="s">
        <v>162</v>
      </c>
      <c r="B46" s="58"/>
      <c r="C46" s="31"/>
      <c r="D46" s="60"/>
      <c r="E46" s="31"/>
      <c r="F46" s="59"/>
      <c r="G46" s="31"/>
      <c r="H46" s="31"/>
      <c r="I46" s="31"/>
      <c r="J46" s="50">
        <f t="shared" si="4"/>
        <v>0</v>
      </c>
      <c r="K46" s="31"/>
    </row>
    <row r="47" spans="1:11" ht="14.4" x14ac:dyDescent="0.3">
      <c r="A47" s="188"/>
      <c r="B47" s="52" t="s">
        <v>121</v>
      </c>
      <c r="C47" s="30"/>
      <c r="D47" s="30"/>
      <c r="E47" s="30"/>
      <c r="F47" s="30"/>
      <c r="G47" s="30"/>
      <c r="H47" s="30"/>
      <c r="I47" s="30"/>
      <c r="J47" s="56">
        <f>SUM(J48:J53)</f>
        <v>1221.5</v>
      </c>
      <c r="K47" s="30"/>
    </row>
    <row r="48" spans="1:11" ht="14.4" x14ac:dyDescent="0.3">
      <c r="A48" s="53">
        <v>1</v>
      </c>
      <c r="B48" s="57" t="s">
        <v>215</v>
      </c>
      <c r="C48" s="31"/>
      <c r="D48" s="269">
        <v>0</v>
      </c>
      <c r="E48" s="31" t="s">
        <v>165</v>
      </c>
      <c r="F48" s="59">
        <v>13100</v>
      </c>
      <c r="G48" s="31"/>
      <c r="H48" s="31"/>
      <c r="I48" s="31"/>
      <c r="J48" s="50">
        <f>D48*F48</f>
        <v>0</v>
      </c>
      <c r="K48" s="31" t="s">
        <v>166</v>
      </c>
    </row>
    <row r="49" spans="1:11" ht="14.4" x14ac:dyDescent="0.3">
      <c r="A49" s="53">
        <v>2</v>
      </c>
      <c r="B49" s="57" t="s">
        <v>216</v>
      </c>
      <c r="C49" s="31"/>
      <c r="D49" s="60">
        <f>2/20</f>
        <v>0.1</v>
      </c>
      <c r="E49" s="31" t="s">
        <v>165</v>
      </c>
      <c r="F49" s="59">
        <v>6055</v>
      </c>
      <c r="G49" s="31"/>
      <c r="H49" s="31"/>
      <c r="I49" s="31"/>
      <c r="J49" s="50">
        <f t="shared" ref="J49:J53" si="5">D49*F49</f>
        <v>605.5</v>
      </c>
      <c r="K49" s="239" t="s">
        <v>168</v>
      </c>
    </row>
    <row r="50" spans="1:11" ht="14.4" x14ac:dyDescent="0.3">
      <c r="A50" s="53">
        <v>3</v>
      </c>
      <c r="B50" s="58" t="s">
        <v>167</v>
      </c>
      <c r="C50" s="31"/>
      <c r="D50" s="60">
        <f>2/20</f>
        <v>0.1</v>
      </c>
      <c r="E50" s="31" t="s">
        <v>165</v>
      </c>
      <c r="F50" s="59">
        <v>4345</v>
      </c>
      <c r="G50" s="31"/>
      <c r="H50" s="31"/>
      <c r="I50" s="31"/>
      <c r="J50" s="50">
        <f t="shared" si="5"/>
        <v>434.5</v>
      </c>
      <c r="K50" s="31"/>
    </row>
    <row r="51" spans="1:11" ht="14.4" x14ac:dyDescent="0.3">
      <c r="A51" s="53">
        <v>4</v>
      </c>
      <c r="B51" s="58" t="s">
        <v>169</v>
      </c>
      <c r="C51" s="31"/>
      <c r="D51" s="269">
        <f>6/20</f>
        <v>0.3</v>
      </c>
      <c r="E51" s="31" t="s">
        <v>165</v>
      </c>
      <c r="F51" s="59">
        <v>605</v>
      </c>
      <c r="G51" s="31"/>
      <c r="H51" s="31"/>
      <c r="I51" s="31"/>
      <c r="J51" s="50">
        <f t="shared" si="5"/>
        <v>181.5</v>
      </c>
      <c r="K51" s="31"/>
    </row>
    <row r="52" spans="1:11" ht="14.4" x14ac:dyDescent="0.3">
      <c r="A52" s="53" t="s">
        <v>157</v>
      </c>
      <c r="B52" s="58" t="s">
        <v>218</v>
      </c>
      <c r="C52" s="31"/>
      <c r="D52" s="60">
        <v>0</v>
      </c>
      <c r="E52" s="31" t="s">
        <v>165</v>
      </c>
      <c r="F52" s="59">
        <v>3235</v>
      </c>
      <c r="G52" s="31"/>
      <c r="H52" s="31"/>
      <c r="I52" s="31"/>
      <c r="J52" s="50">
        <f t="shared" si="5"/>
        <v>0</v>
      </c>
      <c r="K52" s="31"/>
    </row>
    <row r="53" spans="1:11" ht="14.4" hidden="1" x14ac:dyDescent="0.3">
      <c r="A53" s="54" t="s">
        <v>162</v>
      </c>
      <c r="B53" s="58"/>
      <c r="C53" s="31"/>
      <c r="D53" s="60"/>
      <c r="E53" s="31"/>
      <c r="F53" s="59"/>
      <c r="G53" s="31"/>
      <c r="H53" s="31"/>
      <c r="I53" s="31"/>
      <c r="J53" s="50">
        <f t="shared" si="5"/>
        <v>0</v>
      </c>
      <c r="K53" s="31"/>
    </row>
    <row r="54" spans="1:11" ht="14.4" x14ac:dyDescent="0.3">
      <c r="A54" s="188"/>
      <c r="B54" s="52" t="s">
        <v>123</v>
      </c>
      <c r="C54" s="30"/>
      <c r="D54" s="30"/>
      <c r="E54" s="30"/>
      <c r="F54" s="30"/>
      <c r="G54" s="30"/>
      <c r="H54" s="30"/>
      <c r="I54" s="30"/>
      <c r="J54" s="56">
        <f>SUM(J55:J60)</f>
        <v>1080</v>
      </c>
      <c r="K54" s="30"/>
    </row>
    <row r="55" spans="1:11" ht="14.4" x14ac:dyDescent="0.3">
      <c r="A55" s="53">
        <v>1</v>
      </c>
      <c r="B55" s="57" t="s">
        <v>170</v>
      </c>
      <c r="C55" s="31"/>
      <c r="D55" s="60">
        <f>D7*15</f>
        <v>180</v>
      </c>
      <c r="E55" s="31" t="s">
        <v>171</v>
      </c>
      <c r="F55" s="59">
        <v>6</v>
      </c>
      <c r="G55" s="31"/>
      <c r="H55" s="31"/>
      <c r="I55" s="31"/>
      <c r="J55" s="50">
        <f>D55*F55</f>
        <v>1080</v>
      </c>
      <c r="K55" s="31"/>
    </row>
    <row r="56" spans="1:11" ht="14.4" x14ac:dyDescent="0.3">
      <c r="A56" s="53">
        <v>2</v>
      </c>
      <c r="B56" s="58" t="s">
        <v>172</v>
      </c>
      <c r="C56" s="31"/>
      <c r="D56" s="60"/>
      <c r="E56" s="31"/>
      <c r="F56" s="59"/>
      <c r="G56" s="31"/>
      <c r="H56" s="31"/>
      <c r="I56" s="31"/>
      <c r="J56" s="50">
        <f t="shared" ref="J56" si="6">D56*F56</f>
        <v>0</v>
      </c>
      <c r="K56" s="31"/>
    </row>
    <row r="57" spans="1:11" ht="14.4" x14ac:dyDescent="0.3">
      <c r="A57" s="53">
        <v>3</v>
      </c>
      <c r="B57" s="58"/>
      <c r="C57" s="31"/>
      <c r="D57" s="60"/>
      <c r="E57" s="31"/>
      <c r="F57" s="59"/>
      <c r="G57" s="31"/>
      <c r="H57" s="31"/>
      <c r="I57" s="31"/>
      <c r="J57" s="50">
        <f t="shared" ref="J57:J60" si="7">D57*F57</f>
        <v>0</v>
      </c>
      <c r="K57" s="31"/>
    </row>
    <row r="58" spans="1:11" ht="14.4" x14ac:dyDescent="0.3">
      <c r="A58" s="53">
        <v>4</v>
      </c>
      <c r="B58" s="58"/>
      <c r="C58" s="31"/>
      <c r="D58" s="60"/>
      <c r="E58" s="31"/>
      <c r="F58" s="59"/>
      <c r="G58" s="31"/>
      <c r="H58" s="31"/>
      <c r="I58" s="31"/>
      <c r="J58" s="50">
        <f t="shared" si="7"/>
        <v>0</v>
      </c>
      <c r="K58" s="31"/>
    </row>
    <row r="59" spans="1:11" ht="14.4" x14ac:dyDescent="0.3">
      <c r="A59" s="53" t="s">
        <v>157</v>
      </c>
      <c r="B59" s="58"/>
      <c r="C59" s="31"/>
      <c r="D59" s="60"/>
      <c r="E59" s="31"/>
      <c r="F59" s="59"/>
      <c r="G59" s="31"/>
      <c r="H59" s="31"/>
      <c r="I59" s="31"/>
      <c r="J59" s="50">
        <f t="shared" si="7"/>
        <v>0</v>
      </c>
      <c r="K59" s="31"/>
    </row>
    <row r="60" spans="1:11" ht="14.4" hidden="1" x14ac:dyDescent="0.3">
      <c r="A60" s="54" t="s">
        <v>162</v>
      </c>
      <c r="B60" s="58"/>
      <c r="C60" s="31"/>
      <c r="D60" s="60"/>
      <c r="E60" s="31"/>
      <c r="F60" s="59"/>
      <c r="G60" s="31"/>
      <c r="H60" s="31"/>
      <c r="I60" s="31"/>
      <c r="J60" s="50">
        <f t="shared" si="7"/>
        <v>0</v>
      </c>
      <c r="K60" s="31"/>
    </row>
    <row r="61" spans="1:11" ht="14.4" x14ac:dyDescent="0.3">
      <c r="A61" s="188"/>
      <c r="B61" s="52" t="s">
        <v>120</v>
      </c>
      <c r="C61" s="30"/>
      <c r="D61" s="30"/>
      <c r="E61" s="30"/>
      <c r="F61" s="30"/>
      <c r="G61" s="30"/>
      <c r="H61" s="30"/>
      <c r="I61" s="30"/>
      <c r="J61" s="56">
        <f>SUM(J62:J67)</f>
        <v>0</v>
      </c>
      <c r="K61" s="30"/>
    </row>
    <row r="62" spans="1:11" ht="14.4" x14ac:dyDescent="0.3">
      <c r="A62" s="53">
        <v>1</v>
      </c>
      <c r="B62" s="57"/>
      <c r="C62" s="31"/>
      <c r="D62" s="60"/>
      <c r="E62" s="31"/>
      <c r="F62" s="59"/>
      <c r="G62" s="31"/>
      <c r="H62" s="31"/>
      <c r="I62" s="31"/>
      <c r="J62" s="50">
        <f>D62*F62</f>
        <v>0</v>
      </c>
      <c r="K62" s="31"/>
    </row>
    <row r="63" spans="1:11" ht="14.4" x14ac:dyDescent="0.3">
      <c r="A63" s="53">
        <v>2</v>
      </c>
      <c r="B63" s="58"/>
      <c r="C63" s="31"/>
      <c r="D63" s="60"/>
      <c r="E63" s="31"/>
      <c r="F63" s="59"/>
      <c r="G63" s="31"/>
      <c r="H63" s="31"/>
      <c r="I63" s="31"/>
      <c r="J63" s="50">
        <f t="shared" ref="J63:J67" si="8">D63*F63</f>
        <v>0</v>
      </c>
      <c r="K63" s="31"/>
    </row>
    <row r="64" spans="1:11" ht="14.4" x14ac:dyDescent="0.3">
      <c r="A64" s="53">
        <v>3</v>
      </c>
      <c r="B64" s="58"/>
      <c r="C64" s="31"/>
      <c r="D64" s="60"/>
      <c r="E64" s="31"/>
      <c r="F64" s="59"/>
      <c r="G64" s="31"/>
      <c r="H64" s="31"/>
      <c r="I64" s="31"/>
      <c r="J64" s="50">
        <f t="shared" si="8"/>
        <v>0</v>
      </c>
      <c r="K64" s="31"/>
    </row>
    <row r="65" spans="1:11" ht="14.4" x14ac:dyDescent="0.3">
      <c r="A65" s="53">
        <v>4</v>
      </c>
      <c r="B65" s="58"/>
      <c r="C65" s="31"/>
      <c r="D65" s="60"/>
      <c r="E65" s="31"/>
      <c r="F65" s="59"/>
      <c r="G65" s="31"/>
      <c r="H65" s="31"/>
      <c r="I65" s="31"/>
      <c r="J65" s="50">
        <f t="shared" si="8"/>
        <v>0</v>
      </c>
      <c r="K65" s="31"/>
    </row>
    <row r="66" spans="1:11" ht="14.4" x14ac:dyDescent="0.3">
      <c r="A66" s="53" t="s">
        <v>157</v>
      </c>
      <c r="B66" s="58"/>
      <c r="C66" s="31"/>
      <c r="D66" s="60"/>
      <c r="E66" s="31"/>
      <c r="F66" s="59"/>
      <c r="G66" s="31"/>
      <c r="H66" s="31"/>
      <c r="I66" s="31"/>
      <c r="J66" s="50">
        <f t="shared" si="8"/>
        <v>0</v>
      </c>
      <c r="K66" s="31"/>
    </row>
    <row r="67" spans="1:11" ht="14.4" hidden="1" x14ac:dyDescent="0.3">
      <c r="A67" s="54" t="s">
        <v>162</v>
      </c>
      <c r="B67" s="58"/>
      <c r="C67" s="31"/>
      <c r="D67" s="60"/>
      <c r="E67" s="31"/>
      <c r="F67" s="59"/>
      <c r="G67" s="31"/>
      <c r="H67" s="31"/>
      <c r="I67" s="31"/>
      <c r="J67" s="50">
        <f t="shared" si="8"/>
        <v>0</v>
      </c>
      <c r="K67" s="31"/>
    </row>
  </sheetData>
  <hyperlinks>
    <hyperlink ref="K49" r:id="rId1" xr:uid="{B5BA7C47-2AB5-4AC8-B0CF-F0C605A25327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09319-B7EE-40C0-975A-118819A9A551}">
  <sheetPr>
    <tabColor rgb="FF92D050"/>
  </sheetPr>
  <dimension ref="A1:M56"/>
  <sheetViews>
    <sheetView zoomScale="90" zoomScaleNormal="90" workbookViewId="0">
      <selection activeCell="B20" sqref="B20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3.44140625" bestFit="1" customWidth="1"/>
    <col min="7" max="7" width="13.77734375" customWidth="1"/>
    <col min="8" max="8" width="11.77734375" bestFit="1" customWidth="1"/>
    <col min="9" max="9" width="13.6640625" customWidth="1"/>
    <col min="10" max="10" width="15.33203125" customWidth="1"/>
    <col min="11" max="11" width="72.6640625" customWidth="1"/>
    <col min="12" max="12" width="10.109375" bestFit="1" customWidth="1"/>
  </cols>
  <sheetData>
    <row r="1" spans="1:13" ht="14.4" x14ac:dyDescent="0.3">
      <c r="I1" s="252" t="s">
        <v>147</v>
      </c>
      <c r="J1" s="253">
        <f>J4+J15+J22+J29+J36+J43+J50</f>
        <v>119700</v>
      </c>
      <c r="K1" t="s">
        <v>96</v>
      </c>
    </row>
    <row r="2" spans="1:13" ht="18" x14ac:dyDescent="0.3">
      <c r="B2" s="146" t="str">
        <f>'Bid Summary'!F28</f>
        <v xml:space="preserve">Magnolia Avenue Crossing – 58-inch Steel Casing Pipe (Materials) 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148</v>
      </c>
      <c r="C3" s="49" t="s">
        <v>149</v>
      </c>
      <c r="D3" s="49" t="s">
        <v>8</v>
      </c>
      <c r="E3" s="49" t="s">
        <v>150</v>
      </c>
      <c r="F3" s="49" t="s">
        <v>151</v>
      </c>
      <c r="G3" s="49" t="s">
        <v>152</v>
      </c>
      <c r="H3" s="49" t="s">
        <v>175</v>
      </c>
      <c r="I3" s="49" t="s">
        <v>153</v>
      </c>
      <c r="J3" s="49" t="s">
        <v>94</v>
      </c>
      <c r="K3" s="49" t="s">
        <v>154</v>
      </c>
      <c r="L3" s="29"/>
      <c r="M3" s="29"/>
    </row>
    <row r="4" spans="1:13" ht="14.4" x14ac:dyDescent="0.3">
      <c r="A4" s="188"/>
      <c r="B4" s="52" t="s">
        <v>109</v>
      </c>
      <c r="C4" s="30"/>
      <c r="D4" s="30"/>
      <c r="E4" s="30"/>
      <c r="F4" s="30"/>
      <c r="G4" s="30"/>
      <c r="H4" s="30"/>
      <c r="I4" s="30"/>
      <c r="J4" s="56">
        <f>SUM(J5:J14)</f>
        <v>0</v>
      </c>
      <c r="K4" s="30"/>
      <c r="L4" s="29"/>
      <c r="M4" s="29"/>
    </row>
    <row r="5" spans="1:13" ht="14.4" x14ac:dyDescent="0.3">
      <c r="A5" s="53">
        <v>1</v>
      </c>
      <c r="B5" s="255" t="str">
        <f>'Prevailing Wage'!C14</f>
        <v>Labor Lead</v>
      </c>
      <c r="C5" s="31"/>
      <c r="D5" s="60"/>
      <c r="E5" s="31" t="s">
        <v>118</v>
      </c>
      <c r="F5" s="256">
        <f>'Prevailing Wage'!D14</f>
        <v>74.69</v>
      </c>
      <c r="G5" s="31"/>
      <c r="H5" s="31"/>
      <c r="I5" s="31"/>
      <c r="J5" s="50">
        <f>D5*F5</f>
        <v>0</v>
      </c>
      <c r="K5" s="31" t="s">
        <v>158</v>
      </c>
      <c r="L5" s="29"/>
      <c r="M5" s="29"/>
    </row>
    <row r="6" spans="1:13" ht="14.4" x14ac:dyDescent="0.3">
      <c r="A6" s="53">
        <v>2</v>
      </c>
      <c r="B6" s="255" t="str">
        <f>'Prevailing Wage'!C15</f>
        <v>Laborer</v>
      </c>
      <c r="C6" s="31"/>
      <c r="D6" s="225"/>
      <c r="E6" s="31" t="s">
        <v>118</v>
      </c>
      <c r="F6" s="256">
        <f>'Prevailing Wage'!D15</f>
        <v>71.69</v>
      </c>
      <c r="G6" s="31"/>
      <c r="H6" s="31"/>
      <c r="I6" s="31"/>
      <c r="J6" s="50">
        <f t="shared" ref="J6:J12" si="0">D6*F6</f>
        <v>0</v>
      </c>
      <c r="K6" s="225" t="s">
        <v>159</v>
      </c>
      <c r="L6" s="29"/>
      <c r="M6" s="29"/>
    </row>
    <row r="7" spans="1:13" ht="14.4" x14ac:dyDescent="0.3">
      <c r="A7" s="53">
        <v>3</v>
      </c>
      <c r="B7" s="255" t="str">
        <f>'Prevailing Wage'!C16</f>
        <v>Operator</v>
      </c>
      <c r="C7" s="31"/>
      <c r="D7" s="60"/>
      <c r="E7" s="31" t="s">
        <v>118</v>
      </c>
      <c r="F7" s="256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5" t="str">
        <f>'Prevailing Wage'!C17</f>
        <v>Driver</v>
      </c>
      <c r="C8" s="31"/>
      <c r="D8" s="60"/>
      <c r="E8" s="31" t="s">
        <v>118</v>
      </c>
      <c r="F8" s="256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5" t="str">
        <f>'Prevailing Wage'!C18</f>
        <v>Landscaper</v>
      </c>
      <c r="C9" s="31"/>
      <c r="D9" s="60"/>
      <c r="E9" s="31" t="s">
        <v>118</v>
      </c>
      <c r="F9" s="256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5" t="str">
        <f>'Prevailing Wage'!C19</f>
        <v>Pipefitter</v>
      </c>
      <c r="C10" s="31"/>
      <c r="D10" s="60"/>
      <c r="E10" s="31" t="s">
        <v>118</v>
      </c>
      <c r="F10" s="256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5" t="str">
        <f>'Prevailing Wage'!C20</f>
        <v>Etc</v>
      </c>
      <c r="C11" s="31"/>
      <c r="D11" s="60"/>
      <c r="E11" s="31" t="s">
        <v>118</v>
      </c>
      <c r="F11" s="256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5" t="str">
        <f>'Prevailing Wage'!C21</f>
        <v>Etc</v>
      </c>
      <c r="C12" s="31"/>
      <c r="D12" s="60"/>
      <c r="E12" s="31" t="s">
        <v>118</v>
      </c>
      <c r="F12" s="256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157</v>
      </c>
      <c r="B13" s="58"/>
      <c r="C13" s="31"/>
      <c r="D13" s="60"/>
      <c r="E13" s="31" t="s">
        <v>118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112</v>
      </c>
      <c r="C15" s="30"/>
      <c r="D15" s="30"/>
      <c r="E15" s="30"/>
      <c r="F15" s="30"/>
      <c r="G15" s="30"/>
      <c r="H15" s="30"/>
      <c r="I15" s="30"/>
      <c r="J15" s="56">
        <f>SUM(J16:J21)</f>
        <v>119700</v>
      </c>
      <c r="K15" s="30"/>
      <c r="L15" s="29"/>
      <c r="M15" s="29"/>
    </row>
    <row r="16" spans="1:13" ht="14.4" x14ac:dyDescent="0.3">
      <c r="A16" s="53">
        <v>1</v>
      </c>
      <c r="B16" s="57" t="s">
        <v>293</v>
      </c>
      <c r="C16" s="31"/>
      <c r="D16" s="60">
        <v>44</v>
      </c>
      <c r="E16" s="31" t="s">
        <v>196</v>
      </c>
      <c r="F16" s="59">
        <v>800</v>
      </c>
      <c r="G16" s="31"/>
      <c r="H16" s="31"/>
      <c r="I16" s="31"/>
      <c r="J16" s="50">
        <f>D16*F16</f>
        <v>35200</v>
      </c>
      <c r="K16" s="31"/>
      <c r="L16" s="29"/>
      <c r="M16" s="29"/>
    </row>
    <row r="17" spans="1:13" ht="14.4" x14ac:dyDescent="0.3">
      <c r="A17" s="53">
        <v>2</v>
      </c>
      <c r="B17" s="58" t="s">
        <v>294</v>
      </c>
      <c r="C17" s="31"/>
      <c r="D17" s="60">
        <v>1</v>
      </c>
      <c r="E17" s="31" t="s">
        <v>160</v>
      </c>
      <c r="F17" s="59">
        <v>10000</v>
      </c>
      <c r="G17" s="31"/>
      <c r="H17" s="31"/>
      <c r="I17" s="31"/>
      <c r="J17" s="50">
        <f t="shared" ref="J17:J21" si="2">D17*F17</f>
        <v>10000</v>
      </c>
      <c r="K17" s="31"/>
      <c r="L17" s="29"/>
      <c r="M17" s="29"/>
    </row>
    <row r="18" spans="1:13" ht="14.4" x14ac:dyDescent="0.3">
      <c r="A18" s="53">
        <v>3</v>
      </c>
      <c r="B18" s="58" t="s">
        <v>186</v>
      </c>
      <c r="C18" s="31"/>
      <c r="D18" s="60">
        <v>1</v>
      </c>
      <c r="E18" s="31" t="s">
        <v>160</v>
      </c>
      <c r="F18" s="59">
        <v>6500</v>
      </c>
      <c r="G18" s="31"/>
      <c r="H18" s="31"/>
      <c r="I18" s="31"/>
      <c r="J18" s="50">
        <f t="shared" si="2"/>
        <v>6500</v>
      </c>
      <c r="K18" s="31"/>
      <c r="L18" s="29"/>
      <c r="M18" s="29"/>
    </row>
    <row r="19" spans="1:13" ht="14.4" x14ac:dyDescent="0.3">
      <c r="A19" s="53">
        <v>4</v>
      </c>
      <c r="B19" s="58" t="s">
        <v>295</v>
      </c>
      <c r="C19" s="31"/>
      <c r="D19" s="60">
        <v>8</v>
      </c>
      <c r="E19" s="31" t="s">
        <v>160</v>
      </c>
      <c r="F19" s="59">
        <v>8500</v>
      </c>
      <c r="G19" s="31"/>
      <c r="H19" s="31"/>
      <c r="I19" s="31"/>
      <c r="J19" s="50">
        <f t="shared" si="2"/>
        <v>68000</v>
      </c>
      <c r="K19" s="31"/>
      <c r="L19" s="29"/>
      <c r="M19" s="29"/>
    </row>
    <row r="20" spans="1:13" ht="14.4" x14ac:dyDescent="0.3">
      <c r="A20" s="53" t="s">
        <v>157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162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116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9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157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162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136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157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162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121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8" t="s">
        <v>296</v>
      </c>
      <c r="C37" s="31"/>
      <c r="D37" s="60"/>
      <c r="E37" s="31" t="s">
        <v>297</v>
      </c>
      <c r="F37" s="59">
        <v>120</v>
      </c>
      <c r="G37" s="31"/>
      <c r="H37" s="31"/>
      <c r="I37" s="31"/>
      <c r="J37" s="50">
        <f>D37*F37</f>
        <v>0</v>
      </c>
      <c r="K37" s="31" t="s">
        <v>166</v>
      </c>
    </row>
    <row r="38" spans="1:11" ht="14.4" x14ac:dyDescent="0.3">
      <c r="A38" s="53">
        <v>2</v>
      </c>
      <c r="B38" s="58" t="s">
        <v>167</v>
      </c>
      <c r="C38" s="31"/>
      <c r="D38" s="60"/>
      <c r="E38" s="31" t="s">
        <v>207</v>
      </c>
      <c r="F38" s="59">
        <v>4500</v>
      </c>
      <c r="G38" s="31"/>
      <c r="H38" s="31"/>
      <c r="I38" s="31"/>
      <c r="J38" s="50">
        <f t="shared" ref="J38:J42" si="5">D38*F38</f>
        <v>0</v>
      </c>
      <c r="K38" s="239" t="s">
        <v>168</v>
      </c>
    </row>
    <row r="39" spans="1:11" ht="14.4" x14ac:dyDescent="0.3">
      <c r="A39" s="53">
        <v>3</v>
      </c>
      <c r="B39" s="58" t="s">
        <v>216</v>
      </c>
      <c r="C39" s="31"/>
      <c r="D39" s="60"/>
      <c r="E39" s="31" t="s">
        <v>298</v>
      </c>
      <c r="F39" s="59">
        <v>3000</v>
      </c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157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162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123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170</v>
      </c>
      <c r="C44" s="31"/>
      <c r="D44" s="60"/>
      <c r="E44" s="31" t="s">
        <v>212</v>
      </c>
      <c r="F44" s="59">
        <v>6</v>
      </c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172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157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162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120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157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162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B8DFA527-EDBC-4BB2-8F3E-A91E8459BB9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</sheetPr>
  <dimension ref="B2:V343"/>
  <sheetViews>
    <sheetView zoomScale="90" zoomScaleNormal="90" workbookViewId="0">
      <pane ySplit="7" topLeftCell="A8" activePane="bottomLeft" state="frozen"/>
      <selection pane="bottomLeft" activeCell="P28" sqref="P28"/>
    </sheetView>
  </sheetViews>
  <sheetFormatPr defaultColWidth="8.77734375" defaultRowHeight="13.2" x14ac:dyDescent="0.25"/>
  <cols>
    <col min="1" max="1" width="4.77734375" style="13" customWidth="1"/>
    <col min="2" max="2" width="8.33203125" style="13" customWidth="1"/>
    <col min="3" max="3" width="64" style="13" bestFit="1" customWidth="1"/>
    <col min="4" max="4" width="17" style="13" customWidth="1"/>
    <col min="5" max="5" width="30.33203125" style="13" customWidth="1"/>
    <col min="6" max="6" width="17.44140625" style="13" customWidth="1"/>
    <col min="7" max="7" width="22.6640625" style="13" customWidth="1"/>
    <col min="8" max="8" width="9.33203125" style="13" customWidth="1"/>
    <col min="9" max="9" width="14.44140625" style="13" customWidth="1"/>
    <col min="10" max="10" width="16" style="13" customWidth="1"/>
    <col min="11" max="11" width="18.109375" style="13" bestFit="1" customWidth="1"/>
    <col min="12" max="12" width="4.109375" style="13" customWidth="1"/>
    <col min="13" max="13" width="8.77734375" style="13"/>
    <col min="14" max="14" width="10.44140625" style="13" bestFit="1" customWidth="1"/>
    <col min="15" max="15" width="3.109375" style="13" customWidth="1"/>
    <col min="16" max="16" width="15.109375" style="13" bestFit="1" customWidth="1"/>
    <col min="17" max="17" width="13.6640625" style="13" customWidth="1"/>
    <col min="18" max="18" width="16.44140625" style="13" customWidth="1"/>
    <col min="19" max="19" width="13.77734375" style="13" customWidth="1"/>
    <col min="20" max="20" width="11.44140625" style="13" customWidth="1"/>
    <col min="21" max="21" width="10.6640625" style="13" customWidth="1"/>
    <col min="22" max="16384" width="8.77734375" style="13"/>
  </cols>
  <sheetData>
    <row r="2" spans="2:22" ht="21" x14ac:dyDescent="0.25">
      <c r="B2" s="238" t="str">
        <f>'Bid Summary'!B1</f>
        <v>Example 3D</v>
      </c>
      <c r="G2" s="241"/>
      <c r="H2" s="241"/>
      <c r="I2" s="241"/>
      <c r="J2" s="240"/>
      <c r="N2" s="242" t="s">
        <v>87</v>
      </c>
    </row>
    <row r="3" spans="2:22" ht="14.25" customHeight="1" x14ac:dyDescent="0.25">
      <c r="G3" s="241"/>
      <c r="H3" s="241"/>
      <c r="I3" s="241"/>
      <c r="J3" s="240"/>
      <c r="K3" s="18"/>
      <c r="N3" s="125">
        <v>3</v>
      </c>
      <c r="O3" s="13" t="s">
        <v>88</v>
      </c>
    </row>
    <row r="4" spans="2:22" ht="14.25" customHeight="1" x14ac:dyDescent="0.25">
      <c r="B4" s="14"/>
      <c r="G4" s="241"/>
      <c r="H4" s="241"/>
      <c r="I4" s="241"/>
      <c r="J4" s="240"/>
      <c r="K4" s="18"/>
      <c r="N4" s="125">
        <v>8</v>
      </c>
      <c r="O4" s="13" t="s">
        <v>89</v>
      </c>
    </row>
    <row r="5" spans="2:22" ht="14.25" customHeight="1" thickBot="1" x14ac:dyDescent="0.3"/>
    <row r="6" spans="2:22" ht="14.4" thickBot="1" x14ac:dyDescent="0.3">
      <c r="B6" s="191" t="s">
        <v>90</v>
      </c>
      <c r="C6" s="192" t="s">
        <v>91</v>
      </c>
      <c r="D6" s="192" t="s">
        <v>92</v>
      </c>
      <c r="E6" s="192" t="s">
        <v>9</v>
      </c>
      <c r="F6" s="192" t="s">
        <v>93</v>
      </c>
      <c r="G6" s="193" t="s">
        <v>94</v>
      </c>
      <c r="H6" s="194" t="s">
        <v>95</v>
      </c>
      <c r="I6" s="195" t="s">
        <v>96</v>
      </c>
      <c r="J6" s="195" t="s">
        <v>97</v>
      </c>
      <c r="K6" s="196" t="s">
        <v>98</v>
      </c>
      <c r="P6" s="13" t="s">
        <v>99</v>
      </c>
      <c r="Q6" s="17" t="s">
        <v>100</v>
      </c>
      <c r="R6" s="23" t="s">
        <v>101</v>
      </c>
    </row>
    <row r="7" spans="2:22" ht="14.4" thickBot="1" x14ac:dyDescent="0.3">
      <c r="B7" s="285"/>
      <c r="C7" s="286"/>
      <c r="D7" s="286"/>
      <c r="E7" s="286"/>
      <c r="F7" s="286"/>
      <c r="G7" s="286"/>
      <c r="H7" s="286"/>
      <c r="I7" s="286"/>
      <c r="J7" s="286"/>
      <c r="K7" s="287"/>
      <c r="P7" s="13" t="s">
        <v>6</v>
      </c>
      <c r="Q7" s="20">
        <f>SUM(J9:J17)</f>
        <v>353234.51749999996</v>
      </c>
      <c r="R7" s="20">
        <f>SUM(G9:G17)</f>
        <v>464000</v>
      </c>
    </row>
    <row r="8" spans="2:22" ht="18" x14ac:dyDescent="0.25">
      <c r="B8" s="1"/>
      <c r="C8" s="128" t="s">
        <v>102</v>
      </c>
      <c r="D8" s="34" t="s">
        <v>92</v>
      </c>
      <c r="E8" s="34" t="s">
        <v>9</v>
      </c>
      <c r="F8" s="34" t="s">
        <v>93</v>
      </c>
      <c r="G8" s="61">
        <f>SUM(G9:G17)</f>
        <v>464000</v>
      </c>
      <c r="H8" s="202">
        <f>(G8-J8)/G8</f>
        <v>0.23871871228448285</v>
      </c>
      <c r="I8" s="2"/>
      <c r="J8" s="2">
        <f>SUM(J9:J17)</f>
        <v>353234.51749999996</v>
      </c>
      <c r="K8" s="3" t="s">
        <v>103</v>
      </c>
      <c r="M8" s="17" t="s">
        <v>104</v>
      </c>
      <c r="P8" s="13" t="s">
        <v>105</v>
      </c>
      <c r="Q8" s="20">
        <f>J21</f>
        <v>0</v>
      </c>
      <c r="R8" s="20">
        <f>G21</f>
        <v>0</v>
      </c>
    </row>
    <row r="9" spans="2:22" ht="13.8" x14ac:dyDescent="0.25">
      <c r="B9" s="4"/>
      <c r="C9" s="5" t="s">
        <v>106</v>
      </c>
      <c r="D9" s="126">
        <v>1</v>
      </c>
      <c r="E9" s="9" t="s">
        <v>107</v>
      </c>
      <c r="F9" s="10">
        <f>CEILING(I9/(1-H9),100)</f>
        <v>189500</v>
      </c>
      <c r="G9" s="6">
        <f>F9*D9</f>
        <v>189500</v>
      </c>
      <c r="H9" s="200">
        <f t="shared" ref="H9:H17" si="0">$M$9</f>
        <v>0.18</v>
      </c>
      <c r="I9" s="205">
        <f>'Bid Bond'!$C$15*'Bid Bond'!$C$17</f>
        <v>155334.51749999999</v>
      </c>
      <c r="J9" s="7">
        <f>I9*D9</f>
        <v>155334.51749999999</v>
      </c>
      <c r="K9" s="8" t="s">
        <v>103</v>
      </c>
      <c r="M9" s="204">
        <v>0.18</v>
      </c>
      <c r="N9" s="13" t="s">
        <v>108</v>
      </c>
      <c r="P9" s="155" t="s">
        <v>109</v>
      </c>
      <c r="Q9" s="156">
        <f>SUM(J22,J31,J40,J49,J58,J67,J76,J85,J94,J103,J112,J121,J130,J139,J148,J157,J166,J175,J184,J193,J202,J211,J220,J229,J238,J247,J256,J265,J274,J283,J292,J301,J310,J319,J328,J337)</f>
        <v>686778.49999999988</v>
      </c>
      <c r="R9" s="156">
        <f t="shared" ref="R9:R15" si="1">SUM(G22,G31,G40,G49,G58,G67,G76,G85,G94,G103,G112,G121,G130,G139,G148,G157,G166,G175,G184,G193,G202,G211,G220,G229,G238,G247,G256,G265,G274,G283,G292,G301,G310,G319,G328,G337)</f>
        <v>839510</v>
      </c>
    </row>
    <row r="10" spans="2:22" ht="13.8" x14ac:dyDescent="0.25">
      <c r="B10" s="4"/>
      <c r="C10" s="5" t="s">
        <v>110</v>
      </c>
      <c r="D10" s="126">
        <v>1</v>
      </c>
      <c r="E10" s="9" t="s">
        <v>107</v>
      </c>
      <c r="F10" s="10">
        <f t="shared" ref="F10:F16" si="2">CEILING(I10/(1-H10),100)</f>
        <v>5500</v>
      </c>
      <c r="G10" s="6">
        <f t="shared" ref="G10:G17" si="3">F10*D10</f>
        <v>5500</v>
      </c>
      <c r="H10" s="200">
        <f t="shared" si="0"/>
        <v>0.18</v>
      </c>
      <c r="I10" s="206">
        <v>4500</v>
      </c>
      <c r="J10" s="7">
        <f t="shared" ref="J10:J17" si="4">I10*D10</f>
        <v>4500</v>
      </c>
      <c r="K10" s="8" t="s">
        <v>103</v>
      </c>
      <c r="M10" s="204">
        <v>0.25</v>
      </c>
      <c r="N10" s="13" t="s">
        <v>111</v>
      </c>
      <c r="P10" s="13" t="s">
        <v>112</v>
      </c>
      <c r="Q10" s="20">
        <f>SUM(J23,J32,J41,J50,J59,J68,J77,J86,J95,J104,J113,J122,J131,J140,J149,J158,J167,J176,J185,J194,J203,J212,J221,J230,J239,J248,J257,J266,J275,J284,J293,J302,J311,J320,J329,J338)</f>
        <v>2267455.9900000002</v>
      </c>
      <c r="R10" s="226">
        <f t="shared" si="1"/>
        <v>3024270</v>
      </c>
    </row>
    <row r="11" spans="2:22" ht="13.8" x14ac:dyDescent="0.25">
      <c r="B11" s="4"/>
      <c r="C11" s="5" t="s">
        <v>113</v>
      </c>
      <c r="D11" s="126">
        <v>12</v>
      </c>
      <c r="E11" s="9" t="s">
        <v>114</v>
      </c>
      <c r="F11" s="10">
        <f t="shared" si="2"/>
        <v>1500</v>
      </c>
      <c r="G11" s="6">
        <f t="shared" si="3"/>
        <v>18000</v>
      </c>
      <c r="H11" s="200">
        <f t="shared" si="0"/>
        <v>0.18</v>
      </c>
      <c r="I11" s="206">
        <v>1200</v>
      </c>
      <c r="J11" s="7">
        <f t="shared" si="4"/>
        <v>14400</v>
      </c>
      <c r="K11" s="8" t="s">
        <v>103</v>
      </c>
      <c r="M11" s="204">
        <v>0.18</v>
      </c>
      <c r="N11" s="13" t="s">
        <v>115</v>
      </c>
      <c r="P11" s="186" t="s">
        <v>116</v>
      </c>
      <c r="Q11" s="187">
        <f>SUM(J24,J33,J42,J51,J60,J69,J78,J87,J96,J105,J114,J123,J132,J141,J150,J159,J168,J177,J186,J195,J204,J213,J222,J231,J240,J249,J258,J267,J276,J285,J294,J303,J312,J321,J330,J339)</f>
        <v>25560</v>
      </c>
      <c r="R11" s="187">
        <f t="shared" si="1"/>
        <v>31700</v>
      </c>
    </row>
    <row r="12" spans="2:22" ht="13.8" x14ac:dyDescent="0.25">
      <c r="B12" s="4"/>
      <c r="C12" s="5" t="s">
        <v>117</v>
      </c>
      <c r="D12" s="126">
        <v>200</v>
      </c>
      <c r="E12" s="9" t="s">
        <v>118</v>
      </c>
      <c r="F12" s="10">
        <f t="shared" si="2"/>
        <v>200</v>
      </c>
      <c r="G12" s="6">
        <f t="shared" si="3"/>
        <v>40000</v>
      </c>
      <c r="H12" s="200">
        <f t="shared" si="0"/>
        <v>0.18</v>
      </c>
      <c r="I12" s="206">
        <v>120</v>
      </c>
      <c r="J12" s="7">
        <f t="shared" si="4"/>
        <v>24000</v>
      </c>
      <c r="K12" s="8" t="s">
        <v>103</v>
      </c>
      <c r="M12" s="204">
        <v>0.18</v>
      </c>
      <c r="N12" s="13" t="s">
        <v>116</v>
      </c>
      <c r="P12" s="153" t="s">
        <v>115</v>
      </c>
      <c r="Q12" s="154">
        <f t="shared" ref="Q12" si="5">SUM(J25,J34,J43,J52,J61,J70,J79,J88,J97,J106,J115,J124,J133,J142,J151,J160,J169,J178,J187,J196,J205,J214,J223,J232,J241,J250,J259,J268,J277,J286,J295,J304,J313,J322,J331)</f>
        <v>252928</v>
      </c>
      <c r="R12" s="228">
        <f t="shared" si="1"/>
        <v>308727</v>
      </c>
      <c r="V12" s="24"/>
    </row>
    <row r="13" spans="2:22" ht="13.8" x14ac:dyDescent="0.25">
      <c r="B13" s="4"/>
      <c r="C13" s="5" t="s">
        <v>119</v>
      </c>
      <c r="D13" s="126">
        <v>1000</v>
      </c>
      <c r="E13" s="9" t="s">
        <v>118</v>
      </c>
      <c r="F13" s="10">
        <f t="shared" si="2"/>
        <v>100</v>
      </c>
      <c r="G13" s="6">
        <f t="shared" si="3"/>
        <v>100000</v>
      </c>
      <c r="H13" s="200">
        <f t="shared" si="0"/>
        <v>0.18</v>
      </c>
      <c r="I13" s="206">
        <v>70</v>
      </c>
      <c r="J13" s="7">
        <f t="shared" si="4"/>
        <v>70000</v>
      </c>
      <c r="K13" s="8" t="s">
        <v>103</v>
      </c>
      <c r="M13" s="204">
        <v>0.18</v>
      </c>
      <c r="N13" s="13" t="s">
        <v>120</v>
      </c>
      <c r="P13" s="161" t="s">
        <v>121</v>
      </c>
      <c r="Q13" s="162">
        <f>SUM(J26,J35,J44,J53,J62,J71,J80,J89,J98,J107,J116,J125,J134,J143,J152,J161,J170,J179,J188,J197,J206,J215,J224,J233,J242,J251,J260,J269,J278,J287,J296,J305,J314,J323,J332,J341)</f>
        <v>149925.29999999999</v>
      </c>
      <c r="R13" s="229">
        <f t="shared" si="1"/>
        <v>184170</v>
      </c>
      <c r="V13" s="24"/>
    </row>
    <row r="14" spans="2:22" ht="13.8" x14ac:dyDescent="0.25">
      <c r="B14" s="4"/>
      <c r="C14" s="5" t="s">
        <v>122</v>
      </c>
      <c r="D14" s="126">
        <v>500</v>
      </c>
      <c r="E14" s="9" t="s">
        <v>118</v>
      </c>
      <c r="F14" s="10">
        <f t="shared" si="2"/>
        <v>100</v>
      </c>
      <c r="G14" s="6">
        <f t="shared" ref="G14" si="6">F14*D14</f>
        <v>50000</v>
      </c>
      <c r="H14" s="200">
        <f t="shared" si="0"/>
        <v>0.18</v>
      </c>
      <c r="I14" s="206">
        <v>70</v>
      </c>
      <c r="J14" s="7">
        <f t="shared" ref="J14" si="7">I14*D14</f>
        <v>35000</v>
      </c>
      <c r="K14" s="8" t="s">
        <v>103</v>
      </c>
      <c r="P14" s="159" t="s">
        <v>123</v>
      </c>
      <c r="Q14" s="160">
        <f>SUM(J27,J36,J45,J54,J63,J72,J81,J90,J99,J108,J117,J126,J135,J144,J153,J162,J171,J180,J189,J198,J207,J216,J225,J234,J243,J252,J261,J270,J279,J288,J297,J306,J315,J324,J333,J342)</f>
        <v>137160</v>
      </c>
      <c r="R14" s="227">
        <f t="shared" si="1"/>
        <v>183680</v>
      </c>
    </row>
    <row r="15" spans="2:22" ht="13.8" x14ac:dyDescent="0.25">
      <c r="B15" s="4"/>
      <c r="C15" s="5" t="s">
        <v>124</v>
      </c>
      <c r="D15" s="127">
        <v>1</v>
      </c>
      <c r="E15" s="9" t="s">
        <v>15</v>
      </c>
      <c r="F15" s="10">
        <f t="shared" si="2"/>
        <v>6100</v>
      </c>
      <c r="G15" s="6">
        <f t="shared" si="3"/>
        <v>6100</v>
      </c>
      <c r="H15" s="200">
        <f t="shared" si="0"/>
        <v>0.18</v>
      </c>
      <c r="I15" s="206">
        <v>5000</v>
      </c>
      <c r="J15" s="7">
        <f t="shared" si="4"/>
        <v>5000</v>
      </c>
      <c r="K15" s="8" t="s">
        <v>103</v>
      </c>
      <c r="P15" s="157" t="s">
        <v>120</v>
      </c>
      <c r="Q15" s="158">
        <f>SUM(J28,J37,J46,J55,J64,J73,J82,J91,J100,J109,J118,J127,J136,J145,J154,J163,J172,J181,J190,J199,J208,J217,J226,J235,J244,J253,J262,J271,J280,J289,J298,J307,J316,J325,J334,J343)</f>
        <v>29404.5</v>
      </c>
      <c r="R15" s="158">
        <f t="shared" si="1"/>
        <v>36200</v>
      </c>
    </row>
    <row r="16" spans="2:22" ht="14.4" thickBot="1" x14ac:dyDescent="0.3">
      <c r="B16" s="62"/>
      <c r="C16" s="5" t="s">
        <v>125</v>
      </c>
      <c r="D16" s="127">
        <v>1</v>
      </c>
      <c r="E16" s="9" t="s">
        <v>126</v>
      </c>
      <c r="F16" s="10">
        <f t="shared" si="2"/>
        <v>54900</v>
      </c>
      <c r="G16" s="6">
        <f t="shared" si="3"/>
        <v>54900</v>
      </c>
      <c r="H16" s="200">
        <f t="shared" si="0"/>
        <v>0.18</v>
      </c>
      <c r="I16" s="206">
        <v>45000</v>
      </c>
      <c r="J16" s="7">
        <f t="shared" si="4"/>
        <v>45000</v>
      </c>
      <c r="K16" s="11" t="s">
        <v>103</v>
      </c>
      <c r="Q16" s="20"/>
    </row>
    <row r="17" spans="2:19" ht="14.4" thickBot="1" x14ac:dyDescent="0.3">
      <c r="B17" s="44"/>
      <c r="C17" s="45" t="s">
        <v>127</v>
      </c>
      <c r="D17" s="129">
        <v>1</v>
      </c>
      <c r="E17" s="203" t="s">
        <v>126</v>
      </c>
      <c r="F17" s="66">
        <f>CEILING(I17/(1-H17),1)</f>
        <v>0</v>
      </c>
      <c r="G17" s="67">
        <f t="shared" si="3"/>
        <v>0</v>
      </c>
      <c r="H17" s="201">
        <f t="shared" si="0"/>
        <v>0.18</v>
      </c>
      <c r="I17" s="207">
        <v>0</v>
      </c>
      <c r="J17" s="46">
        <f t="shared" si="4"/>
        <v>0</v>
      </c>
      <c r="K17" s="47" t="s">
        <v>103</v>
      </c>
      <c r="P17" s="189" t="s">
        <v>128</v>
      </c>
      <c r="Q17" s="230">
        <f>SUM(Q7:Q15)</f>
        <v>3902446.8075000001</v>
      </c>
      <c r="R17" s="190">
        <f>SUM(R7:R15)</f>
        <v>5072257</v>
      </c>
    </row>
    <row r="18" spans="2:19" ht="14.4" thickBot="1" x14ac:dyDescent="0.3">
      <c r="B18" s="38"/>
      <c r="C18" s="39"/>
      <c r="D18" s="39"/>
      <c r="E18" s="39"/>
      <c r="F18" s="39"/>
      <c r="G18" s="39"/>
      <c r="H18" s="39"/>
      <c r="I18" s="208"/>
      <c r="J18" s="39"/>
      <c r="K18" s="39"/>
      <c r="Q18" s="26">
        <f>('Bid Summary'!I1-Q17)/('Bid Summary'!I1)</f>
        <v>0.23062973149449523</v>
      </c>
      <c r="R18" s="21" t="s">
        <v>129</v>
      </c>
    </row>
    <row r="19" spans="2:19" ht="18.600000000000001" thickBot="1" x14ac:dyDescent="0.3">
      <c r="B19" s="40"/>
      <c r="C19" s="48" t="s">
        <v>130</v>
      </c>
      <c r="D19" s="41"/>
      <c r="E19" s="42"/>
      <c r="F19" s="42"/>
      <c r="G19" s="43"/>
      <c r="H19" s="42"/>
      <c r="I19" s="209"/>
      <c r="J19" s="42"/>
      <c r="K19" s="43"/>
      <c r="L19" s="36"/>
      <c r="S19" s="22"/>
    </row>
    <row r="20" spans="2:19" ht="14.4" thickBot="1" x14ac:dyDescent="0.3">
      <c r="B20" s="12">
        <v>1</v>
      </c>
      <c r="C20" s="197" t="str">
        <f>'Bid Summary'!F4</f>
        <v>Lateral DE Connection (36-inch Steel at STA 10+00)</v>
      </c>
      <c r="D20" s="118" t="s">
        <v>92</v>
      </c>
      <c r="E20" s="118" t="s">
        <v>9</v>
      </c>
      <c r="F20" s="118" t="s">
        <v>93</v>
      </c>
      <c r="G20" s="119">
        <f>SUM(G21:G29)</f>
        <v>54800</v>
      </c>
      <c r="H20" s="120"/>
      <c r="I20" s="121" t="s">
        <v>100</v>
      </c>
      <c r="J20" s="148">
        <f>SUM(J21:J29)</f>
        <v>42209.01</v>
      </c>
      <c r="K20" s="122"/>
      <c r="R20" s="20">
        <f>R17-Q17</f>
        <v>1169810.1924999999</v>
      </c>
    </row>
    <row r="21" spans="2:19" ht="16.95" customHeight="1" x14ac:dyDescent="0.25">
      <c r="B21" s="111"/>
      <c r="C21" s="112" t="s">
        <v>131</v>
      </c>
      <c r="D21" s="77">
        <v>1</v>
      </c>
      <c r="E21" s="69" t="s">
        <v>107</v>
      </c>
      <c r="F21" s="113">
        <f t="shared" ref="F21:F28" si="8">CEILING(I21/(1-H21),100)</f>
        <v>0</v>
      </c>
      <c r="G21" s="114">
        <f t="shared" ref="G21:G26" si="9">F21*D21</f>
        <v>0</v>
      </c>
      <c r="H21" s="115">
        <f>$M$9</f>
        <v>0.18</v>
      </c>
      <c r="I21" s="224">
        <f>'Bid Item 1'!$J$4</f>
        <v>0</v>
      </c>
      <c r="J21" s="116">
        <f t="shared" ref="J21:J26" si="10">I21*D21</f>
        <v>0</v>
      </c>
      <c r="K21" s="117"/>
      <c r="M21" s="19" t="s">
        <v>132</v>
      </c>
      <c r="N21" s="19" t="s">
        <v>133</v>
      </c>
      <c r="O21" s="19"/>
      <c r="P21" s="13" t="s">
        <v>134</v>
      </c>
      <c r="Q21" s="13" t="s">
        <v>135</v>
      </c>
      <c r="S21" s="28"/>
    </row>
    <row r="22" spans="2:19" ht="16.95" customHeight="1" x14ac:dyDescent="0.25">
      <c r="B22" s="4"/>
      <c r="C22" s="71" t="s">
        <v>109</v>
      </c>
      <c r="D22" s="77">
        <v>1</v>
      </c>
      <c r="E22" s="72" t="s">
        <v>15</v>
      </c>
      <c r="F22" s="73">
        <f t="shared" si="8"/>
        <v>9100</v>
      </c>
      <c r="G22" s="74">
        <f t="shared" si="9"/>
        <v>9100</v>
      </c>
      <c r="H22" s="90">
        <f>$M$9</f>
        <v>0.18</v>
      </c>
      <c r="I22" s="223">
        <f>'Bid Item 1'!$J$10</f>
        <v>7404.16</v>
      </c>
      <c r="J22" s="75">
        <f t="shared" si="10"/>
        <v>7404.16</v>
      </c>
      <c r="K22" s="76"/>
      <c r="M22" s="28">
        <f>SUM('Bid Item 1'!D11:D20,'2'!D5:D14,'3'!D5:D14,'4'!D5:D14,'5'!D5:D14,'6'!D5:D14,'7'!D5:D14,'8'!D5:D14,'9'!D5:D14,'10'!D5:D14,'11'!D5:D14,'12'!D5:D14,'13'!D5:D14,'14'!D5:D14,'15'!D5:D14,'16'!D5:D14,'17'!D5:D14,'18'!D5:D14,'19'!D5:D14,'22'!D5:D14,'23'!D5:D14,'24'!D5:D14,'25'!D5:D14,'26'!D5:D14,'27'!D5:D14,'28'!D5:D14,'29'!D5:D14,'30'!D5:D14,'31'!D5:D14,'32'!D5:D14,'33'!D5:D14,'34'!D5:D14,'35'!D5:D14,'36'!D5:D14)</f>
        <v>8432</v>
      </c>
      <c r="N22" s="28">
        <f>M22/N4</f>
        <v>1054</v>
      </c>
      <c r="O22" s="28"/>
      <c r="P22" s="237">
        <f>N22/(N3+1)</f>
        <v>263.5</v>
      </c>
      <c r="Q22" s="149">
        <f>P22/5</f>
        <v>52.7</v>
      </c>
    </row>
    <row r="23" spans="2:19" ht="16.95" customHeight="1" x14ac:dyDescent="0.25">
      <c r="B23" s="4"/>
      <c r="C23" s="68" t="s">
        <v>112</v>
      </c>
      <c r="D23" s="77">
        <v>1</v>
      </c>
      <c r="E23" s="69" t="s">
        <v>15</v>
      </c>
      <c r="F23" s="271">
        <f t="shared" si="8"/>
        <v>33600</v>
      </c>
      <c r="G23" s="272">
        <f t="shared" si="9"/>
        <v>33600</v>
      </c>
      <c r="H23" s="273">
        <f>$M$10</f>
        <v>0.25</v>
      </c>
      <c r="I23" s="274">
        <f>'Bid Item 1'!$J$21</f>
        <v>25200</v>
      </c>
      <c r="J23" s="275">
        <f t="shared" si="10"/>
        <v>25200</v>
      </c>
      <c r="K23" s="70"/>
      <c r="Q23" s="20"/>
    </row>
    <row r="24" spans="2:19" ht="16.95" customHeight="1" x14ac:dyDescent="0.25">
      <c r="B24" s="4"/>
      <c r="C24" s="179" t="s">
        <v>116</v>
      </c>
      <c r="D24" s="77">
        <v>1</v>
      </c>
      <c r="E24" s="180" t="s">
        <v>15</v>
      </c>
      <c r="F24" s="181">
        <f t="shared" si="8"/>
        <v>0</v>
      </c>
      <c r="G24" s="182">
        <f t="shared" si="9"/>
        <v>0</v>
      </c>
      <c r="H24" s="183">
        <f>$M$12</f>
        <v>0.18</v>
      </c>
      <c r="I24" s="211">
        <f>'Bid Item 1'!$J$31</f>
        <v>0</v>
      </c>
      <c r="J24" s="184">
        <f t="shared" si="10"/>
        <v>0</v>
      </c>
      <c r="K24" s="185"/>
      <c r="Q24" s="20"/>
    </row>
    <row r="25" spans="2:19" ht="16.95" customHeight="1" x14ac:dyDescent="0.25">
      <c r="B25" s="4"/>
      <c r="C25" s="78" t="s">
        <v>136</v>
      </c>
      <c r="D25" s="77">
        <v>1</v>
      </c>
      <c r="E25" s="79" t="s">
        <v>15</v>
      </c>
      <c r="F25" s="151">
        <f t="shared" si="8"/>
        <v>7400</v>
      </c>
      <c r="G25" s="152">
        <f t="shared" si="9"/>
        <v>7400</v>
      </c>
      <c r="H25" s="92">
        <f>$M$11</f>
        <v>0.18</v>
      </c>
      <c r="I25" s="212">
        <f>'Bid Item 1'!$J$38</f>
        <v>6000</v>
      </c>
      <c r="J25" s="150">
        <f t="shared" si="10"/>
        <v>6000</v>
      </c>
      <c r="K25" s="80"/>
      <c r="Q25" s="20"/>
    </row>
    <row r="26" spans="2:19" ht="16.95" customHeight="1" x14ac:dyDescent="0.25">
      <c r="B26" s="4"/>
      <c r="C26" s="172" t="s">
        <v>121</v>
      </c>
      <c r="D26" s="77">
        <v>1</v>
      </c>
      <c r="E26" s="173" t="s">
        <v>15</v>
      </c>
      <c r="F26" s="174">
        <f t="shared" si="8"/>
        <v>2000</v>
      </c>
      <c r="G26" s="175">
        <f t="shared" si="9"/>
        <v>2000</v>
      </c>
      <c r="H26" s="176">
        <f>$M$12</f>
        <v>0.18</v>
      </c>
      <c r="I26" s="213">
        <f>'Bid Item 1'!$J$45</f>
        <v>1614.85</v>
      </c>
      <c r="J26" s="177">
        <f t="shared" si="10"/>
        <v>1614.85</v>
      </c>
      <c r="K26" s="178"/>
      <c r="Q26" s="20"/>
    </row>
    <row r="27" spans="2:19" ht="16.95" customHeight="1" x14ac:dyDescent="0.25">
      <c r="B27" s="62"/>
      <c r="C27" s="81" t="s">
        <v>123</v>
      </c>
      <c r="D27" s="82">
        <v>1</v>
      </c>
      <c r="E27" s="83" t="s">
        <v>15</v>
      </c>
      <c r="F27" s="73">
        <f t="shared" si="8"/>
        <v>2000</v>
      </c>
      <c r="G27" s="74">
        <f>F27*D27</f>
        <v>2000</v>
      </c>
      <c r="H27" s="110">
        <f>$M$10</f>
        <v>0.25</v>
      </c>
      <c r="I27" s="214">
        <f>'Bid Item 1'!$J$52</f>
        <v>1440</v>
      </c>
      <c r="J27" s="75">
        <f>I27*D27</f>
        <v>1440</v>
      </c>
      <c r="K27" s="84"/>
      <c r="Q27" s="20"/>
    </row>
    <row r="28" spans="2:19" ht="16.95" customHeight="1" thickBot="1" x14ac:dyDescent="0.3">
      <c r="B28" s="62"/>
      <c r="C28" s="165" t="s">
        <v>120</v>
      </c>
      <c r="D28" s="85">
        <v>1</v>
      </c>
      <c r="E28" s="166" t="s">
        <v>15</v>
      </c>
      <c r="F28" s="167">
        <f t="shared" si="8"/>
        <v>700</v>
      </c>
      <c r="G28" s="168">
        <f>F28*D28</f>
        <v>700</v>
      </c>
      <c r="H28" s="169">
        <f>$M$13</f>
        <v>0.18</v>
      </c>
      <c r="I28" s="215">
        <f>'Bid Item 1'!$J$59</f>
        <v>550</v>
      </c>
      <c r="J28" s="170">
        <f>I28*D28</f>
        <v>550</v>
      </c>
      <c r="K28" s="171"/>
    </row>
    <row r="29" spans="2:19" ht="16.95" hidden="1" customHeight="1" thickBot="1" x14ac:dyDescent="0.3">
      <c r="B29" s="44"/>
      <c r="C29" s="65" t="s">
        <v>137</v>
      </c>
      <c r="D29" s="85"/>
      <c r="E29" s="86"/>
      <c r="F29" s="87"/>
      <c r="G29" s="88"/>
      <c r="H29" s="64"/>
      <c r="I29" s="216"/>
      <c r="J29" s="89"/>
      <c r="K29" s="63"/>
      <c r="Q29" s="21"/>
    </row>
    <row r="30" spans="2:19" ht="28.2" thickBot="1" x14ac:dyDescent="0.3">
      <c r="B30" s="12">
        <v>2</v>
      </c>
      <c r="C30" s="197" t="str">
        <f>'Bid Summary'!F5</f>
        <v xml:space="preserve">Lateral DE-B Connection (12-inch Asbestos-Cement at STA 34+29.21) </v>
      </c>
      <c r="D30" s="118" t="s">
        <v>92</v>
      </c>
      <c r="E30" s="118" t="s">
        <v>9</v>
      </c>
      <c r="F30" s="118" t="s">
        <v>93</v>
      </c>
      <c r="G30" s="119">
        <f>SUM(G31:G38)</f>
        <v>21600</v>
      </c>
      <c r="H30" s="120"/>
      <c r="I30" s="121"/>
      <c r="J30" s="148">
        <f>SUM(J31:J38)</f>
        <v>17148.559999999998</v>
      </c>
      <c r="K30" s="122"/>
      <c r="Q30" s="21"/>
    </row>
    <row r="31" spans="2:19" ht="13.8" x14ac:dyDescent="0.25">
      <c r="B31" s="4"/>
      <c r="C31" s="71" t="s">
        <v>109</v>
      </c>
      <c r="D31" s="77">
        <v>1</v>
      </c>
      <c r="E31" s="72" t="s">
        <v>15</v>
      </c>
      <c r="F31" s="73">
        <f t="shared" ref="F31:F37" si="11">CEILING(I31/(1-H31),100)</f>
        <v>14400</v>
      </c>
      <c r="G31" s="74">
        <f t="shared" ref="G31:G35" si="12">F31*D31</f>
        <v>14400</v>
      </c>
      <c r="H31" s="90">
        <f>$M$9</f>
        <v>0.18</v>
      </c>
      <c r="I31" s="223">
        <f>'2'!$J$4</f>
        <v>11738.96</v>
      </c>
      <c r="J31" s="75">
        <f t="shared" ref="J31:J35" si="13">I31*D31</f>
        <v>11738.96</v>
      </c>
      <c r="K31" s="76"/>
    </row>
    <row r="32" spans="2:19" ht="13.8" x14ac:dyDescent="0.25">
      <c r="B32" s="4"/>
      <c r="C32" s="68" t="s">
        <v>112</v>
      </c>
      <c r="D32" s="77">
        <v>1</v>
      </c>
      <c r="E32" s="69" t="s">
        <v>15</v>
      </c>
      <c r="F32" s="271">
        <f t="shared" si="11"/>
        <v>2300</v>
      </c>
      <c r="G32" s="272">
        <f t="shared" si="12"/>
        <v>2300</v>
      </c>
      <c r="H32" s="273">
        <f>$M$10</f>
        <v>0.25</v>
      </c>
      <c r="I32" s="274">
        <f>'2'!$J$15</f>
        <v>1678.25</v>
      </c>
      <c r="J32" s="275">
        <f t="shared" si="13"/>
        <v>1678.25</v>
      </c>
      <c r="K32" s="70"/>
    </row>
    <row r="33" spans="2:11" ht="13.8" x14ac:dyDescent="0.25">
      <c r="B33" s="4"/>
      <c r="C33" s="179" t="s">
        <v>116</v>
      </c>
      <c r="D33" s="77">
        <v>1</v>
      </c>
      <c r="E33" s="180" t="s">
        <v>15</v>
      </c>
      <c r="F33" s="181">
        <f t="shared" si="11"/>
        <v>0</v>
      </c>
      <c r="G33" s="182">
        <f t="shared" si="12"/>
        <v>0</v>
      </c>
      <c r="H33" s="183">
        <f>$M$12</f>
        <v>0.18</v>
      </c>
      <c r="I33" s="211">
        <f>'2'!$J$25</f>
        <v>0</v>
      </c>
      <c r="J33" s="184">
        <f t="shared" si="13"/>
        <v>0</v>
      </c>
      <c r="K33" s="185"/>
    </row>
    <row r="34" spans="2:11" ht="13.8" x14ac:dyDescent="0.25">
      <c r="B34" s="4"/>
      <c r="C34" s="78" t="s">
        <v>136</v>
      </c>
      <c r="D34" s="77">
        <v>1</v>
      </c>
      <c r="E34" s="79" t="s">
        <v>15</v>
      </c>
      <c r="F34" s="151">
        <f t="shared" si="11"/>
        <v>0</v>
      </c>
      <c r="G34" s="152">
        <f t="shared" si="12"/>
        <v>0</v>
      </c>
      <c r="H34" s="92">
        <f>$M$11</f>
        <v>0.18</v>
      </c>
      <c r="I34" s="212">
        <f>'2'!$J$32</f>
        <v>0</v>
      </c>
      <c r="J34" s="150">
        <f t="shared" si="13"/>
        <v>0</v>
      </c>
      <c r="K34" s="80"/>
    </row>
    <row r="35" spans="2:11" ht="13.8" x14ac:dyDescent="0.25">
      <c r="B35" s="4"/>
      <c r="C35" s="172" t="s">
        <v>121</v>
      </c>
      <c r="D35" s="77">
        <v>1</v>
      </c>
      <c r="E35" s="173" t="s">
        <v>15</v>
      </c>
      <c r="F35" s="174">
        <f t="shared" si="11"/>
        <v>2200</v>
      </c>
      <c r="G35" s="175">
        <f t="shared" si="12"/>
        <v>2200</v>
      </c>
      <c r="H35" s="176">
        <f>$M$12</f>
        <v>0.18</v>
      </c>
      <c r="I35" s="213">
        <f>'2'!$J$39</f>
        <v>1741.35</v>
      </c>
      <c r="J35" s="177">
        <f t="shared" si="13"/>
        <v>1741.35</v>
      </c>
      <c r="K35" s="178"/>
    </row>
    <row r="36" spans="2:11" ht="13.8" x14ac:dyDescent="0.25">
      <c r="B36" s="62"/>
      <c r="C36" s="81" t="s">
        <v>123</v>
      </c>
      <c r="D36" s="82">
        <v>1</v>
      </c>
      <c r="E36" s="83" t="s">
        <v>15</v>
      </c>
      <c r="F36" s="73">
        <f t="shared" si="11"/>
        <v>2000</v>
      </c>
      <c r="G36" s="74">
        <f>F36*D36</f>
        <v>2000</v>
      </c>
      <c r="H36" s="110">
        <f>$M$10</f>
        <v>0.25</v>
      </c>
      <c r="I36" s="214">
        <f>'2'!$J$46</f>
        <v>1440</v>
      </c>
      <c r="J36" s="75">
        <f>I36*D36</f>
        <v>1440</v>
      </c>
      <c r="K36" s="84"/>
    </row>
    <row r="37" spans="2:11" ht="14.4" thickBot="1" x14ac:dyDescent="0.3">
      <c r="B37" s="62"/>
      <c r="C37" s="165" t="s">
        <v>120</v>
      </c>
      <c r="D37" s="85">
        <v>1</v>
      </c>
      <c r="E37" s="166" t="s">
        <v>15</v>
      </c>
      <c r="F37" s="167">
        <f t="shared" si="11"/>
        <v>700</v>
      </c>
      <c r="G37" s="168">
        <f>F37*D37</f>
        <v>700</v>
      </c>
      <c r="H37" s="169">
        <f>$M$13</f>
        <v>0.18</v>
      </c>
      <c r="I37" s="215">
        <f>'2'!$J$53</f>
        <v>550</v>
      </c>
      <c r="J37" s="170">
        <f>I37*D37</f>
        <v>550</v>
      </c>
      <c r="K37" s="171"/>
    </row>
    <row r="38" spans="2:11" ht="14.4" hidden="1" thickBot="1" x14ac:dyDescent="0.3">
      <c r="B38" s="44"/>
      <c r="C38" s="93"/>
      <c r="D38" s="94"/>
      <c r="E38" s="95"/>
      <c r="F38" s="73"/>
      <c r="G38" s="74"/>
      <c r="H38" s="96"/>
      <c r="I38" s="216"/>
      <c r="J38" s="75"/>
      <c r="K38" s="97"/>
    </row>
    <row r="39" spans="2:11" ht="14.4" thickBot="1" x14ac:dyDescent="0.3">
      <c r="B39" s="12">
        <v>3</v>
      </c>
      <c r="C39" s="197" t="str">
        <f>'Bid Summary'!F6</f>
        <v>Lateral DE-1 Connection (27-inch Steel at STA 35+94.05)</v>
      </c>
      <c r="D39" s="118" t="s">
        <v>92</v>
      </c>
      <c r="E39" s="118" t="s">
        <v>9</v>
      </c>
      <c r="F39" s="118" t="s">
        <v>93</v>
      </c>
      <c r="G39" s="119">
        <f>SUM(G40:G47)</f>
        <v>24500</v>
      </c>
      <c r="H39" s="120"/>
      <c r="I39" s="121"/>
      <c r="J39" s="148">
        <f>SUM(J40:J47)</f>
        <v>19085.73</v>
      </c>
      <c r="K39" s="122"/>
    </row>
    <row r="40" spans="2:11" ht="13.8" x14ac:dyDescent="0.25">
      <c r="B40" s="4"/>
      <c r="C40" s="71" t="s">
        <v>109</v>
      </c>
      <c r="D40" s="77">
        <v>1</v>
      </c>
      <c r="E40" s="72" t="s">
        <v>15</v>
      </c>
      <c r="F40" s="73">
        <f t="shared" ref="F40:F46" si="14">CEILING(I40/(1-H40),100)</f>
        <v>10100</v>
      </c>
      <c r="G40" s="74">
        <f t="shared" ref="G40:G44" si="15">F40*D40</f>
        <v>10100</v>
      </c>
      <c r="H40" s="90">
        <f>$M$9</f>
        <v>0.18</v>
      </c>
      <c r="I40" s="223">
        <f>'3'!$J$4</f>
        <v>8281.06</v>
      </c>
      <c r="J40" s="75">
        <f t="shared" ref="J40:J44" si="16">I40*D40</f>
        <v>8281.06</v>
      </c>
      <c r="K40" s="76"/>
    </row>
    <row r="41" spans="2:11" ht="13.8" x14ac:dyDescent="0.25">
      <c r="B41" s="4"/>
      <c r="C41" s="68" t="s">
        <v>112</v>
      </c>
      <c r="D41" s="77">
        <v>1</v>
      </c>
      <c r="E41" s="69" t="s">
        <v>15</v>
      </c>
      <c r="F41" s="271">
        <f t="shared" si="14"/>
        <v>8900</v>
      </c>
      <c r="G41" s="74">
        <f t="shared" si="15"/>
        <v>8900</v>
      </c>
      <c r="H41" s="91">
        <f>$M$10</f>
        <v>0.25</v>
      </c>
      <c r="I41" s="210">
        <f>'3'!$J$15</f>
        <v>6653.77</v>
      </c>
      <c r="J41" s="75">
        <f t="shared" si="16"/>
        <v>6653.77</v>
      </c>
      <c r="K41" s="70"/>
    </row>
    <row r="42" spans="2:11" ht="13.8" x14ac:dyDescent="0.25">
      <c r="B42" s="4"/>
      <c r="C42" s="179" t="s">
        <v>116</v>
      </c>
      <c r="D42" s="77">
        <v>1</v>
      </c>
      <c r="E42" s="180" t="s">
        <v>15</v>
      </c>
      <c r="F42" s="181">
        <f t="shared" si="14"/>
        <v>0</v>
      </c>
      <c r="G42" s="182">
        <f t="shared" si="15"/>
        <v>0</v>
      </c>
      <c r="H42" s="183">
        <f>$M$12</f>
        <v>0.18</v>
      </c>
      <c r="I42" s="211">
        <f>'3'!$J$31</f>
        <v>0</v>
      </c>
      <c r="J42" s="184">
        <f t="shared" si="16"/>
        <v>0</v>
      </c>
      <c r="K42" s="185"/>
    </row>
    <row r="43" spans="2:11" ht="13.8" x14ac:dyDescent="0.25">
      <c r="B43" s="4"/>
      <c r="C43" s="78" t="s">
        <v>136</v>
      </c>
      <c r="D43" s="77">
        <v>1</v>
      </c>
      <c r="E43" s="79" t="s">
        <v>15</v>
      </c>
      <c r="F43" s="151">
        <f t="shared" si="14"/>
        <v>1300</v>
      </c>
      <c r="G43" s="152">
        <f t="shared" si="15"/>
        <v>1300</v>
      </c>
      <c r="H43" s="92">
        <f>$M$11</f>
        <v>0.18</v>
      </c>
      <c r="I43" s="212">
        <f>'3'!$J$38</f>
        <v>1000</v>
      </c>
      <c r="J43" s="150">
        <f t="shared" si="16"/>
        <v>1000</v>
      </c>
      <c r="K43" s="80"/>
    </row>
    <row r="44" spans="2:11" ht="13.8" x14ac:dyDescent="0.25">
      <c r="B44" s="4"/>
      <c r="C44" s="172" t="s">
        <v>121</v>
      </c>
      <c r="D44" s="77">
        <v>1</v>
      </c>
      <c r="E44" s="173" t="s">
        <v>15</v>
      </c>
      <c r="F44" s="174">
        <f t="shared" si="14"/>
        <v>1500</v>
      </c>
      <c r="G44" s="175">
        <f t="shared" si="15"/>
        <v>1500</v>
      </c>
      <c r="H44" s="176">
        <f>$M$12</f>
        <v>0.18</v>
      </c>
      <c r="I44" s="213">
        <f>'3'!$J$45</f>
        <v>1160.9000000000001</v>
      </c>
      <c r="J44" s="177">
        <f t="shared" si="16"/>
        <v>1160.9000000000001</v>
      </c>
      <c r="K44" s="178"/>
    </row>
    <row r="45" spans="2:11" ht="13.8" x14ac:dyDescent="0.25">
      <c r="B45" s="62"/>
      <c r="C45" s="81" t="s">
        <v>123</v>
      </c>
      <c r="D45" s="82">
        <v>1</v>
      </c>
      <c r="E45" s="83" t="s">
        <v>15</v>
      </c>
      <c r="F45" s="73">
        <f t="shared" si="14"/>
        <v>2000</v>
      </c>
      <c r="G45" s="74">
        <f>F45*D45</f>
        <v>2000</v>
      </c>
      <c r="H45" s="110">
        <f>$M$10</f>
        <v>0.25</v>
      </c>
      <c r="I45" s="214">
        <f>'3'!$J$52</f>
        <v>1440</v>
      </c>
      <c r="J45" s="75">
        <f>I45*D45</f>
        <v>1440</v>
      </c>
      <c r="K45" s="84"/>
    </row>
    <row r="46" spans="2:11" ht="14.4" thickBot="1" x14ac:dyDescent="0.3">
      <c r="B46" s="62"/>
      <c r="C46" s="165" t="s">
        <v>120</v>
      </c>
      <c r="D46" s="85">
        <v>1</v>
      </c>
      <c r="E46" s="166" t="s">
        <v>15</v>
      </c>
      <c r="F46" s="167">
        <f t="shared" si="14"/>
        <v>700</v>
      </c>
      <c r="G46" s="168">
        <f>F46*D46</f>
        <v>700</v>
      </c>
      <c r="H46" s="169">
        <f>$M$13</f>
        <v>0.18</v>
      </c>
      <c r="I46" s="215">
        <f>'3'!$J$59</f>
        <v>550</v>
      </c>
      <c r="J46" s="170">
        <f>I46*D46</f>
        <v>550</v>
      </c>
      <c r="K46" s="171"/>
    </row>
    <row r="47" spans="2:11" ht="14.4" hidden="1" thickBot="1" x14ac:dyDescent="0.3">
      <c r="B47" s="44"/>
      <c r="C47" s="98"/>
      <c r="D47" s="94"/>
      <c r="E47" s="95"/>
      <c r="F47" s="99"/>
      <c r="G47" s="100"/>
      <c r="H47" s="101"/>
      <c r="I47" s="102"/>
      <c r="J47" s="103"/>
      <c r="K47" s="104"/>
    </row>
    <row r="48" spans="2:11" ht="14.4" thickBot="1" x14ac:dyDescent="0.3">
      <c r="B48" s="12">
        <v>4</v>
      </c>
      <c r="C48" s="197" t="str">
        <f>'Bid Summary'!F7</f>
        <v>DE-1 BPS Connection (18-inch Steel at STA 10+74.99)</v>
      </c>
      <c r="D48" s="118" t="s">
        <v>92</v>
      </c>
      <c r="E48" s="118" t="s">
        <v>9</v>
      </c>
      <c r="F48" s="118" t="s">
        <v>93</v>
      </c>
      <c r="G48" s="119">
        <f>SUM(G49:G56)</f>
        <v>41700</v>
      </c>
      <c r="H48" s="120"/>
      <c r="I48" s="121"/>
      <c r="J48" s="148">
        <f>SUM(J49:J56)</f>
        <v>32280.739999999998</v>
      </c>
      <c r="K48" s="122"/>
    </row>
    <row r="49" spans="2:11" ht="13.8" x14ac:dyDescent="0.25">
      <c r="B49" s="4"/>
      <c r="C49" s="71" t="s">
        <v>109</v>
      </c>
      <c r="D49" s="77">
        <v>1</v>
      </c>
      <c r="E49" s="72" t="s">
        <v>15</v>
      </c>
      <c r="F49" s="73">
        <f t="shared" ref="F49:F55" si="17">CEILING(I49/(1-H49),100)</f>
        <v>14700</v>
      </c>
      <c r="G49" s="74">
        <f t="shared" ref="G49:G53" si="18">F49*D49</f>
        <v>14700</v>
      </c>
      <c r="H49" s="90">
        <f>$M$9</f>
        <v>0.18</v>
      </c>
      <c r="I49" s="223">
        <f>'4'!$J$4</f>
        <v>11983.140000000001</v>
      </c>
      <c r="J49" s="75">
        <f t="shared" ref="J49:J53" si="19">I49*D49</f>
        <v>11983.140000000001</v>
      </c>
      <c r="K49" s="76"/>
    </row>
    <row r="50" spans="2:11" ht="13.8" x14ac:dyDescent="0.25">
      <c r="B50" s="4"/>
      <c r="C50" s="68" t="s">
        <v>112</v>
      </c>
      <c r="D50" s="77">
        <v>1</v>
      </c>
      <c r="E50" s="69" t="s">
        <v>15</v>
      </c>
      <c r="F50" s="271">
        <f t="shared" si="17"/>
        <v>22000</v>
      </c>
      <c r="G50" s="74">
        <f t="shared" si="18"/>
        <v>22000</v>
      </c>
      <c r="H50" s="91">
        <f>$M$10</f>
        <v>0.25</v>
      </c>
      <c r="I50" s="210">
        <f>'4'!$J$15</f>
        <v>16456.75</v>
      </c>
      <c r="J50" s="75">
        <f t="shared" si="19"/>
        <v>16456.75</v>
      </c>
      <c r="K50" s="70"/>
    </row>
    <row r="51" spans="2:11" ht="13.8" x14ac:dyDescent="0.25">
      <c r="B51" s="4"/>
      <c r="C51" s="179" t="s">
        <v>116</v>
      </c>
      <c r="D51" s="77">
        <v>1</v>
      </c>
      <c r="E51" s="180" t="s">
        <v>15</v>
      </c>
      <c r="F51" s="181">
        <f t="shared" si="17"/>
        <v>0</v>
      </c>
      <c r="G51" s="182">
        <f t="shared" si="18"/>
        <v>0</v>
      </c>
      <c r="H51" s="183">
        <f>$M$12</f>
        <v>0.18</v>
      </c>
      <c r="I51" s="211">
        <f>'4'!$J$25</f>
        <v>0</v>
      </c>
      <c r="J51" s="184">
        <f t="shared" si="19"/>
        <v>0</v>
      </c>
      <c r="K51" s="185"/>
    </row>
    <row r="52" spans="2:11" ht="13.8" x14ac:dyDescent="0.25">
      <c r="B52" s="4"/>
      <c r="C52" s="78" t="s">
        <v>136</v>
      </c>
      <c r="D52" s="77">
        <v>1</v>
      </c>
      <c r="E52" s="79" t="s">
        <v>15</v>
      </c>
      <c r="F52" s="151">
        <f t="shared" si="17"/>
        <v>0</v>
      </c>
      <c r="G52" s="152">
        <f t="shared" si="18"/>
        <v>0</v>
      </c>
      <c r="H52" s="92">
        <f>$M$11</f>
        <v>0.18</v>
      </c>
      <c r="I52" s="212">
        <f>'4'!$J$32</f>
        <v>0</v>
      </c>
      <c r="J52" s="150">
        <f t="shared" si="19"/>
        <v>0</v>
      </c>
      <c r="K52" s="80"/>
    </row>
    <row r="53" spans="2:11" ht="13.8" x14ac:dyDescent="0.25">
      <c r="B53" s="4"/>
      <c r="C53" s="172" t="s">
        <v>121</v>
      </c>
      <c r="D53" s="77">
        <v>1</v>
      </c>
      <c r="E53" s="173" t="s">
        <v>15</v>
      </c>
      <c r="F53" s="174">
        <f t="shared" si="17"/>
        <v>2100</v>
      </c>
      <c r="G53" s="175">
        <f t="shared" si="18"/>
        <v>2100</v>
      </c>
      <c r="H53" s="176">
        <f>$M$12</f>
        <v>0.18</v>
      </c>
      <c r="I53" s="213">
        <f>'4'!$J$39</f>
        <v>1680.85</v>
      </c>
      <c r="J53" s="177">
        <f t="shared" si="19"/>
        <v>1680.85</v>
      </c>
      <c r="K53" s="178"/>
    </row>
    <row r="54" spans="2:11" ht="13.8" x14ac:dyDescent="0.25">
      <c r="B54" s="62"/>
      <c r="C54" s="81" t="s">
        <v>123</v>
      </c>
      <c r="D54" s="82">
        <v>1</v>
      </c>
      <c r="E54" s="83" t="s">
        <v>15</v>
      </c>
      <c r="F54" s="73">
        <f t="shared" si="17"/>
        <v>2900</v>
      </c>
      <c r="G54" s="74">
        <f>F54*D54</f>
        <v>2900</v>
      </c>
      <c r="H54" s="110">
        <f>$M$10</f>
        <v>0.25</v>
      </c>
      <c r="I54" s="214">
        <f>'4'!$J$46</f>
        <v>2160</v>
      </c>
      <c r="J54" s="75">
        <f>I54*D54</f>
        <v>2160</v>
      </c>
      <c r="K54" s="84"/>
    </row>
    <row r="55" spans="2:11" ht="14.4" thickBot="1" x14ac:dyDescent="0.3">
      <c r="B55" s="62"/>
      <c r="C55" s="165" t="s">
        <v>120</v>
      </c>
      <c r="D55" s="85">
        <v>1</v>
      </c>
      <c r="E55" s="166" t="s">
        <v>15</v>
      </c>
      <c r="F55" s="167">
        <f t="shared" si="17"/>
        <v>0</v>
      </c>
      <c r="G55" s="168">
        <f>F55*D55</f>
        <v>0</v>
      </c>
      <c r="H55" s="169">
        <f>$M$13</f>
        <v>0.18</v>
      </c>
      <c r="I55" s="215">
        <f>'4'!$J$53</f>
        <v>0</v>
      </c>
      <c r="J55" s="170">
        <f>I55*D55</f>
        <v>0</v>
      </c>
      <c r="K55" s="171"/>
    </row>
    <row r="56" spans="2:11" ht="14.4" hidden="1" thickBot="1" x14ac:dyDescent="0.3">
      <c r="B56" s="44"/>
      <c r="C56" s="98"/>
      <c r="D56" s="94"/>
      <c r="E56" s="95"/>
      <c r="F56" s="99"/>
      <c r="G56" s="100"/>
      <c r="H56" s="101"/>
      <c r="I56" s="102"/>
      <c r="J56" s="103"/>
      <c r="K56" s="104"/>
    </row>
    <row r="57" spans="2:11" ht="28.2" thickBot="1" x14ac:dyDescent="0.3">
      <c r="B57" s="12">
        <v>5</v>
      </c>
      <c r="C57" s="197" t="str">
        <f>'Bid Summary'!F8</f>
        <v xml:space="preserve">Lateral DE-1-A-1 Connection (15-inch Asbestos-Cement at STA 50+22.34) </v>
      </c>
      <c r="D57" s="118" t="s">
        <v>92</v>
      </c>
      <c r="E57" s="118" t="s">
        <v>9</v>
      </c>
      <c r="F57" s="118" t="s">
        <v>93</v>
      </c>
      <c r="G57" s="119">
        <f>SUM(G58:G65)</f>
        <v>31500</v>
      </c>
      <c r="H57" s="120"/>
      <c r="I57" s="121"/>
      <c r="J57" s="148">
        <f>SUM(J58:J65)</f>
        <v>24203.56</v>
      </c>
      <c r="K57" s="122"/>
    </row>
    <row r="58" spans="2:11" ht="13.8" x14ac:dyDescent="0.25">
      <c r="B58" s="4"/>
      <c r="C58" s="71" t="s">
        <v>109</v>
      </c>
      <c r="D58" s="77">
        <v>1</v>
      </c>
      <c r="E58" s="72" t="s">
        <v>15</v>
      </c>
      <c r="F58" s="73">
        <f t="shared" ref="F58:F64" si="20">CEILING(I58/(1-H58),100)</f>
        <v>9100</v>
      </c>
      <c r="G58" s="74">
        <f t="shared" ref="G58:G62" si="21">F58*D58</f>
        <v>9100</v>
      </c>
      <c r="H58" s="90">
        <f>$M$9</f>
        <v>0.18</v>
      </c>
      <c r="I58" s="223">
        <f>'5'!$J$4</f>
        <v>7404.16</v>
      </c>
      <c r="J58" s="75">
        <f t="shared" ref="J58:J62" si="22">I58*D58</f>
        <v>7404.16</v>
      </c>
      <c r="K58" s="76"/>
    </row>
    <row r="59" spans="2:11" ht="13.8" x14ac:dyDescent="0.25">
      <c r="B59" s="4"/>
      <c r="C59" s="68" t="s">
        <v>112</v>
      </c>
      <c r="D59" s="77">
        <v>1</v>
      </c>
      <c r="E59" s="69" t="s">
        <v>15</v>
      </c>
      <c r="F59" s="271">
        <f t="shared" si="20"/>
        <v>20900</v>
      </c>
      <c r="G59" s="74">
        <f t="shared" si="21"/>
        <v>20900</v>
      </c>
      <c r="H59" s="91">
        <f>$M$10</f>
        <v>0.25</v>
      </c>
      <c r="I59" s="210">
        <f>'5'!$J$15</f>
        <v>15638.5</v>
      </c>
      <c r="J59" s="75">
        <f t="shared" si="22"/>
        <v>15638.5</v>
      </c>
      <c r="K59" s="70"/>
    </row>
    <row r="60" spans="2:11" ht="13.8" x14ac:dyDescent="0.25">
      <c r="B60" s="4"/>
      <c r="C60" s="179" t="s">
        <v>116</v>
      </c>
      <c r="D60" s="77">
        <v>1</v>
      </c>
      <c r="E60" s="180" t="s">
        <v>15</v>
      </c>
      <c r="F60" s="181">
        <f t="shared" si="20"/>
        <v>0</v>
      </c>
      <c r="G60" s="182">
        <f t="shared" si="21"/>
        <v>0</v>
      </c>
      <c r="H60" s="183">
        <f>$M$12</f>
        <v>0.18</v>
      </c>
      <c r="I60" s="211">
        <f>'5'!$J$26</f>
        <v>0</v>
      </c>
      <c r="J60" s="184">
        <f t="shared" si="22"/>
        <v>0</v>
      </c>
      <c r="K60" s="185"/>
    </row>
    <row r="61" spans="2:11" ht="13.8" x14ac:dyDescent="0.25">
      <c r="B61" s="4"/>
      <c r="C61" s="78" t="s">
        <v>136</v>
      </c>
      <c r="D61" s="77">
        <v>1</v>
      </c>
      <c r="E61" s="79" t="s">
        <v>15</v>
      </c>
      <c r="F61" s="151">
        <f t="shared" si="20"/>
        <v>0</v>
      </c>
      <c r="G61" s="152">
        <f t="shared" si="21"/>
        <v>0</v>
      </c>
      <c r="H61" s="92">
        <f>$M$11</f>
        <v>0.18</v>
      </c>
      <c r="I61" s="212">
        <f>'5'!$J$33</f>
        <v>0</v>
      </c>
      <c r="J61" s="150">
        <f t="shared" si="22"/>
        <v>0</v>
      </c>
      <c r="K61" s="80"/>
    </row>
    <row r="62" spans="2:11" ht="13.8" x14ac:dyDescent="0.25">
      <c r="B62" s="4"/>
      <c r="C62" s="172" t="s">
        <v>121</v>
      </c>
      <c r="D62" s="77">
        <v>1</v>
      </c>
      <c r="E62" s="173" t="s">
        <v>15</v>
      </c>
      <c r="F62" s="174">
        <f t="shared" si="20"/>
        <v>1500</v>
      </c>
      <c r="G62" s="175">
        <f t="shared" si="21"/>
        <v>1500</v>
      </c>
      <c r="H62" s="176">
        <f>$M$12</f>
        <v>0.18</v>
      </c>
      <c r="I62" s="213">
        <f>'5'!$J$40</f>
        <v>1160.9000000000001</v>
      </c>
      <c r="J62" s="177">
        <f t="shared" si="22"/>
        <v>1160.9000000000001</v>
      </c>
      <c r="K62" s="178"/>
    </row>
    <row r="63" spans="2:11" ht="13.8" x14ac:dyDescent="0.25">
      <c r="B63" s="62"/>
      <c r="C63" s="81" t="s">
        <v>123</v>
      </c>
      <c r="D63" s="82">
        <v>1</v>
      </c>
      <c r="E63" s="83" t="s">
        <v>15</v>
      </c>
      <c r="F63" s="73">
        <f t="shared" si="20"/>
        <v>0</v>
      </c>
      <c r="G63" s="74">
        <f>F63*D63</f>
        <v>0</v>
      </c>
      <c r="H63" s="110">
        <f>$M$10</f>
        <v>0.25</v>
      </c>
      <c r="I63" s="214">
        <f>'5'!$J$47</f>
        <v>0</v>
      </c>
      <c r="J63" s="75">
        <f>I63*D63</f>
        <v>0</v>
      </c>
      <c r="K63" s="84"/>
    </row>
    <row r="64" spans="2:11" ht="14.4" thickBot="1" x14ac:dyDescent="0.3">
      <c r="B64" s="62"/>
      <c r="C64" s="165" t="s">
        <v>120</v>
      </c>
      <c r="D64" s="85">
        <v>1</v>
      </c>
      <c r="E64" s="166" t="s">
        <v>15</v>
      </c>
      <c r="F64" s="167">
        <f t="shared" si="20"/>
        <v>0</v>
      </c>
      <c r="G64" s="168">
        <f>F64*D64</f>
        <v>0</v>
      </c>
      <c r="H64" s="169">
        <f>$M$13</f>
        <v>0.18</v>
      </c>
      <c r="I64" s="215">
        <f>'5'!$J$54</f>
        <v>0</v>
      </c>
      <c r="J64" s="170">
        <f>I64*D64</f>
        <v>0</v>
      </c>
      <c r="K64" s="171"/>
    </row>
    <row r="65" spans="2:11" ht="14.4" hidden="1" thickBot="1" x14ac:dyDescent="0.3">
      <c r="B65" s="44"/>
      <c r="C65" s="98"/>
      <c r="D65" s="94"/>
      <c r="E65" s="95"/>
      <c r="F65" s="99"/>
      <c r="G65" s="100"/>
      <c r="H65" s="101"/>
      <c r="I65" s="102"/>
      <c r="J65" s="103"/>
      <c r="K65" s="104"/>
    </row>
    <row r="66" spans="2:11" ht="28.2" thickBot="1" x14ac:dyDescent="0.3">
      <c r="B66" s="12">
        <v>6</v>
      </c>
      <c r="C66" s="197" t="str">
        <f>'Bid Summary'!F9</f>
        <v xml:space="preserve">Lateral DE-1-A Connection (21-inch Asbestos-Cement at STA 51+04.05) </v>
      </c>
      <c r="D66" s="118" t="s">
        <v>92</v>
      </c>
      <c r="E66" s="118" t="s">
        <v>9</v>
      </c>
      <c r="F66" s="118" t="s">
        <v>93</v>
      </c>
      <c r="G66" s="119">
        <f>SUM(G67:G74)</f>
        <v>24200</v>
      </c>
      <c r="H66" s="120"/>
      <c r="I66" s="121"/>
      <c r="J66" s="148">
        <f>SUM(J67:J74)</f>
        <v>18649.310000000001</v>
      </c>
      <c r="K66" s="122"/>
    </row>
    <row r="67" spans="2:11" ht="13.8" x14ac:dyDescent="0.25">
      <c r="B67" s="4"/>
      <c r="C67" s="71" t="s">
        <v>109</v>
      </c>
      <c r="D67" s="77">
        <v>1</v>
      </c>
      <c r="E67" s="72" t="s">
        <v>15</v>
      </c>
      <c r="F67" s="73">
        <f t="shared" ref="F67:F73" si="23">CEILING(I67/(1-H67),100)</f>
        <v>9100</v>
      </c>
      <c r="G67" s="74">
        <f t="shared" ref="G67:G71" si="24">F67*D67</f>
        <v>9100</v>
      </c>
      <c r="H67" s="90">
        <f>$M$9</f>
        <v>0.18</v>
      </c>
      <c r="I67" s="223">
        <f>'6'!$J$4</f>
        <v>7404.16</v>
      </c>
      <c r="J67" s="75">
        <f t="shared" ref="J67:J71" si="25">I67*D67</f>
        <v>7404.16</v>
      </c>
      <c r="K67" s="76"/>
    </row>
    <row r="68" spans="2:11" ht="13.8" x14ac:dyDescent="0.25">
      <c r="B68" s="4"/>
      <c r="C68" s="68" t="s">
        <v>112</v>
      </c>
      <c r="D68" s="77">
        <v>1</v>
      </c>
      <c r="E68" s="69" t="s">
        <v>15</v>
      </c>
      <c r="F68" s="271">
        <f t="shared" si="23"/>
        <v>11600</v>
      </c>
      <c r="G68" s="74">
        <f t="shared" si="24"/>
        <v>11600</v>
      </c>
      <c r="H68" s="91">
        <f>$M$10</f>
        <v>0.25</v>
      </c>
      <c r="I68" s="210">
        <f>'6'!$J$15</f>
        <v>8644.25</v>
      </c>
      <c r="J68" s="75">
        <f t="shared" si="25"/>
        <v>8644.25</v>
      </c>
      <c r="K68" s="70"/>
    </row>
    <row r="69" spans="2:11" ht="13.8" x14ac:dyDescent="0.25">
      <c r="B69" s="4"/>
      <c r="C69" s="179" t="s">
        <v>116</v>
      </c>
      <c r="D69" s="77">
        <v>1</v>
      </c>
      <c r="E69" s="180" t="s">
        <v>15</v>
      </c>
      <c r="F69" s="181">
        <f t="shared" si="23"/>
        <v>0</v>
      </c>
      <c r="G69" s="182">
        <f t="shared" si="24"/>
        <v>0</v>
      </c>
      <c r="H69" s="183">
        <f>$M$12</f>
        <v>0.18</v>
      </c>
      <c r="I69" s="211">
        <f>'6'!$J$26</f>
        <v>0</v>
      </c>
      <c r="J69" s="184">
        <f t="shared" si="25"/>
        <v>0</v>
      </c>
      <c r="K69" s="185"/>
    </row>
    <row r="70" spans="2:11" ht="13.8" x14ac:dyDescent="0.25">
      <c r="B70" s="4"/>
      <c r="C70" s="78" t="s">
        <v>136</v>
      </c>
      <c r="D70" s="77">
        <v>1</v>
      </c>
      <c r="E70" s="79" t="s">
        <v>15</v>
      </c>
      <c r="F70" s="151">
        <f t="shared" si="23"/>
        <v>0</v>
      </c>
      <c r="G70" s="152">
        <f t="shared" si="24"/>
        <v>0</v>
      </c>
      <c r="H70" s="92">
        <f>$M$11</f>
        <v>0.18</v>
      </c>
      <c r="I70" s="212">
        <f>'6'!$J$33</f>
        <v>0</v>
      </c>
      <c r="J70" s="150">
        <f t="shared" si="25"/>
        <v>0</v>
      </c>
      <c r="K70" s="80"/>
    </row>
    <row r="71" spans="2:11" ht="13.8" x14ac:dyDescent="0.25">
      <c r="B71" s="4"/>
      <c r="C71" s="172" t="s">
        <v>121</v>
      </c>
      <c r="D71" s="77">
        <v>1</v>
      </c>
      <c r="E71" s="173" t="s">
        <v>15</v>
      </c>
      <c r="F71" s="174">
        <f t="shared" si="23"/>
        <v>1500</v>
      </c>
      <c r="G71" s="175">
        <f t="shared" si="24"/>
        <v>1500</v>
      </c>
      <c r="H71" s="176">
        <f>$M$12</f>
        <v>0.18</v>
      </c>
      <c r="I71" s="213">
        <f>'6'!$J$40</f>
        <v>1160.9000000000001</v>
      </c>
      <c r="J71" s="177">
        <f t="shared" si="25"/>
        <v>1160.9000000000001</v>
      </c>
      <c r="K71" s="178"/>
    </row>
    <row r="72" spans="2:11" ht="13.8" x14ac:dyDescent="0.25">
      <c r="B72" s="62"/>
      <c r="C72" s="81" t="s">
        <v>123</v>
      </c>
      <c r="D72" s="82">
        <v>1</v>
      </c>
      <c r="E72" s="83" t="s">
        <v>15</v>
      </c>
      <c r="F72" s="73">
        <f t="shared" si="23"/>
        <v>2000</v>
      </c>
      <c r="G72" s="74">
        <f>F72*D72</f>
        <v>2000</v>
      </c>
      <c r="H72" s="110">
        <f>$M$10</f>
        <v>0.25</v>
      </c>
      <c r="I72" s="214">
        <f>'6'!$J$47</f>
        <v>1440</v>
      </c>
      <c r="J72" s="75">
        <f>I72*D72</f>
        <v>1440</v>
      </c>
      <c r="K72" s="84"/>
    </row>
    <row r="73" spans="2:11" ht="14.4" thickBot="1" x14ac:dyDescent="0.3">
      <c r="B73" s="62"/>
      <c r="C73" s="165" t="s">
        <v>120</v>
      </c>
      <c r="D73" s="85">
        <v>1</v>
      </c>
      <c r="E73" s="166" t="s">
        <v>15</v>
      </c>
      <c r="F73" s="167">
        <f t="shared" si="23"/>
        <v>0</v>
      </c>
      <c r="G73" s="168">
        <f>F73*D73</f>
        <v>0</v>
      </c>
      <c r="H73" s="169">
        <f>$M$13</f>
        <v>0.18</v>
      </c>
      <c r="I73" s="215">
        <f>'6'!$J$54</f>
        <v>0</v>
      </c>
      <c r="J73" s="170">
        <f>I73*D73</f>
        <v>0</v>
      </c>
      <c r="K73" s="171"/>
    </row>
    <row r="74" spans="2:11" ht="14.4" hidden="1" thickBot="1" x14ac:dyDescent="0.3">
      <c r="B74" s="44"/>
      <c r="C74" s="98"/>
      <c r="D74" s="94"/>
      <c r="E74" s="95"/>
      <c r="F74" s="99"/>
      <c r="G74" s="100"/>
      <c r="H74" s="101"/>
      <c r="I74" s="102"/>
      <c r="J74" s="103"/>
      <c r="K74" s="104"/>
    </row>
    <row r="75" spans="2:11" ht="42" thickBot="1" x14ac:dyDescent="0.3">
      <c r="B75" s="12">
        <v>7</v>
      </c>
      <c r="C75" s="197" t="str">
        <f>'Bid Summary'!F10</f>
        <v xml:space="preserve">Removal and Disposal of Existing Laterals (Lat DE, Lat DE-1, Lat DE-1-A, and BPS Steel Pipe on C-101, C-301, C-302, C-304, C-305, C-402, C-403) </v>
      </c>
      <c r="D75" s="118" t="s">
        <v>92</v>
      </c>
      <c r="E75" s="118" t="s">
        <v>9</v>
      </c>
      <c r="F75" s="118" t="s">
        <v>93</v>
      </c>
      <c r="G75" s="119">
        <f>SUM(G76:G83)</f>
        <v>66800</v>
      </c>
      <c r="H75" s="120"/>
      <c r="I75" s="121"/>
      <c r="J75" s="148">
        <f>SUM(J76:J83)</f>
        <v>52821.26</v>
      </c>
      <c r="K75" s="122"/>
    </row>
    <row r="76" spans="2:11" ht="13.8" x14ac:dyDescent="0.25">
      <c r="B76" s="4"/>
      <c r="C76" s="71" t="s">
        <v>109</v>
      </c>
      <c r="D76" s="77">
        <v>1</v>
      </c>
      <c r="E76" s="72" t="s">
        <v>15</v>
      </c>
      <c r="F76" s="73">
        <f t="shared" ref="F76:F82" si="26">CEILING(I76/(1-H76),100)</f>
        <v>30600</v>
      </c>
      <c r="G76" s="74">
        <f t="shared" ref="G76:G80" si="27">F76*D76</f>
        <v>30600</v>
      </c>
      <c r="H76" s="90">
        <f>$M$9</f>
        <v>0.18</v>
      </c>
      <c r="I76" s="223">
        <f>'7'!$J$4</f>
        <v>25018.560000000005</v>
      </c>
      <c r="J76" s="75">
        <f t="shared" ref="J76:J80" si="28">I76*D76</f>
        <v>25018.560000000005</v>
      </c>
      <c r="K76" s="76"/>
    </row>
    <row r="77" spans="2:11" ht="13.8" x14ac:dyDescent="0.25">
      <c r="B77" s="4"/>
      <c r="C77" s="68" t="s">
        <v>112</v>
      </c>
      <c r="D77" s="77">
        <v>1</v>
      </c>
      <c r="E77" s="69" t="s">
        <v>15</v>
      </c>
      <c r="F77" s="271">
        <f t="shared" si="26"/>
        <v>20000</v>
      </c>
      <c r="G77" s="74">
        <f t="shared" si="27"/>
        <v>20000</v>
      </c>
      <c r="H77" s="91">
        <f>$M$10</f>
        <v>0.25</v>
      </c>
      <c r="I77" s="210">
        <f>'7'!$J$15</f>
        <v>15000</v>
      </c>
      <c r="J77" s="75">
        <f t="shared" si="28"/>
        <v>15000</v>
      </c>
      <c r="K77" s="70"/>
    </row>
    <row r="78" spans="2:11" ht="13.8" x14ac:dyDescent="0.25">
      <c r="B78" s="4"/>
      <c r="C78" s="179" t="s">
        <v>116</v>
      </c>
      <c r="D78" s="77">
        <v>1</v>
      </c>
      <c r="E78" s="180" t="s">
        <v>15</v>
      </c>
      <c r="F78" s="181">
        <f t="shared" si="26"/>
        <v>0</v>
      </c>
      <c r="G78" s="182">
        <f t="shared" si="27"/>
        <v>0</v>
      </c>
      <c r="H78" s="183">
        <f>$M$12</f>
        <v>0.18</v>
      </c>
      <c r="I78" s="211">
        <f>'7'!$J$26</f>
        <v>0</v>
      </c>
      <c r="J78" s="184">
        <f t="shared" si="28"/>
        <v>0</v>
      </c>
      <c r="K78" s="185"/>
    </row>
    <row r="79" spans="2:11" ht="13.8" x14ac:dyDescent="0.25">
      <c r="B79" s="4"/>
      <c r="C79" s="78" t="s">
        <v>136</v>
      </c>
      <c r="D79" s="77">
        <v>1</v>
      </c>
      <c r="E79" s="79" t="s">
        <v>15</v>
      </c>
      <c r="F79" s="151">
        <f t="shared" si="26"/>
        <v>0</v>
      </c>
      <c r="G79" s="152">
        <f t="shared" si="27"/>
        <v>0</v>
      </c>
      <c r="H79" s="92">
        <f>$M$11</f>
        <v>0.18</v>
      </c>
      <c r="I79" s="212">
        <f>'7'!$J$33</f>
        <v>0</v>
      </c>
      <c r="J79" s="150">
        <f t="shared" si="28"/>
        <v>0</v>
      </c>
      <c r="K79" s="80"/>
    </row>
    <row r="80" spans="2:11" ht="13.8" x14ac:dyDescent="0.25">
      <c r="B80" s="4"/>
      <c r="C80" s="172" t="s">
        <v>121</v>
      </c>
      <c r="D80" s="77">
        <v>1</v>
      </c>
      <c r="E80" s="173" t="s">
        <v>15</v>
      </c>
      <c r="F80" s="174">
        <f t="shared" si="26"/>
        <v>4300</v>
      </c>
      <c r="G80" s="175">
        <f t="shared" si="27"/>
        <v>4300</v>
      </c>
      <c r="H80" s="176">
        <f>$M$12</f>
        <v>0.18</v>
      </c>
      <c r="I80" s="213">
        <f>'7'!$J$40</f>
        <v>3482.7</v>
      </c>
      <c r="J80" s="177">
        <f t="shared" si="28"/>
        <v>3482.7</v>
      </c>
      <c r="K80" s="178"/>
    </row>
    <row r="81" spans="2:11" ht="13.8" x14ac:dyDescent="0.25">
      <c r="B81" s="62"/>
      <c r="C81" s="81" t="s">
        <v>123</v>
      </c>
      <c r="D81" s="82">
        <v>1</v>
      </c>
      <c r="E81" s="83" t="s">
        <v>15</v>
      </c>
      <c r="F81" s="73">
        <f t="shared" si="26"/>
        <v>5800</v>
      </c>
      <c r="G81" s="74">
        <f>F81*D81</f>
        <v>5800</v>
      </c>
      <c r="H81" s="110">
        <f>$M$10</f>
        <v>0.25</v>
      </c>
      <c r="I81" s="214">
        <f>'7'!$J$47</f>
        <v>4320</v>
      </c>
      <c r="J81" s="75">
        <f>I81*D81</f>
        <v>4320</v>
      </c>
      <c r="K81" s="84"/>
    </row>
    <row r="82" spans="2:11" ht="14.4" thickBot="1" x14ac:dyDescent="0.3">
      <c r="B82" s="62"/>
      <c r="C82" s="165" t="s">
        <v>120</v>
      </c>
      <c r="D82" s="85">
        <v>1</v>
      </c>
      <c r="E82" s="166" t="s">
        <v>15</v>
      </c>
      <c r="F82" s="167">
        <f t="shared" si="26"/>
        <v>6100</v>
      </c>
      <c r="G82" s="168">
        <f>F82*D82</f>
        <v>6100</v>
      </c>
      <c r="H82" s="169">
        <f>$M$13</f>
        <v>0.18</v>
      </c>
      <c r="I82" s="215">
        <f>'7'!$J$54</f>
        <v>5000</v>
      </c>
      <c r="J82" s="170">
        <f>I82*D82</f>
        <v>5000</v>
      </c>
      <c r="K82" s="171"/>
    </row>
    <row r="83" spans="2:11" ht="14.4" hidden="1" thickBot="1" x14ac:dyDescent="0.3">
      <c r="B83" s="44"/>
      <c r="C83" s="98"/>
      <c r="D83" s="94"/>
      <c r="E83" s="95"/>
      <c r="F83" s="99"/>
      <c r="G83" s="100"/>
      <c r="H83" s="101"/>
      <c r="I83" s="102"/>
      <c r="J83" s="103"/>
      <c r="K83" s="104"/>
    </row>
    <row r="84" spans="2:11" ht="28.2" thickBot="1" x14ac:dyDescent="0.3">
      <c r="B84" s="12">
        <v>8</v>
      </c>
      <c r="C84" s="197" t="str">
        <f>'Bid Summary'!F11</f>
        <v>Removal and Disposal of Existing Laterals and Turnout Connections (Asbestos Cement Pipe on C-302 and C-305)</v>
      </c>
      <c r="D84" s="118" t="s">
        <v>92</v>
      </c>
      <c r="E84" s="118" t="s">
        <v>9</v>
      </c>
      <c r="F84" s="118" t="s">
        <v>93</v>
      </c>
      <c r="G84" s="119">
        <f>SUM(G85:G92)</f>
        <v>42600</v>
      </c>
      <c r="H84" s="120"/>
      <c r="I84" s="121"/>
      <c r="J84" s="148">
        <f>SUM(J85:J92)</f>
        <v>33502.53</v>
      </c>
      <c r="K84" s="122"/>
    </row>
    <row r="85" spans="2:11" ht="13.8" x14ac:dyDescent="0.25">
      <c r="B85" s="4"/>
      <c r="C85" s="71" t="s">
        <v>109</v>
      </c>
      <c r="D85" s="77">
        <v>1</v>
      </c>
      <c r="E85" s="72" t="s">
        <v>15</v>
      </c>
      <c r="F85" s="73">
        <f t="shared" ref="F85:F91" si="29">CEILING(I85/(1-H85),100)</f>
        <v>4600</v>
      </c>
      <c r="G85" s="74">
        <f t="shared" ref="G85:G89" si="30">F85*D85</f>
        <v>4600</v>
      </c>
      <c r="H85" s="90">
        <f>$M$9</f>
        <v>0.18</v>
      </c>
      <c r="I85" s="223">
        <f>'8'!$J$4</f>
        <v>3702.08</v>
      </c>
      <c r="J85" s="75">
        <f t="shared" ref="J85:J89" si="31">I85*D85</f>
        <v>3702.08</v>
      </c>
      <c r="K85" s="76"/>
    </row>
    <row r="86" spans="2:11" ht="13.8" x14ac:dyDescent="0.25">
      <c r="B86" s="4"/>
      <c r="C86" s="68" t="s">
        <v>112</v>
      </c>
      <c r="D86" s="77">
        <v>1</v>
      </c>
      <c r="E86" s="69" t="s">
        <v>15</v>
      </c>
      <c r="F86" s="271">
        <f t="shared" si="29"/>
        <v>16000</v>
      </c>
      <c r="G86" s="74">
        <f t="shared" si="30"/>
        <v>16000</v>
      </c>
      <c r="H86" s="91">
        <f>$M$10</f>
        <v>0.25</v>
      </c>
      <c r="I86" s="210">
        <f>'8'!$J$15</f>
        <v>12000</v>
      </c>
      <c r="J86" s="75">
        <f t="shared" si="31"/>
        <v>12000</v>
      </c>
      <c r="K86" s="70"/>
    </row>
    <row r="87" spans="2:11" ht="13.8" x14ac:dyDescent="0.25">
      <c r="B87" s="4"/>
      <c r="C87" s="179" t="s">
        <v>116</v>
      </c>
      <c r="D87" s="77">
        <v>1</v>
      </c>
      <c r="E87" s="180" t="s">
        <v>15</v>
      </c>
      <c r="F87" s="181">
        <f t="shared" si="29"/>
        <v>1900</v>
      </c>
      <c r="G87" s="182">
        <f t="shared" si="30"/>
        <v>1900</v>
      </c>
      <c r="H87" s="183">
        <f>$M$12</f>
        <v>0.18</v>
      </c>
      <c r="I87" s="211">
        <f>'8'!$J$22</f>
        <v>1500</v>
      </c>
      <c r="J87" s="184">
        <f t="shared" si="31"/>
        <v>1500</v>
      </c>
      <c r="K87" s="185"/>
    </row>
    <row r="88" spans="2:11" ht="13.8" x14ac:dyDescent="0.25">
      <c r="B88" s="4"/>
      <c r="C88" s="78" t="s">
        <v>136</v>
      </c>
      <c r="D88" s="77">
        <v>1</v>
      </c>
      <c r="E88" s="79" t="s">
        <v>15</v>
      </c>
      <c r="F88" s="151">
        <f t="shared" si="29"/>
        <v>0</v>
      </c>
      <c r="G88" s="152">
        <f t="shared" si="30"/>
        <v>0</v>
      </c>
      <c r="H88" s="92">
        <f>$M$11</f>
        <v>0.18</v>
      </c>
      <c r="I88" s="212">
        <f>'8'!$J$29</f>
        <v>0</v>
      </c>
      <c r="J88" s="150">
        <f t="shared" si="31"/>
        <v>0</v>
      </c>
      <c r="K88" s="80"/>
    </row>
    <row r="89" spans="2:11" ht="13.8" x14ac:dyDescent="0.25">
      <c r="B89" s="4"/>
      <c r="C89" s="172" t="s">
        <v>121</v>
      </c>
      <c r="D89" s="77">
        <v>1</v>
      </c>
      <c r="E89" s="173" t="s">
        <v>15</v>
      </c>
      <c r="F89" s="174">
        <f t="shared" si="29"/>
        <v>800</v>
      </c>
      <c r="G89" s="175">
        <f t="shared" si="30"/>
        <v>800</v>
      </c>
      <c r="H89" s="176">
        <f>$M$12</f>
        <v>0.18</v>
      </c>
      <c r="I89" s="213">
        <f>'8'!$J$36</f>
        <v>580.45000000000005</v>
      </c>
      <c r="J89" s="177">
        <f t="shared" si="31"/>
        <v>580.45000000000005</v>
      </c>
      <c r="K89" s="178"/>
    </row>
    <row r="90" spans="2:11" ht="13.8" x14ac:dyDescent="0.25">
      <c r="B90" s="62"/>
      <c r="C90" s="81" t="s">
        <v>123</v>
      </c>
      <c r="D90" s="82">
        <v>1</v>
      </c>
      <c r="E90" s="83" t="s">
        <v>15</v>
      </c>
      <c r="F90" s="73">
        <f t="shared" si="29"/>
        <v>1000</v>
      </c>
      <c r="G90" s="74">
        <f>F90*D90</f>
        <v>1000</v>
      </c>
      <c r="H90" s="110">
        <f>$M$10</f>
        <v>0.25</v>
      </c>
      <c r="I90" s="214">
        <f>'8'!$J$43</f>
        <v>720</v>
      </c>
      <c r="J90" s="75">
        <f>I90*D90</f>
        <v>720</v>
      </c>
      <c r="K90" s="84"/>
    </row>
    <row r="91" spans="2:11" ht="14.4" thickBot="1" x14ac:dyDescent="0.3">
      <c r="B91" s="62"/>
      <c r="C91" s="165" t="s">
        <v>120</v>
      </c>
      <c r="D91" s="85">
        <v>1</v>
      </c>
      <c r="E91" s="166" t="s">
        <v>15</v>
      </c>
      <c r="F91" s="167">
        <f t="shared" si="29"/>
        <v>18300</v>
      </c>
      <c r="G91" s="168">
        <f>F91*D91</f>
        <v>18300</v>
      </c>
      <c r="H91" s="169">
        <f>$M$13</f>
        <v>0.18</v>
      </c>
      <c r="I91" s="215">
        <f>'8'!$J$50</f>
        <v>15000</v>
      </c>
      <c r="J91" s="170">
        <f>I91*D91</f>
        <v>15000</v>
      </c>
      <c r="K91" s="171"/>
    </row>
    <row r="92" spans="2:11" ht="14.4" hidden="1" thickBot="1" x14ac:dyDescent="0.3">
      <c r="B92" s="44"/>
      <c r="C92" s="98"/>
      <c r="D92" s="94"/>
      <c r="E92" s="95"/>
      <c r="F92" s="99"/>
      <c r="G92" s="100"/>
      <c r="H92" s="101"/>
      <c r="I92" s="102"/>
      <c r="J92" s="103"/>
      <c r="K92" s="104"/>
    </row>
    <row r="93" spans="2:11" ht="28.2" thickBot="1" x14ac:dyDescent="0.3">
      <c r="B93" s="12">
        <v>9</v>
      </c>
      <c r="C93" s="197" t="str">
        <f>'Bid Summary'!F12</f>
        <v xml:space="preserve">Removal and Disposal of Existing Turnout Connections (PVC Pipe on C-402 and C-403) </v>
      </c>
      <c r="D93" s="118" t="s">
        <v>92</v>
      </c>
      <c r="E93" s="118" t="s">
        <v>9</v>
      </c>
      <c r="F93" s="118" t="s">
        <v>93</v>
      </c>
      <c r="G93" s="119">
        <f>SUM(G94:G101)</f>
        <v>7000</v>
      </c>
      <c r="H93" s="120"/>
      <c r="I93" s="121"/>
      <c r="J93" s="148">
        <f>SUM(J94:J101)</f>
        <v>5388.85</v>
      </c>
      <c r="K93" s="122"/>
    </row>
    <row r="94" spans="2:11" ht="13.8" x14ac:dyDescent="0.25">
      <c r="B94" s="4"/>
      <c r="C94" s="71" t="s">
        <v>109</v>
      </c>
      <c r="D94" s="77">
        <v>1</v>
      </c>
      <c r="E94" s="72" t="s">
        <v>15</v>
      </c>
      <c r="F94" s="73">
        <f t="shared" ref="F94:F100" si="32">CEILING(I94/(1-H94),100)</f>
        <v>3800</v>
      </c>
      <c r="G94" s="74">
        <f t="shared" ref="G94:G98" si="33">F94*D94</f>
        <v>3800</v>
      </c>
      <c r="H94" s="90">
        <f>$M$9</f>
        <v>0.18</v>
      </c>
      <c r="I94" s="223">
        <f>'9'!$J$4</f>
        <v>3088.4</v>
      </c>
      <c r="J94" s="75">
        <f t="shared" ref="J94:J98" si="34">I94*D94</f>
        <v>3088.4</v>
      </c>
      <c r="K94" s="76"/>
    </row>
    <row r="95" spans="2:11" ht="13.8" x14ac:dyDescent="0.25">
      <c r="B95" s="4"/>
      <c r="C95" s="68" t="s">
        <v>112</v>
      </c>
      <c r="D95" s="77">
        <v>1</v>
      </c>
      <c r="E95" s="69" t="s">
        <v>15</v>
      </c>
      <c r="F95" s="271">
        <f t="shared" si="32"/>
        <v>700</v>
      </c>
      <c r="G95" s="74">
        <f t="shared" si="33"/>
        <v>700</v>
      </c>
      <c r="H95" s="91">
        <f>$M$10</f>
        <v>0.25</v>
      </c>
      <c r="I95" s="210">
        <f>'9'!$J$15</f>
        <v>500</v>
      </c>
      <c r="J95" s="75">
        <f t="shared" si="34"/>
        <v>500</v>
      </c>
      <c r="K95" s="70"/>
    </row>
    <row r="96" spans="2:11" ht="13.8" x14ac:dyDescent="0.25">
      <c r="B96" s="4"/>
      <c r="C96" s="179" t="s">
        <v>116</v>
      </c>
      <c r="D96" s="77">
        <v>1</v>
      </c>
      <c r="E96" s="180" t="s">
        <v>15</v>
      </c>
      <c r="F96" s="181">
        <f t="shared" si="32"/>
        <v>0</v>
      </c>
      <c r="G96" s="182">
        <f t="shared" si="33"/>
        <v>0</v>
      </c>
      <c r="H96" s="183">
        <f>$M$12</f>
        <v>0.18</v>
      </c>
      <c r="I96" s="211">
        <f>'9'!$J$22</f>
        <v>0</v>
      </c>
      <c r="J96" s="184">
        <f t="shared" si="34"/>
        <v>0</v>
      </c>
      <c r="K96" s="185"/>
    </row>
    <row r="97" spans="2:11" ht="13.8" x14ac:dyDescent="0.25">
      <c r="B97" s="4"/>
      <c r="C97" s="78" t="s">
        <v>136</v>
      </c>
      <c r="D97" s="77">
        <v>1</v>
      </c>
      <c r="E97" s="79" t="s">
        <v>15</v>
      </c>
      <c r="F97" s="151">
        <f t="shared" si="32"/>
        <v>0</v>
      </c>
      <c r="G97" s="152">
        <f t="shared" si="33"/>
        <v>0</v>
      </c>
      <c r="H97" s="92">
        <f>$M$11</f>
        <v>0.18</v>
      </c>
      <c r="I97" s="212">
        <f>'9'!$J$29</f>
        <v>0</v>
      </c>
      <c r="J97" s="150">
        <f t="shared" si="34"/>
        <v>0</v>
      </c>
      <c r="K97" s="80"/>
    </row>
    <row r="98" spans="2:11" ht="13.8" x14ac:dyDescent="0.25">
      <c r="B98" s="4"/>
      <c r="C98" s="172" t="s">
        <v>121</v>
      </c>
      <c r="D98" s="77">
        <v>1</v>
      </c>
      <c r="E98" s="173" t="s">
        <v>15</v>
      </c>
      <c r="F98" s="174">
        <f t="shared" si="32"/>
        <v>800</v>
      </c>
      <c r="G98" s="175">
        <f t="shared" si="33"/>
        <v>800</v>
      </c>
      <c r="H98" s="176">
        <f>$M$12</f>
        <v>0.18</v>
      </c>
      <c r="I98" s="213">
        <f>'9'!$J$36</f>
        <v>580.45000000000005</v>
      </c>
      <c r="J98" s="177">
        <f t="shared" si="34"/>
        <v>580.45000000000005</v>
      </c>
      <c r="K98" s="178"/>
    </row>
    <row r="99" spans="2:11" ht="13.8" x14ac:dyDescent="0.25">
      <c r="B99" s="62"/>
      <c r="C99" s="81" t="s">
        <v>123</v>
      </c>
      <c r="D99" s="82">
        <v>1</v>
      </c>
      <c r="E99" s="83" t="s">
        <v>15</v>
      </c>
      <c r="F99" s="73">
        <f t="shared" si="32"/>
        <v>1000</v>
      </c>
      <c r="G99" s="74">
        <f>F99*D99</f>
        <v>1000</v>
      </c>
      <c r="H99" s="110">
        <f>$M$10</f>
        <v>0.25</v>
      </c>
      <c r="I99" s="214">
        <f>'9'!$J$43</f>
        <v>720</v>
      </c>
      <c r="J99" s="75">
        <f>I99*D99</f>
        <v>720</v>
      </c>
      <c r="K99" s="84"/>
    </row>
    <row r="100" spans="2:11" ht="14.4" thickBot="1" x14ac:dyDescent="0.3">
      <c r="B100" s="62"/>
      <c r="C100" s="165" t="s">
        <v>120</v>
      </c>
      <c r="D100" s="85">
        <v>1</v>
      </c>
      <c r="E100" s="166" t="s">
        <v>15</v>
      </c>
      <c r="F100" s="167">
        <f t="shared" si="32"/>
        <v>700</v>
      </c>
      <c r="G100" s="168">
        <f>F100*D100</f>
        <v>700</v>
      </c>
      <c r="H100" s="169">
        <f>$M$13</f>
        <v>0.18</v>
      </c>
      <c r="I100" s="215">
        <f>'9'!$J$50</f>
        <v>500</v>
      </c>
      <c r="J100" s="170">
        <f>I100*D100</f>
        <v>500</v>
      </c>
      <c r="K100" s="171"/>
    </row>
    <row r="101" spans="2:11" ht="14.4" hidden="1" thickBot="1" x14ac:dyDescent="0.3">
      <c r="B101" s="44"/>
      <c r="C101" s="98"/>
      <c r="D101" s="94"/>
      <c r="E101" s="95"/>
      <c r="F101" s="99"/>
      <c r="G101" s="100"/>
      <c r="H101" s="101"/>
      <c r="I101" s="102"/>
      <c r="J101" s="103"/>
      <c r="K101" s="104"/>
    </row>
    <row r="102" spans="2:11" ht="28.2" thickBot="1" x14ac:dyDescent="0.3">
      <c r="B102" s="12">
        <v>10</v>
      </c>
      <c r="C102" s="197" t="str">
        <f>'Bid Summary'!F13</f>
        <v xml:space="preserve">Removal and Disposal of Existing Marker Posts and Cathodic Protection Test Stations </v>
      </c>
      <c r="D102" s="118" t="s">
        <v>92</v>
      </c>
      <c r="E102" s="118" t="s">
        <v>9</v>
      </c>
      <c r="F102" s="118" t="s">
        <v>93</v>
      </c>
      <c r="G102" s="119">
        <f>SUM(G103:G110)</f>
        <v>22800</v>
      </c>
      <c r="H102" s="120"/>
      <c r="I102" s="121"/>
      <c r="J102" s="148">
        <f>SUM(J103:J110)</f>
        <v>18225.72</v>
      </c>
      <c r="K102" s="122"/>
    </row>
    <row r="103" spans="2:11" ht="13.8" x14ac:dyDescent="0.25">
      <c r="B103" s="4"/>
      <c r="C103" s="71" t="s">
        <v>109</v>
      </c>
      <c r="D103" s="77">
        <v>1</v>
      </c>
      <c r="E103" s="72" t="s">
        <v>15</v>
      </c>
      <c r="F103" s="73">
        <f t="shared" ref="F103:F109" si="35">CEILING(I103/(1-H103),100)</f>
        <v>12500</v>
      </c>
      <c r="G103" s="74">
        <f t="shared" ref="G103:G107" si="36">F103*D103</f>
        <v>12500</v>
      </c>
      <c r="H103" s="90">
        <f>$M$9</f>
        <v>0.18</v>
      </c>
      <c r="I103" s="223">
        <f>'10'!$J$4</f>
        <v>10185.720000000001</v>
      </c>
      <c r="J103" s="75">
        <f t="shared" ref="J103:J107" si="37">I103*D103</f>
        <v>10185.720000000001</v>
      </c>
      <c r="K103" s="76"/>
    </row>
    <row r="104" spans="2:11" ht="13.8" x14ac:dyDescent="0.25">
      <c r="B104" s="4"/>
      <c r="C104" s="68" t="s">
        <v>112</v>
      </c>
      <c r="D104" s="77">
        <v>1</v>
      </c>
      <c r="E104" s="69" t="s">
        <v>15</v>
      </c>
      <c r="F104" s="271">
        <f t="shared" si="35"/>
        <v>700</v>
      </c>
      <c r="G104" s="74">
        <f t="shared" si="36"/>
        <v>700</v>
      </c>
      <c r="H104" s="91">
        <f>$M$10</f>
        <v>0.25</v>
      </c>
      <c r="I104" s="210">
        <f>'10'!$J$15</f>
        <v>500</v>
      </c>
      <c r="J104" s="75">
        <f t="shared" si="37"/>
        <v>500</v>
      </c>
      <c r="K104" s="70"/>
    </row>
    <row r="105" spans="2:11" ht="13.8" x14ac:dyDescent="0.25">
      <c r="B105" s="4"/>
      <c r="C105" s="179" t="s">
        <v>116</v>
      </c>
      <c r="D105" s="77">
        <v>1</v>
      </c>
      <c r="E105" s="180" t="s">
        <v>15</v>
      </c>
      <c r="F105" s="181">
        <f t="shared" si="35"/>
        <v>3600</v>
      </c>
      <c r="G105" s="182">
        <f t="shared" si="36"/>
        <v>3600</v>
      </c>
      <c r="H105" s="183">
        <f>$M$12</f>
        <v>0.18</v>
      </c>
      <c r="I105" s="211">
        <f>'10'!$J$22</f>
        <v>2880</v>
      </c>
      <c r="J105" s="184">
        <f t="shared" si="37"/>
        <v>2880</v>
      </c>
      <c r="K105" s="185"/>
    </row>
    <row r="106" spans="2:11" ht="13.8" x14ac:dyDescent="0.25">
      <c r="B106" s="4"/>
      <c r="C106" s="78" t="s">
        <v>136</v>
      </c>
      <c r="D106" s="77">
        <v>1</v>
      </c>
      <c r="E106" s="79" t="s">
        <v>15</v>
      </c>
      <c r="F106" s="151">
        <f t="shared" si="35"/>
        <v>0</v>
      </c>
      <c r="G106" s="152">
        <f t="shared" si="36"/>
        <v>0</v>
      </c>
      <c r="H106" s="92">
        <f>$M$11</f>
        <v>0.18</v>
      </c>
      <c r="I106" s="212">
        <f>'10'!$J$29</f>
        <v>0</v>
      </c>
      <c r="J106" s="150">
        <f t="shared" si="37"/>
        <v>0</v>
      </c>
      <c r="K106" s="80"/>
    </row>
    <row r="107" spans="2:11" ht="13.8" x14ac:dyDescent="0.25">
      <c r="B107" s="4"/>
      <c r="C107" s="172" t="s">
        <v>121</v>
      </c>
      <c r="D107" s="77">
        <v>1</v>
      </c>
      <c r="E107" s="173" t="s">
        <v>15</v>
      </c>
      <c r="F107" s="174">
        <f t="shared" si="35"/>
        <v>0</v>
      </c>
      <c r="G107" s="175">
        <f t="shared" si="36"/>
        <v>0</v>
      </c>
      <c r="H107" s="176">
        <f>$M$12</f>
        <v>0.18</v>
      </c>
      <c r="I107" s="213">
        <f>'10'!$J$36</f>
        <v>0</v>
      </c>
      <c r="J107" s="177">
        <f t="shared" si="37"/>
        <v>0</v>
      </c>
      <c r="K107" s="178"/>
    </row>
    <row r="108" spans="2:11" ht="13.8" x14ac:dyDescent="0.25">
      <c r="B108" s="62"/>
      <c r="C108" s="81" t="s">
        <v>123</v>
      </c>
      <c r="D108" s="82">
        <v>1</v>
      </c>
      <c r="E108" s="83" t="s">
        <v>15</v>
      </c>
      <c r="F108" s="73">
        <f t="shared" si="35"/>
        <v>2900</v>
      </c>
      <c r="G108" s="74">
        <f>F108*D108</f>
        <v>2900</v>
      </c>
      <c r="H108" s="110">
        <f>$M$10</f>
        <v>0.25</v>
      </c>
      <c r="I108" s="214">
        <f>'10'!$J$43</f>
        <v>2160</v>
      </c>
      <c r="J108" s="75">
        <f>I108*D108</f>
        <v>2160</v>
      </c>
      <c r="K108" s="84"/>
    </row>
    <row r="109" spans="2:11" ht="14.4" thickBot="1" x14ac:dyDescent="0.3">
      <c r="B109" s="62"/>
      <c r="C109" s="165" t="s">
        <v>120</v>
      </c>
      <c r="D109" s="85">
        <v>1</v>
      </c>
      <c r="E109" s="166" t="s">
        <v>15</v>
      </c>
      <c r="F109" s="167">
        <f t="shared" si="35"/>
        <v>3100</v>
      </c>
      <c r="G109" s="168">
        <f>F109*D109</f>
        <v>3100</v>
      </c>
      <c r="H109" s="169">
        <f>$M$13</f>
        <v>0.18</v>
      </c>
      <c r="I109" s="215">
        <f>'10'!$J$50</f>
        <v>2500</v>
      </c>
      <c r="J109" s="170">
        <f>I109*D109</f>
        <v>2500</v>
      </c>
      <c r="K109" s="171"/>
    </row>
    <row r="110" spans="2:11" ht="14.4" hidden="1" thickBot="1" x14ac:dyDescent="0.3">
      <c r="B110" s="44"/>
      <c r="C110" s="98"/>
      <c r="D110" s="94"/>
      <c r="E110" s="95"/>
      <c r="F110" s="99"/>
      <c r="G110" s="100"/>
      <c r="H110" s="101"/>
      <c r="I110" s="102"/>
      <c r="J110" s="103"/>
      <c r="K110" s="104"/>
    </row>
    <row r="111" spans="2:11" ht="14.4" thickBot="1" x14ac:dyDescent="0.3">
      <c r="B111" s="12">
        <v>11</v>
      </c>
      <c r="C111" s="197" t="str">
        <f>'Bid Summary'!F14</f>
        <v>30-inch PVC Pipe (Lateral DE-1-A)</v>
      </c>
      <c r="D111" s="118" t="s">
        <v>92</v>
      </c>
      <c r="E111" s="118" t="s">
        <v>9</v>
      </c>
      <c r="F111" s="118" t="s">
        <v>93</v>
      </c>
      <c r="G111" s="119">
        <f>SUM(G112:G119)</f>
        <v>875290</v>
      </c>
      <c r="H111" s="120"/>
      <c r="I111" s="121"/>
      <c r="J111" s="148">
        <f>SUM(J112:J119)</f>
        <v>668072.80000000005</v>
      </c>
      <c r="K111" s="122"/>
    </row>
    <row r="112" spans="2:11" ht="13.8" x14ac:dyDescent="0.25">
      <c r="B112" s="4"/>
      <c r="C112" s="71" t="s">
        <v>109</v>
      </c>
      <c r="D112" s="77">
        <v>1</v>
      </c>
      <c r="E112" s="72" t="s">
        <v>15</v>
      </c>
      <c r="F112" s="73">
        <f t="shared" ref="F112:F118" si="38">CEILING(I112/(1-H112),10)</f>
        <v>109090</v>
      </c>
      <c r="G112" s="74">
        <f t="shared" ref="G112:G116" si="39">F112*D112</f>
        <v>109090</v>
      </c>
      <c r="H112" s="90">
        <f>$M$9</f>
        <v>0.18</v>
      </c>
      <c r="I112" s="223">
        <f>'11'!$J$4</f>
        <v>89448</v>
      </c>
      <c r="J112" s="75">
        <f t="shared" ref="J112:J116" si="40">I112*D112</f>
        <v>89448</v>
      </c>
      <c r="K112" s="76"/>
    </row>
    <row r="113" spans="2:11" ht="13.8" x14ac:dyDescent="0.25">
      <c r="B113" s="4"/>
      <c r="C113" s="68" t="s">
        <v>112</v>
      </c>
      <c r="D113" s="77">
        <v>1</v>
      </c>
      <c r="E113" s="69" t="s">
        <v>15</v>
      </c>
      <c r="F113" s="271">
        <f t="shared" si="38"/>
        <v>645300</v>
      </c>
      <c r="G113" s="74">
        <f t="shared" si="39"/>
        <v>645300</v>
      </c>
      <c r="H113" s="91">
        <f>$M$10</f>
        <v>0.25</v>
      </c>
      <c r="I113" s="210">
        <f>'11'!$J$15</f>
        <v>483969.80000000005</v>
      </c>
      <c r="J113" s="75">
        <f t="shared" si="40"/>
        <v>483969.80000000005</v>
      </c>
      <c r="K113" s="70"/>
    </row>
    <row r="114" spans="2:11" ht="13.8" x14ac:dyDescent="0.25">
      <c r="B114" s="4"/>
      <c r="C114" s="179" t="s">
        <v>116</v>
      </c>
      <c r="D114" s="77">
        <v>1</v>
      </c>
      <c r="E114" s="180" t="s">
        <v>15</v>
      </c>
      <c r="F114" s="181">
        <f t="shared" si="38"/>
        <v>0</v>
      </c>
      <c r="G114" s="182">
        <f t="shared" si="39"/>
        <v>0</v>
      </c>
      <c r="H114" s="183">
        <f>$M$12</f>
        <v>0.18</v>
      </c>
      <c r="I114" s="211">
        <f>'11'!$J$25</f>
        <v>0</v>
      </c>
      <c r="J114" s="184">
        <f t="shared" si="40"/>
        <v>0</v>
      </c>
      <c r="K114" s="185"/>
    </row>
    <row r="115" spans="2:11" ht="13.8" x14ac:dyDescent="0.25">
      <c r="B115" s="4"/>
      <c r="C115" s="78" t="s">
        <v>136</v>
      </c>
      <c r="D115" s="77">
        <v>1</v>
      </c>
      <c r="E115" s="79" t="s">
        <v>15</v>
      </c>
      <c r="F115" s="151">
        <f t="shared" si="38"/>
        <v>0</v>
      </c>
      <c r="G115" s="152">
        <f t="shared" si="39"/>
        <v>0</v>
      </c>
      <c r="H115" s="92">
        <f>$M$11</f>
        <v>0.18</v>
      </c>
      <c r="I115" s="212">
        <f>'11'!$J$32</f>
        <v>0</v>
      </c>
      <c r="J115" s="150">
        <f t="shared" si="40"/>
        <v>0</v>
      </c>
      <c r="K115" s="80"/>
    </row>
    <row r="116" spans="2:11" ht="13.8" x14ac:dyDescent="0.25">
      <c r="B116" s="4"/>
      <c r="C116" s="172" t="s">
        <v>121</v>
      </c>
      <c r="D116" s="77">
        <v>1</v>
      </c>
      <c r="E116" s="173" t="s">
        <v>15</v>
      </c>
      <c r="F116" s="174">
        <f t="shared" si="38"/>
        <v>56900</v>
      </c>
      <c r="G116" s="175">
        <f t="shared" si="39"/>
        <v>56900</v>
      </c>
      <c r="H116" s="176">
        <f>$M$12</f>
        <v>0.18</v>
      </c>
      <c r="I116" s="213">
        <f>'11'!$J$39</f>
        <v>46655</v>
      </c>
      <c r="J116" s="177">
        <f t="shared" si="40"/>
        <v>46655</v>
      </c>
      <c r="K116" s="178"/>
    </row>
    <row r="117" spans="2:11" ht="13.8" x14ac:dyDescent="0.25">
      <c r="B117" s="62"/>
      <c r="C117" s="81" t="s">
        <v>123</v>
      </c>
      <c r="D117" s="82">
        <v>1</v>
      </c>
      <c r="E117" s="83" t="s">
        <v>15</v>
      </c>
      <c r="F117" s="73">
        <f t="shared" si="38"/>
        <v>64000</v>
      </c>
      <c r="G117" s="74">
        <f>F117*D117</f>
        <v>64000</v>
      </c>
      <c r="H117" s="110">
        <f>$M$10</f>
        <v>0.25</v>
      </c>
      <c r="I117" s="214">
        <f>'11'!$J$47</f>
        <v>48000</v>
      </c>
      <c r="J117" s="75">
        <f>I117*D117</f>
        <v>48000</v>
      </c>
      <c r="K117" s="84"/>
    </row>
    <row r="118" spans="2:11" ht="14.4" thickBot="1" x14ac:dyDescent="0.3">
      <c r="B118" s="62"/>
      <c r="C118" s="165" t="s">
        <v>120</v>
      </c>
      <c r="D118" s="85">
        <v>1</v>
      </c>
      <c r="E118" s="166" t="s">
        <v>15</v>
      </c>
      <c r="F118" s="167">
        <f t="shared" si="38"/>
        <v>0</v>
      </c>
      <c r="G118" s="168">
        <f>F118*D118</f>
        <v>0</v>
      </c>
      <c r="H118" s="169">
        <f>$M$13</f>
        <v>0.18</v>
      </c>
      <c r="I118" s="215">
        <f>'11'!$J$54</f>
        <v>0</v>
      </c>
      <c r="J118" s="170">
        <f>I118*D118</f>
        <v>0</v>
      </c>
      <c r="K118" s="171"/>
    </row>
    <row r="119" spans="2:11" ht="14.4" hidden="1" thickBot="1" x14ac:dyDescent="0.3">
      <c r="B119" s="44"/>
      <c r="C119" s="98"/>
      <c r="D119" s="94"/>
      <c r="E119" s="95"/>
      <c r="F119" s="99"/>
      <c r="G119" s="100"/>
      <c r="H119" s="101"/>
      <c r="I119" s="102"/>
      <c r="J119" s="103"/>
      <c r="K119" s="104"/>
    </row>
    <row r="120" spans="2:11" ht="14.4" thickBot="1" x14ac:dyDescent="0.3">
      <c r="B120" s="12">
        <v>12</v>
      </c>
      <c r="C120" s="197" t="str">
        <f>'Bid Summary'!F15</f>
        <v>36-inch PVC Pipe (Lateral DE-1)</v>
      </c>
      <c r="D120" s="118" t="s">
        <v>92</v>
      </c>
      <c r="E120" s="118" t="s">
        <v>9</v>
      </c>
      <c r="F120" s="118" t="s">
        <v>93</v>
      </c>
      <c r="G120" s="119">
        <f>SUM(G121:G128)</f>
        <v>742390</v>
      </c>
      <c r="H120" s="120"/>
      <c r="I120" s="121"/>
      <c r="J120" s="148">
        <f>SUM(J121:J128)</f>
        <v>563360.81999999995</v>
      </c>
      <c r="K120" s="122"/>
    </row>
    <row r="121" spans="2:11" ht="13.8" x14ac:dyDescent="0.25">
      <c r="B121" s="4"/>
      <c r="C121" s="71" t="s">
        <v>109</v>
      </c>
      <c r="D121" s="77">
        <v>1</v>
      </c>
      <c r="E121" s="72" t="s">
        <v>15</v>
      </c>
      <c r="F121" s="73">
        <f>CEILING(I121/(1-H121),10)</f>
        <v>76360</v>
      </c>
      <c r="G121" s="74">
        <f t="shared" ref="G121:G125" si="41">F121*D121</f>
        <v>76360</v>
      </c>
      <c r="H121" s="90">
        <f>$M$9</f>
        <v>0.18</v>
      </c>
      <c r="I121" s="223">
        <f>'12'!$J$4</f>
        <v>62613.599999999999</v>
      </c>
      <c r="J121" s="75">
        <f t="shared" ref="J121:J125" si="42">I121*D121</f>
        <v>62613.599999999999</v>
      </c>
      <c r="K121" s="76"/>
    </row>
    <row r="122" spans="2:11" ht="13.8" x14ac:dyDescent="0.25">
      <c r="B122" s="4"/>
      <c r="C122" s="68" t="s">
        <v>112</v>
      </c>
      <c r="D122" s="77">
        <v>1</v>
      </c>
      <c r="E122" s="69" t="s">
        <v>15</v>
      </c>
      <c r="F122" s="271">
        <f>CEILING(I122/(1-H122),10)</f>
        <v>603430</v>
      </c>
      <c r="G122" s="74">
        <f t="shared" si="41"/>
        <v>603430</v>
      </c>
      <c r="H122" s="91">
        <f>$M$10</f>
        <v>0.25</v>
      </c>
      <c r="I122" s="210">
        <f>'12'!$J$15</f>
        <v>452569.72</v>
      </c>
      <c r="J122" s="75">
        <f t="shared" si="42"/>
        <v>452569.72</v>
      </c>
      <c r="K122" s="70"/>
    </row>
    <row r="123" spans="2:11" ht="13.8" x14ac:dyDescent="0.25">
      <c r="B123" s="4"/>
      <c r="C123" s="179" t="s">
        <v>116</v>
      </c>
      <c r="D123" s="77">
        <v>1</v>
      </c>
      <c r="E123" s="180" t="s">
        <v>15</v>
      </c>
      <c r="F123" s="181">
        <f>CEILING(I123/(1-H123),10)</f>
        <v>0</v>
      </c>
      <c r="G123" s="182">
        <f t="shared" si="41"/>
        <v>0</v>
      </c>
      <c r="H123" s="183">
        <f>$M$12</f>
        <v>0.18</v>
      </c>
      <c r="I123" s="211">
        <f>'12'!$J$23</f>
        <v>0</v>
      </c>
      <c r="J123" s="184">
        <f t="shared" si="42"/>
        <v>0</v>
      </c>
      <c r="K123" s="185"/>
    </row>
    <row r="124" spans="2:11" ht="13.8" x14ac:dyDescent="0.25">
      <c r="B124" s="4"/>
      <c r="C124" s="78" t="s">
        <v>136</v>
      </c>
      <c r="D124" s="77">
        <v>1</v>
      </c>
      <c r="E124" s="79" t="s">
        <v>15</v>
      </c>
      <c r="F124" s="151">
        <f>CEILING(I124/(1-H124),10)</f>
        <v>0</v>
      </c>
      <c r="G124" s="152">
        <f t="shared" si="41"/>
        <v>0</v>
      </c>
      <c r="H124" s="92">
        <f>$M$11</f>
        <v>0.18</v>
      </c>
      <c r="I124" s="212">
        <f>'12'!$J$30</f>
        <v>0</v>
      </c>
      <c r="J124" s="150">
        <f t="shared" si="42"/>
        <v>0</v>
      </c>
      <c r="K124" s="80"/>
    </row>
    <row r="125" spans="2:11" ht="13.8" x14ac:dyDescent="0.25">
      <c r="B125" s="4"/>
      <c r="C125" s="172" t="s">
        <v>121</v>
      </c>
      <c r="D125" s="77">
        <v>1</v>
      </c>
      <c r="E125" s="173" t="s">
        <v>15</v>
      </c>
      <c r="F125" s="174">
        <f>CEILING(I125/(1-H125),100)</f>
        <v>17800</v>
      </c>
      <c r="G125" s="175">
        <f t="shared" si="41"/>
        <v>17800</v>
      </c>
      <c r="H125" s="176">
        <f>$M$12</f>
        <v>0.18</v>
      </c>
      <c r="I125" s="213">
        <f>'12'!$J$37</f>
        <v>14577.5</v>
      </c>
      <c r="J125" s="177">
        <f t="shared" si="42"/>
        <v>14577.5</v>
      </c>
      <c r="K125" s="178"/>
    </row>
    <row r="126" spans="2:11" ht="13.8" x14ac:dyDescent="0.25">
      <c r="B126" s="62"/>
      <c r="C126" s="81" t="s">
        <v>123</v>
      </c>
      <c r="D126" s="82">
        <v>1</v>
      </c>
      <c r="E126" s="83" t="s">
        <v>15</v>
      </c>
      <c r="F126" s="73">
        <f>CEILING(I126/(1-H126),10)</f>
        <v>44800</v>
      </c>
      <c r="G126" s="74">
        <f>F126*D126</f>
        <v>44800</v>
      </c>
      <c r="H126" s="110">
        <f>$M$10</f>
        <v>0.25</v>
      </c>
      <c r="I126" s="214">
        <f>'12'!$J$44</f>
        <v>33600</v>
      </c>
      <c r="J126" s="75">
        <f>I126*D126</f>
        <v>33600</v>
      </c>
      <c r="K126" s="84"/>
    </row>
    <row r="127" spans="2:11" ht="14.4" thickBot="1" x14ac:dyDescent="0.3">
      <c r="B127" s="62"/>
      <c r="C127" s="165" t="s">
        <v>120</v>
      </c>
      <c r="D127" s="85">
        <v>1</v>
      </c>
      <c r="E127" s="166" t="s">
        <v>15</v>
      </c>
      <c r="F127" s="167">
        <f>CEILING(I127/(1-H127),100)</f>
        <v>0</v>
      </c>
      <c r="G127" s="168">
        <f>F127*D127</f>
        <v>0</v>
      </c>
      <c r="H127" s="169">
        <f>$M$13</f>
        <v>0.18</v>
      </c>
      <c r="I127" s="215">
        <f>'12'!$J$51</f>
        <v>0</v>
      </c>
      <c r="J127" s="170">
        <f>I127*D127</f>
        <v>0</v>
      </c>
      <c r="K127" s="171"/>
    </row>
    <row r="128" spans="2:11" ht="14.4" hidden="1" thickBot="1" x14ac:dyDescent="0.3">
      <c r="B128" s="44"/>
      <c r="C128" s="98"/>
      <c r="D128" s="94"/>
      <c r="E128" s="95"/>
      <c r="F128" s="99"/>
      <c r="G128" s="100"/>
      <c r="H128" s="101"/>
      <c r="I128" s="102"/>
      <c r="J128" s="103"/>
      <c r="K128" s="104"/>
    </row>
    <row r="129" spans="2:11" ht="14.4" thickBot="1" x14ac:dyDescent="0.3">
      <c r="B129" s="12">
        <v>13</v>
      </c>
      <c r="C129" s="197" t="str">
        <f>'Bid Summary'!F16</f>
        <v>42-inch Steel Pipe (Lateral DE)</v>
      </c>
      <c r="D129" s="118" t="s">
        <v>92</v>
      </c>
      <c r="E129" s="118" t="s">
        <v>9</v>
      </c>
      <c r="F129" s="118" t="s">
        <v>93</v>
      </c>
      <c r="G129" s="119">
        <f>SUM(G130:G137)</f>
        <v>1227877</v>
      </c>
      <c r="H129" s="120"/>
      <c r="I129" s="121"/>
      <c r="J129" s="148">
        <f>SUM(J130:J137)</f>
        <v>937177</v>
      </c>
      <c r="K129" s="122"/>
    </row>
    <row r="130" spans="2:11" ht="13.8" x14ac:dyDescent="0.25">
      <c r="B130" s="4"/>
      <c r="C130" s="71" t="s">
        <v>109</v>
      </c>
      <c r="D130" s="77">
        <v>1</v>
      </c>
      <c r="E130" s="72" t="s">
        <v>15</v>
      </c>
      <c r="F130" s="73">
        <f>CEILING(I130/(1-H130),10)</f>
        <v>59060</v>
      </c>
      <c r="G130" s="74">
        <f t="shared" ref="G130:G134" si="43">F130*D130</f>
        <v>59060</v>
      </c>
      <c r="H130" s="90">
        <f>$M$9</f>
        <v>0.18</v>
      </c>
      <c r="I130" s="223">
        <f>'13'!$J$4</f>
        <v>48422</v>
      </c>
      <c r="J130" s="75">
        <f t="shared" ref="J130:J134" si="44">I130*D130</f>
        <v>48422</v>
      </c>
      <c r="K130" s="76"/>
    </row>
    <row r="131" spans="2:11" ht="13.8" x14ac:dyDescent="0.25">
      <c r="B131" s="4"/>
      <c r="C131" s="68" t="s">
        <v>112</v>
      </c>
      <c r="D131" s="77">
        <v>1</v>
      </c>
      <c r="E131" s="69" t="s">
        <v>15</v>
      </c>
      <c r="F131" s="73">
        <f>CEILING(I131/(1-H131),10)</f>
        <v>987540</v>
      </c>
      <c r="G131" s="74">
        <f t="shared" si="43"/>
        <v>987540</v>
      </c>
      <c r="H131" s="91">
        <f>$M$10</f>
        <v>0.25</v>
      </c>
      <c r="I131" s="210">
        <f>'13'!$J$15</f>
        <v>740652</v>
      </c>
      <c r="J131" s="75">
        <f t="shared" si="44"/>
        <v>740652</v>
      </c>
      <c r="K131" s="70"/>
    </row>
    <row r="132" spans="2:11" ht="13.8" x14ac:dyDescent="0.25">
      <c r="B132" s="4"/>
      <c r="C132" s="179" t="s">
        <v>116</v>
      </c>
      <c r="D132" s="77">
        <v>1</v>
      </c>
      <c r="E132" s="180" t="s">
        <v>15</v>
      </c>
      <c r="F132" s="181">
        <f t="shared" ref="F132:F133" si="45">CEILING(I132/(1-H132),1)</f>
        <v>0</v>
      </c>
      <c r="G132" s="182">
        <f t="shared" si="43"/>
        <v>0</v>
      </c>
      <c r="H132" s="183">
        <f>$M$12</f>
        <v>0.18</v>
      </c>
      <c r="I132" s="211">
        <f>'13'!$J$22</f>
        <v>0</v>
      </c>
      <c r="J132" s="184">
        <f t="shared" si="44"/>
        <v>0</v>
      </c>
      <c r="K132" s="185"/>
    </row>
    <row r="133" spans="2:11" ht="13.8" x14ac:dyDescent="0.25">
      <c r="B133" s="4"/>
      <c r="C133" s="78" t="s">
        <v>136</v>
      </c>
      <c r="D133" s="77">
        <v>1</v>
      </c>
      <c r="E133" s="79" t="s">
        <v>15</v>
      </c>
      <c r="F133" s="151">
        <f t="shared" si="45"/>
        <v>161327</v>
      </c>
      <c r="G133" s="152">
        <f t="shared" si="43"/>
        <v>161327</v>
      </c>
      <c r="H133" s="92">
        <f>$M$11</f>
        <v>0.18</v>
      </c>
      <c r="I133" s="212">
        <f>'13'!$J$29</f>
        <v>132288</v>
      </c>
      <c r="J133" s="150">
        <f t="shared" si="44"/>
        <v>132288</v>
      </c>
      <c r="K133" s="80"/>
    </row>
    <row r="134" spans="2:11" ht="13.8" x14ac:dyDescent="0.25">
      <c r="B134" s="4"/>
      <c r="C134" s="172" t="s">
        <v>121</v>
      </c>
      <c r="D134" s="77">
        <v>1</v>
      </c>
      <c r="E134" s="173" t="s">
        <v>15</v>
      </c>
      <c r="F134" s="174">
        <f>CEILING(I134/(1-H134),10)</f>
        <v>12270</v>
      </c>
      <c r="G134" s="175">
        <f t="shared" si="43"/>
        <v>12270</v>
      </c>
      <c r="H134" s="176">
        <f>$M$12</f>
        <v>0.18</v>
      </c>
      <c r="I134" s="213">
        <f>'13'!$J$36</f>
        <v>10055</v>
      </c>
      <c r="J134" s="177">
        <f t="shared" si="44"/>
        <v>10055</v>
      </c>
      <c r="K134" s="178"/>
    </row>
    <row r="135" spans="2:11" ht="13.8" x14ac:dyDescent="0.25">
      <c r="B135" s="62"/>
      <c r="C135" s="81" t="s">
        <v>123</v>
      </c>
      <c r="D135" s="82">
        <v>1</v>
      </c>
      <c r="E135" s="83" t="s">
        <v>15</v>
      </c>
      <c r="F135" s="73">
        <f>CEILING(I135/(1-H135),10)</f>
        <v>7680</v>
      </c>
      <c r="G135" s="74">
        <f>F135*D135</f>
        <v>7680</v>
      </c>
      <c r="H135" s="110">
        <f>$M$10</f>
        <v>0.25</v>
      </c>
      <c r="I135" s="214">
        <f>'13'!$J$43</f>
        <v>5760</v>
      </c>
      <c r="J135" s="75">
        <f>I135*D135</f>
        <v>5760</v>
      </c>
      <c r="K135" s="84"/>
    </row>
    <row r="136" spans="2:11" ht="14.4" thickBot="1" x14ac:dyDescent="0.3">
      <c r="B136" s="62"/>
      <c r="C136" s="165" t="s">
        <v>120</v>
      </c>
      <c r="D136" s="85">
        <v>1</v>
      </c>
      <c r="E136" s="166" t="s">
        <v>15</v>
      </c>
      <c r="F136" s="167">
        <f>CEILING(I136/(1-H136),10)</f>
        <v>0</v>
      </c>
      <c r="G136" s="168">
        <f>F136*D136</f>
        <v>0</v>
      </c>
      <c r="H136" s="169">
        <f>$M$13</f>
        <v>0.18</v>
      </c>
      <c r="I136" s="215">
        <f>'13'!$J$50</f>
        <v>0</v>
      </c>
      <c r="J136" s="170">
        <f>I136*D136</f>
        <v>0</v>
      </c>
      <c r="K136" s="171"/>
    </row>
    <row r="137" spans="2:11" ht="14.4" hidden="1" thickBot="1" x14ac:dyDescent="0.3">
      <c r="B137" s="44"/>
      <c r="C137" s="98"/>
      <c r="D137" s="94"/>
      <c r="E137" s="95"/>
      <c r="F137" s="99"/>
      <c r="G137" s="100"/>
      <c r="H137" s="101"/>
      <c r="I137" s="102"/>
      <c r="J137" s="103"/>
      <c r="K137" s="104"/>
    </row>
    <row r="138" spans="2:11" ht="14.4" thickBot="1" x14ac:dyDescent="0.3">
      <c r="B138" s="12">
        <v>14</v>
      </c>
      <c r="C138" s="197" t="str">
        <f>'Bid Summary'!F17</f>
        <v>Connection to Turnout 14D (14-inch PVC at STA 17+67.77)</v>
      </c>
      <c r="D138" s="118" t="s">
        <v>92</v>
      </c>
      <c r="E138" s="118" t="s">
        <v>9</v>
      </c>
      <c r="F138" s="118" t="s">
        <v>93</v>
      </c>
      <c r="G138" s="119">
        <f>SUM(G139:G146)</f>
        <v>15900</v>
      </c>
      <c r="H138" s="120"/>
      <c r="I138" s="121"/>
      <c r="J138" s="148">
        <f>SUM(J139:J146)</f>
        <v>12599.1</v>
      </c>
      <c r="K138" s="122"/>
    </row>
    <row r="139" spans="2:11" ht="13.8" x14ac:dyDescent="0.25">
      <c r="B139" s="4"/>
      <c r="C139" s="71" t="s">
        <v>109</v>
      </c>
      <c r="D139" s="77">
        <v>1</v>
      </c>
      <c r="E139" s="72" t="s">
        <v>15</v>
      </c>
      <c r="F139" s="73">
        <f t="shared" ref="F139:F145" si="46">CEILING(I139/(1-H139),100)</f>
        <v>10800</v>
      </c>
      <c r="G139" s="74">
        <f t="shared" ref="G139:G143" si="47">F139*D139</f>
        <v>10800</v>
      </c>
      <c r="H139" s="90">
        <f>$M$9</f>
        <v>0.18</v>
      </c>
      <c r="I139" s="223">
        <f>'14'!$J$4</f>
        <v>8807.2000000000007</v>
      </c>
      <c r="J139" s="75">
        <f t="shared" ref="J139:J143" si="48">I139*D139</f>
        <v>8807.2000000000007</v>
      </c>
      <c r="K139" s="76"/>
    </row>
    <row r="140" spans="2:11" ht="13.8" x14ac:dyDescent="0.25">
      <c r="B140" s="4"/>
      <c r="C140" s="68" t="s">
        <v>112</v>
      </c>
      <c r="D140" s="77">
        <v>1</v>
      </c>
      <c r="E140" s="69" t="s">
        <v>15</v>
      </c>
      <c r="F140" s="271">
        <f t="shared" si="46"/>
        <v>1600</v>
      </c>
      <c r="G140" s="74">
        <f t="shared" si="47"/>
        <v>1600</v>
      </c>
      <c r="H140" s="91">
        <f>$M$10</f>
        <v>0.25</v>
      </c>
      <c r="I140" s="210">
        <f>'14'!$J$15</f>
        <v>1191</v>
      </c>
      <c r="J140" s="75">
        <f t="shared" si="48"/>
        <v>1191</v>
      </c>
      <c r="K140" s="70"/>
    </row>
    <row r="141" spans="2:11" ht="13.8" x14ac:dyDescent="0.25">
      <c r="B141" s="4"/>
      <c r="C141" s="179" t="s">
        <v>116</v>
      </c>
      <c r="D141" s="77">
        <v>1</v>
      </c>
      <c r="E141" s="180" t="s">
        <v>15</v>
      </c>
      <c r="F141" s="181">
        <f t="shared" si="46"/>
        <v>0</v>
      </c>
      <c r="G141" s="182">
        <f t="shared" si="47"/>
        <v>0</v>
      </c>
      <c r="H141" s="183">
        <f>$M$12</f>
        <v>0.18</v>
      </c>
      <c r="I141" s="211">
        <f>'14'!$J$22</f>
        <v>0</v>
      </c>
      <c r="J141" s="184">
        <f t="shared" si="48"/>
        <v>0</v>
      </c>
      <c r="K141" s="185"/>
    </row>
    <row r="142" spans="2:11" ht="13.8" x14ac:dyDescent="0.25">
      <c r="B142" s="4"/>
      <c r="C142" s="78" t="s">
        <v>136</v>
      </c>
      <c r="D142" s="77">
        <v>1</v>
      </c>
      <c r="E142" s="79" t="s">
        <v>15</v>
      </c>
      <c r="F142" s="151">
        <f t="shared" si="46"/>
        <v>0</v>
      </c>
      <c r="G142" s="152">
        <f t="shared" si="47"/>
        <v>0</v>
      </c>
      <c r="H142" s="92">
        <f>$M$11</f>
        <v>0.18</v>
      </c>
      <c r="I142" s="212">
        <f>'14'!$J$29</f>
        <v>0</v>
      </c>
      <c r="J142" s="150">
        <f t="shared" si="48"/>
        <v>0</v>
      </c>
      <c r="K142" s="80"/>
    </row>
    <row r="143" spans="2:11" ht="13.8" x14ac:dyDescent="0.25">
      <c r="B143" s="4"/>
      <c r="C143" s="172" t="s">
        <v>121</v>
      </c>
      <c r="D143" s="77">
        <v>1</v>
      </c>
      <c r="E143" s="173" t="s">
        <v>15</v>
      </c>
      <c r="F143" s="174">
        <f t="shared" si="46"/>
        <v>1500</v>
      </c>
      <c r="G143" s="175">
        <f t="shared" si="47"/>
        <v>1500</v>
      </c>
      <c r="H143" s="176">
        <f>$M$12</f>
        <v>0.18</v>
      </c>
      <c r="I143" s="213">
        <f>'14'!$J$36</f>
        <v>1160.9000000000001</v>
      </c>
      <c r="J143" s="177">
        <f t="shared" si="48"/>
        <v>1160.9000000000001</v>
      </c>
      <c r="K143" s="178"/>
    </row>
    <row r="144" spans="2:11" ht="13.8" x14ac:dyDescent="0.25">
      <c r="B144" s="62"/>
      <c r="C144" s="81" t="s">
        <v>123</v>
      </c>
      <c r="D144" s="82">
        <v>1</v>
      </c>
      <c r="E144" s="83" t="s">
        <v>15</v>
      </c>
      <c r="F144" s="73">
        <f t="shared" si="46"/>
        <v>2000</v>
      </c>
      <c r="G144" s="74">
        <f>F144*D144</f>
        <v>2000</v>
      </c>
      <c r="H144" s="110">
        <f>$M$10</f>
        <v>0.25</v>
      </c>
      <c r="I144" s="214">
        <f>'14'!$J$43</f>
        <v>1440</v>
      </c>
      <c r="J144" s="75">
        <f>I144*D144</f>
        <v>1440</v>
      </c>
      <c r="K144" s="84"/>
    </row>
    <row r="145" spans="2:11" ht="14.4" thickBot="1" x14ac:dyDescent="0.3">
      <c r="B145" s="62"/>
      <c r="C145" s="165" t="s">
        <v>120</v>
      </c>
      <c r="D145" s="85">
        <v>1</v>
      </c>
      <c r="E145" s="166" t="s">
        <v>15</v>
      </c>
      <c r="F145" s="167">
        <f t="shared" si="46"/>
        <v>0</v>
      </c>
      <c r="G145" s="168">
        <f>F145*D145</f>
        <v>0</v>
      </c>
      <c r="H145" s="169">
        <f>$M$13</f>
        <v>0.18</v>
      </c>
      <c r="I145" s="215">
        <f>'14'!$J$50</f>
        <v>0</v>
      </c>
      <c r="J145" s="170">
        <f>I145*D145</f>
        <v>0</v>
      </c>
      <c r="K145" s="171"/>
    </row>
    <row r="146" spans="2:11" ht="14.4" hidden="1" thickBot="1" x14ac:dyDescent="0.3">
      <c r="B146" s="44"/>
      <c r="C146" s="98"/>
      <c r="D146" s="94"/>
      <c r="E146" s="95"/>
      <c r="F146" s="99"/>
      <c r="G146" s="100"/>
      <c r="H146" s="101"/>
      <c r="I146" s="102"/>
      <c r="J146" s="103"/>
      <c r="K146" s="104"/>
    </row>
    <row r="147" spans="2:11" ht="16.95" customHeight="1" thickBot="1" x14ac:dyDescent="0.3">
      <c r="B147" s="12">
        <v>15</v>
      </c>
      <c r="C147" s="197" t="str">
        <f>'Bid Summary'!F18</f>
        <v xml:space="preserve">Connection to Turnout 12D (10-inch Asbestos-Cement at STA 34+14.45) </v>
      </c>
      <c r="D147" s="118" t="s">
        <v>92</v>
      </c>
      <c r="E147" s="118" t="s">
        <v>9</v>
      </c>
      <c r="F147" s="118" t="s">
        <v>93</v>
      </c>
      <c r="G147" s="119">
        <f>SUM(G148:G155)</f>
        <v>13300</v>
      </c>
      <c r="H147" s="120"/>
      <c r="I147" s="121"/>
      <c r="J147" s="148">
        <f>SUM(J148:J155)</f>
        <v>10469.219999999999</v>
      </c>
      <c r="K147" s="122"/>
    </row>
    <row r="148" spans="2:11" ht="13.8" x14ac:dyDescent="0.25">
      <c r="B148" s="4"/>
      <c r="C148" s="71" t="s">
        <v>109</v>
      </c>
      <c r="D148" s="77">
        <v>1</v>
      </c>
      <c r="E148" s="72" t="s">
        <v>15</v>
      </c>
      <c r="F148" s="73">
        <f t="shared" ref="F148:F154" si="49">CEILING(I148/(1-H148),100)</f>
        <v>8400</v>
      </c>
      <c r="G148" s="74">
        <f t="shared" ref="G148:G152" si="50">F148*D148</f>
        <v>8400</v>
      </c>
      <c r="H148" s="90">
        <f>$M$9</f>
        <v>0.18</v>
      </c>
      <c r="I148" s="223">
        <f>'15'!$J$4</f>
        <v>6878.32</v>
      </c>
      <c r="J148" s="75">
        <f t="shared" ref="J148:J152" si="51">I148*D148</f>
        <v>6878.32</v>
      </c>
      <c r="K148" s="76"/>
    </row>
    <row r="149" spans="2:11" ht="13.8" x14ac:dyDescent="0.25">
      <c r="B149" s="4"/>
      <c r="C149" s="68" t="s">
        <v>112</v>
      </c>
      <c r="D149" s="77">
        <v>1</v>
      </c>
      <c r="E149" s="69" t="s">
        <v>15</v>
      </c>
      <c r="F149" s="271">
        <f t="shared" si="49"/>
        <v>1400</v>
      </c>
      <c r="G149" s="74">
        <f t="shared" si="50"/>
        <v>1400</v>
      </c>
      <c r="H149" s="91">
        <f>$M$10</f>
        <v>0.25</v>
      </c>
      <c r="I149" s="210">
        <f>'15'!$J$15</f>
        <v>990</v>
      </c>
      <c r="J149" s="75">
        <f t="shared" si="51"/>
        <v>990</v>
      </c>
      <c r="K149" s="70"/>
    </row>
    <row r="150" spans="2:11" ht="13.8" x14ac:dyDescent="0.25">
      <c r="B150" s="4"/>
      <c r="C150" s="179" t="s">
        <v>116</v>
      </c>
      <c r="D150" s="77">
        <v>1</v>
      </c>
      <c r="E150" s="180" t="s">
        <v>15</v>
      </c>
      <c r="F150" s="181">
        <f t="shared" si="49"/>
        <v>0</v>
      </c>
      <c r="G150" s="182">
        <f t="shared" si="50"/>
        <v>0</v>
      </c>
      <c r="H150" s="183">
        <f>$M$12</f>
        <v>0.18</v>
      </c>
      <c r="I150" s="211">
        <f>'15'!$J$22</f>
        <v>0</v>
      </c>
      <c r="J150" s="184">
        <f t="shared" si="51"/>
        <v>0</v>
      </c>
      <c r="K150" s="185"/>
    </row>
    <row r="151" spans="2:11" ht="13.8" x14ac:dyDescent="0.25">
      <c r="B151" s="4"/>
      <c r="C151" s="78" t="s">
        <v>136</v>
      </c>
      <c r="D151" s="77">
        <v>1</v>
      </c>
      <c r="E151" s="79" t="s">
        <v>15</v>
      </c>
      <c r="F151" s="151">
        <f t="shared" si="49"/>
        <v>0</v>
      </c>
      <c r="G151" s="152">
        <f t="shared" si="50"/>
        <v>0</v>
      </c>
      <c r="H151" s="92">
        <f>$M$11</f>
        <v>0.18</v>
      </c>
      <c r="I151" s="212">
        <f>'15'!$J$29</f>
        <v>0</v>
      </c>
      <c r="J151" s="150">
        <f t="shared" si="51"/>
        <v>0</v>
      </c>
      <c r="K151" s="80"/>
    </row>
    <row r="152" spans="2:11" ht="13.8" x14ac:dyDescent="0.25">
      <c r="B152" s="4"/>
      <c r="C152" s="172" t="s">
        <v>121</v>
      </c>
      <c r="D152" s="77">
        <v>1</v>
      </c>
      <c r="E152" s="173" t="s">
        <v>15</v>
      </c>
      <c r="F152" s="174">
        <f t="shared" si="49"/>
        <v>1500</v>
      </c>
      <c r="G152" s="175">
        <f t="shared" si="50"/>
        <v>1500</v>
      </c>
      <c r="H152" s="176">
        <f>$M$12</f>
        <v>0.18</v>
      </c>
      <c r="I152" s="213">
        <f>'15'!$J$36</f>
        <v>1160.9000000000001</v>
      </c>
      <c r="J152" s="177">
        <f t="shared" si="51"/>
        <v>1160.9000000000001</v>
      </c>
      <c r="K152" s="178"/>
    </row>
    <row r="153" spans="2:11" ht="13.8" x14ac:dyDescent="0.25">
      <c r="B153" s="62"/>
      <c r="C153" s="81" t="s">
        <v>123</v>
      </c>
      <c r="D153" s="82">
        <v>1</v>
      </c>
      <c r="E153" s="83" t="s">
        <v>15</v>
      </c>
      <c r="F153" s="73">
        <f t="shared" si="49"/>
        <v>2000</v>
      </c>
      <c r="G153" s="74">
        <f>F153*D153</f>
        <v>2000</v>
      </c>
      <c r="H153" s="110">
        <f>$M$10</f>
        <v>0.25</v>
      </c>
      <c r="I153" s="214">
        <f>'15'!$J$43</f>
        <v>1440</v>
      </c>
      <c r="J153" s="75">
        <f>I153*D153</f>
        <v>1440</v>
      </c>
      <c r="K153" s="84"/>
    </row>
    <row r="154" spans="2:11" ht="14.4" thickBot="1" x14ac:dyDescent="0.3">
      <c r="B154" s="62"/>
      <c r="C154" s="165" t="s">
        <v>120</v>
      </c>
      <c r="D154" s="85">
        <v>1</v>
      </c>
      <c r="E154" s="166" t="s">
        <v>15</v>
      </c>
      <c r="F154" s="167">
        <f t="shared" si="49"/>
        <v>0</v>
      </c>
      <c r="G154" s="168">
        <f>F154*D154</f>
        <v>0</v>
      </c>
      <c r="H154" s="169">
        <f>$M$13</f>
        <v>0.18</v>
      </c>
      <c r="I154" s="215">
        <f>'15'!$J$50</f>
        <v>0</v>
      </c>
      <c r="J154" s="170">
        <f>I154*D154</f>
        <v>0</v>
      </c>
      <c r="K154" s="171"/>
    </row>
    <row r="155" spans="2:11" ht="14.4" hidden="1" thickBot="1" x14ac:dyDescent="0.3">
      <c r="B155" s="44"/>
      <c r="C155" s="98"/>
      <c r="D155" s="94"/>
      <c r="E155" s="95"/>
      <c r="F155" s="99"/>
      <c r="G155" s="100"/>
      <c r="H155" s="101"/>
      <c r="I155" s="102"/>
      <c r="J155" s="103"/>
      <c r="K155" s="104"/>
    </row>
    <row r="156" spans="2:11" ht="14.4" thickBot="1" x14ac:dyDescent="0.3">
      <c r="B156" s="12">
        <v>16</v>
      </c>
      <c r="C156" s="197" t="str">
        <f>'Bid Summary'!F19</f>
        <v>Connection to Turnout 28D (10-inch PVC at STA 24+42.80)</v>
      </c>
      <c r="D156" s="118" t="s">
        <v>92</v>
      </c>
      <c r="E156" s="118" t="s">
        <v>9</v>
      </c>
      <c r="F156" s="118" t="s">
        <v>93</v>
      </c>
      <c r="G156" s="119">
        <f>SUM(G157:G164)</f>
        <v>25800</v>
      </c>
      <c r="H156" s="120"/>
      <c r="I156" s="121"/>
      <c r="J156" s="148">
        <f>SUM(J157:J164)</f>
        <v>19767.7</v>
      </c>
      <c r="K156" s="122"/>
    </row>
    <row r="157" spans="2:11" ht="13.8" x14ac:dyDescent="0.25">
      <c r="B157" s="4"/>
      <c r="C157" s="71" t="s">
        <v>109</v>
      </c>
      <c r="D157" s="77">
        <v>1</v>
      </c>
      <c r="E157" s="72" t="s">
        <v>15</v>
      </c>
      <c r="F157" s="73">
        <f t="shared" ref="F157:F163" si="52">CEILING(I157/(1-H157),100)</f>
        <v>7600</v>
      </c>
      <c r="G157" s="74">
        <f t="shared" ref="G157:G161" si="53">F157*D157</f>
        <v>7600</v>
      </c>
      <c r="H157" s="90">
        <f>$M$9</f>
        <v>0.18</v>
      </c>
      <c r="I157" s="223">
        <f>'16'!$J$4</f>
        <v>6176.8</v>
      </c>
      <c r="J157" s="75">
        <f t="shared" ref="J157:J161" si="54">I157*D157</f>
        <v>6176.8</v>
      </c>
      <c r="K157" s="76"/>
    </row>
    <row r="158" spans="2:11" ht="13.8" x14ac:dyDescent="0.25">
      <c r="B158" s="4"/>
      <c r="C158" s="68" t="s">
        <v>112</v>
      </c>
      <c r="D158" s="77">
        <v>1</v>
      </c>
      <c r="E158" s="69" t="s">
        <v>15</v>
      </c>
      <c r="F158" s="271">
        <f t="shared" si="52"/>
        <v>14700</v>
      </c>
      <c r="G158" s="74">
        <f t="shared" si="53"/>
        <v>14700</v>
      </c>
      <c r="H158" s="91">
        <f>$M$10</f>
        <v>0.25</v>
      </c>
      <c r="I158" s="210">
        <f>'16'!$J$15</f>
        <v>10990</v>
      </c>
      <c r="J158" s="75">
        <f t="shared" si="54"/>
        <v>10990</v>
      </c>
      <c r="K158" s="70"/>
    </row>
    <row r="159" spans="2:11" ht="13.8" x14ac:dyDescent="0.25">
      <c r="B159" s="4"/>
      <c r="C159" s="179" t="s">
        <v>116</v>
      </c>
      <c r="D159" s="77">
        <v>1</v>
      </c>
      <c r="E159" s="180" t="s">
        <v>15</v>
      </c>
      <c r="F159" s="181">
        <f t="shared" si="52"/>
        <v>0</v>
      </c>
      <c r="G159" s="182">
        <f t="shared" si="53"/>
        <v>0</v>
      </c>
      <c r="H159" s="183">
        <f>$M$12</f>
        <v>0.18</v>
      </c>
      <c r="I159" s="211">
        <f>'16'!$J$22</f>
        <v>0</v>
      </c>
      <c r="J159" s="184">
        <f t="shared" si="54"/>
        <v>0</v>
      </c>
      <c r="K159" s="185"/>
    </row>
    <row r="160" spans="2:11" ht="13.8" x14ac:dyDescent="0.25">
      <c r="B160" s="4"/>
      <c r="C160" s="78" t="s">
        <v>136</v>
      </c>
      <c r="D160" s="77">
        <v>1</v>
      </c>
      <c r="E160" s="79" t="s">
        <v>15</v>
      </c>
      <c r="F160" s="151">
        <f t="shared" si="52"/>
        <v>0</v>
      </c>
      <c r="G160" s="152">
        <f t="shared" si="53"/>
        <v>0</v>
      </c>
      <c r="H160" s="92">
        <f>$M$11</f>
        <v>0.18</v>
      </c>
      <c r="I160" s="212">
        <f>'16'!$J$29</f>
        <v>0</v>
      </c>
      <c r="J160" s="150">
        <f t="shared" si="54"/>
        <v>0</v>
      </c>
      <c r="K160" s="80"/>
    </row>
    <row r="161" spans="2:11" ht="13.8" x14ac:dyDescent="0.25">
      <c r="B161" s="4"/>
      <c r="C161" s="172" t="s">
        <v>121</v>
      </c>
      <c r="D161" s="77">
        <v>1</v>
      </c>
      <c r="E161" s="173" t="s">
        <v>15</v>
      </c>
      <c r="F161" s="174">
        <f t="shared" si="52"/>
        <v>1500</v>
      </c>
      <c r="G161" s="175">
        <f t="shared" si="53"/>
        <v>1500</v>
      </c>
      <c r="H161" s="176">
        <f>$M$12</f>
        <v>0.18</v>
      </c>
      <c r="I161" s="213">
        <f>'16'!$J$36</f>
        <v>1160.9000000000001</v>
      </c>
      <c r="J161" s="177">
        <f t="shared" si="54"/>
        <v>1160.9000000000001</v>
      </c>
      <c r="K161" s="178"/>
    </row>
    <row r="162" spans="2:11" ht="13.8" x14ac:dyDescent="0.25">
      <c r="B162" s="62"/>
      <c r="C162" s="81" t="s">
        <v>123</v>
      </c>
      <c r="D162" s="82">
        <v>1</v>
      </c>
      <c r="E162" s="83" t="s">
        <v>15</v>
      </c>
      <c r="F162" s="73">
        <f t="shared" si="52"/>
        <v>2000</v>
      </c>
      <c r="G162" s="74">
        <f>F162*D162</f>
        <v>2000</v>
      </c>
      <c r="H162" s="110">
        <f>$M$10</f>
        <v>0.25</v>
      </c>
      <c r="I162" s="214">
        <f>'16'!$J$43</f>
        <v>1440</v>
      </c>
      <c r="J162" s="75">
        <f>I162*D162</f>
        <v>1440</v>
      </c>
      <c r="K162" s="84"/>
    </row>
    <row r="163" spans="2:11" ht="14.4" thickBot="1" x14ac:dyDescent="0.3">
      <c r="B163" s="62"/>
      <c r="C163" s="165" t="s">
        <v>120</v>
      </c>
      <c r="D163" s="85">
        <v>1</v>
      </c>
      <c r="E163" s="166" t="s">
        <v>15</v>
      </c>
      <c r="F163" s="167">
        <f t="shared" si="52"/>
        <v>0</v>
      </c>
      <c r="G163" s="168">
        <f>F163*D163</f>
        <v>0</v>
      </c>
      <c r="H163" s="169">
        <f>$M$13</f>
        <v>0.18</v>
      </c>
      <c r="I163" s="215">
        <f>'16'!$J$50</f>
        <v>0</v>
      </c>
      <c r="J163" s="170">
        <f>I163*D163</f>
        <v>0</v>
      </c>
      <c r="K163" s="171"/>
    </row>
    <row r="164" spans="2:11" ht="14.4" hidden="1" thickBot="1" x14ac:dyDescent="0.3">
      <c r="B164" s="44"/>
      <c r="C164" s="98"/>
      <c r="D164" s="94"/>
      <c r="E164" s="95"/>
      <c r="F164" s="99"/>
      <c r="G164" s="100"/>
      <c r="H164" s="101"/>
      <c r="I164" s="102"/>
      <c r="J164" s="103"/>
      <c r="K164" s="104"/>
    </row>
    <row r="165" spans="2:11" ht="14.4" thickBot="1" x14ac:dyDescent="0.3">
      <c r="B165" s="12">
        <v>17</v>
      </c>
      <c r="C165" s="197" t="str">
        <f>'Bid Summary'!F20</f>
        <v>10-inch Buried Service Butterfly Valve Assembly</v>
      </c>
      <c r="D165" s="118" t="s">
        <v>92</v>
      </c>
      <c r="E165" s="118" t="s">
        <v>9</v>
      </c>
      <c r="F165" s="118" t="s">
        <v>93</v>
      </c>
      <c r="G165" s="119">
        <f>SUM(G166:G173)</f>
        <v>61400</v>
      </c>
      <c r="H165" s="120"/>
      <c r="I165" s="121"/>
      <c r="J165" s="148">
        <f>SUM(J166:J173)</f>
        <v>47152.53</v>
      </c>
      <c r="K165" s="122"/>
    </row>
    <row r="166" spans="2:11" ht="13.8" x14ac:dyDescent="0.25">
      <c r="B166" s="4"/>
      <c r="C166" s="71" t="s">
        <v>109</v>
      </c>
      <c r="D166" s="77">
        <v>1</v>
      </c>
      <c r="E166" s="72" t="s">
        <v>15</v>
      </c>
      <c r="F166" s="73">
        <f t="shared" ref="F166:F172" si="55">CEILING(I166/(1-H166),100)</f>
        <v>15900</v>
      </c>
      <c r="G166" s="74">
        <f t="shared" ref="G166:G170" si="56">F166*D166</f>
        <v>15900</v>
      </c>
      <c r="H166" s="90">
        <f>$M$9</f>
        <v>0.18</v>
      </c>
      <c r="I166" s="223">
        <f>'17'!$J$4</f>
        <v>12967.28</v>
      </c>
      <c r="J166" s="75">
        <f t="shared" ref="J166:J170" si="57">I166*D166</f>
        <v>12967.28</v>
      </c>
      <c r="K166" s="76"/>
    </row>
    <row r="167" spans="2:11" ht="13.8" x14ac:dyDescent="0.25">
      <c r="B167" s="4"/>
      <c r="C167" s="68" t="s">
        <v>112</v>
      </c>
      <c r="D167" s="77">
        <v>1</v>
      </c>
      <c r="E167" s="69" t="s">
        <v>15</v>
      </c>
      <c r="F167" s="271">
        <f t="shared" si="55"/>
        <v>40200</v>
      </c>
      <c r="G167" s="74">
        <f t="shared" si="56"/>
        <v>40200</v>
      </c>
      <c r="H167" s="91">
        <f>$M$10</f>
        <v>0.25</v>
      </c>
      <c r="I167" s="210">
        <f>'17'!$J$15</f>
        <v>30128</v>
      </c>
      <c r="J167" s="75">
        <f t="shared" si="57"/>
        <v>30128</v>
      </c>
      <c r="K167" s="70"/>
    </row>
    <row r="168" spans="2:11" ht="13.8" x14ac:dyDescent="0.25">
      <c r="B168" s="4"/>
      <c r="C168" s="179" t="s">
        <v>116</v>
      </c>
      <c r="D168" s="77">
        <v>1</v>
      </c>
      <c r="E168" s="180" t="s">
        <v>15</v>
      </c>
      <c r="F168" s="181">
        <f t="shared" si="55"/>
        <v>2400</v>
      </c>
      <c r="G168" s="182">
        <f t="shared" si="56"/>
        <v>2400</v>
      </c>
      <c r="H168" s="183">
        <f>$M$12</f>
        <v>0.18</v>
      </c>
      <c r="I168" s="211">
        <f>'17'!$J$22</f>
        <v>1920</v>
      </c>
      <c r="J168" s="184">
        <f t="shared" si="57"/>
        <v>1920</v>
      </c>
      <c r="K168" s="185"/>
    </row>
    <row r="169" spans="2:11" ht="13.8" x14ac:dyDescent="0.25">
      <c r="B169" s="4"/>
      <c r="C169" s="78" t="s">
        <v>136</v>
      </c>
      <c r="D169" s="77">
        <v>1</v>
      </c>
      <c r="E169" s="79" t="s">
        <v>15</v>
      </c>
      <c r="F169" s="151">
        <f t="shared" si="55"/>
        <v>0</v>
      </c>
      <c r="G169" s="152">
        <f t="shared" si="56"/>
        <v>0</v>
      </c>
      <c r="H169" s="92">
        <f>$M$11</f>
        <v>0.18</v>
      </c>
      <c r="I169" s="212">
        <f>'17'!$J$29</f>
        <v>0</v>
      </c>
      <c r="J169" s="150">
        <f t="shared" si="57"/>
        <v>0</v>
      </c>
      <c r="K169" s="80"/>
    </row>
    <row r="170" spans="2:11" ht="13.8" x14ac:dyDescent="0.25">
      <c r="B170" s="4"/>
      <c r="C170" s="172" t="s">
        <v>121</v>
      </c>
      <c r="D170" s="77">
        <v>1</v>
      </c>
      <c r="E170" s="173" t="s">
        <v>15</v>
      </c>
      <c r="F170" s="174">
        <f t="shared" si="55"/>
        <v>300</v>
      </c>
      <c r="G170" s="175">
        <f t="shared" si="56"/>
        <v>300</v>
      </c>
      <c r="H170" s="176">
        <f>$M$12</f>
        <v>0.18</v>
      </c>
      <c r="I170" s="213">
        <f>'17'!$J$36</f>
        <v>217.25</v>
      </c>
      <c r="J170" s="177">
        <f t="shared" si="57"/>
        <v>217.25</v>
      </c>
      <c r="K170" s="178"/>
    </row>
    <row r="171" spans="2:11" ht="13.8" x14ac:dyDescent="0.25">
      <c r="B171" s="62"/>
      <c r="C171" s="81" t="s">
        <v>123</v>
      </c>
      <c r="D171" s="82">
        <v>1</v>
      </c>
      <c r="E171" s="83" t="s">
        <v>15</v>
      </c>
      <c r="F171" s="73">
        <f t="shared" si="55"/>
        <v>2600</v>
      </c>
      <c r="G171" s="74">
        <f>F171*D171</f>
        <v>2600</v>
      </c>
      <c r="H171" s="110">
        <f>$M$10</f>
        <v>0.25</v>
      </c>
      <c r="I171" s="214">
        <f>'17'!$J$43</f>
        <v>1920</v>
      </c>
      <c r="J171" s="75">
        <f>I171*D171</f>
        <v>1920</v>
      </c>
      <c r="K171" s="84"/>
    </row>
    <row r="172" spans="2:11" ht="14.4" thickBot="1" x14ac:dyDescent="0.3">
      <c r="B172" s="62"/>
      <c r="C172" s="165" t="s">
        <v>120</v>
      </c>
      <c r="D172" s="85">
        <v>1</v>
      </c>
      <c r="E172" s="166" t="s">
        <v>15</v>
      </c>
      <c r="F172" s="167">
        <f t="shared" si="55"/>
        <v>0</v>
      </c>
      <c r="G172" s="168">
        <f>F172*D172</f>
        <v>0</v>
      </c>
      <c r="H172" s="169">
        <f>$M$13</f>
        <v>0.18</v>
      </c>
      <c r="I172" s="215">
        <f>'17'!$J$50</f>
        <v>0</v>
      </c>
      <c r="J172" s="170">
        <f>I172*D172</f>
        <v>0</v>
      </c>
      <c r="K172" s="171"/>
    </row>
    <row r="173" spans="2:11" ht="14.4" hidden="1" thickBot="1" x14ac:dyDescent="0.3">
      <c r="B173" s="44"/>
      <c r="C173" s="98"/>
      <c r="D173" s="94"/>
      <c r="E173" s="95"/>
      <c r="F173" s="99"/>
      <c r="G173" s="100"/>
      <c r="H173" s="101"/>
      <c r="I173" s="102"/>
      <c r="J173" s="103"/>
      <c r="K173" s="104"/>
    </row>
    <row r="174" spans="2:11" ht="14.4" thickBot="1" x14ac:dyDescent="0.3">
      <c r="B174" s="12">
        <v>18</v>
      </c>
      <c r="C174" s="197" t="str">
        <f>'Bid Summary'!F21</f>
        <v>12-inch Buried Service Butterfly Valve Assembly</v>
      </c>
      <c r="D174" s="118" t="s">
        <v>92</v>
      </c>
      <c r="E174" s="118" t="s">
        <v>9</v>
      </c>
      <c r="F174" s="118" t="s">
        <v>93</v>
      </c>
      <c r="G174" s="119">
        <f>SUM(G175:G182)</f>
        <v>27100</v>
      </c>
      <c r="H174" s="120"/>
      <c r="I174" s="121"/>
      <c r="J174" s="148">
        <f>SUM(J175:J182)</f>
        <v>20904.73</v>
      </c>
      <c r="K174" s="122"/>
    </row>
    <row r="175" spans="2:11" ht="13.8" x14ac:dyDescent="0.25">
      <c r="B175" s="4"/>
      <c r="C175" s="71" t="s">
        <v>109</v>
      </c>
      <c r="D175" s="77">
        <v>1</v>
      </c>
      <c r="E175" s="72" t="s">
        <v>15</v>
      </c>
      <c r="F175" s="73">
        <f t="shared" ref="F175:F181" si="58">CEILING(I175/(1-H175),100)</f>
        <v>8300</v>
      </c>
      <c r="G175" s="74">
        <f t="shared" ref="G175:G179" si="59">F175*D175</f>
        <v>8300</v>
      </c>
      <c r="H175" s="90">
        <f>$M$9</f>
        <v>0.18</v>
      </c>
      <c r="I175" s="223">
        <f>'18'!$J$4</f>
        <v>6790.4800000000005</v>
      </c>
      <c r="J175" s="75">
        <f t="shared" ref="J175:J179" si="60">I175*D175</f>
        <v>6790.4800000000005</v>
      </c>
      <c r="K175" s="76"/>
    </row>
    <row r="176" spans="2:11" ht="13.8" x14ac:dyDescent="0.25">
      <c r="B176" s="4"/>
      <c r="C176" s="68" t="s">
        <v>112</v>
      </c>
      <c r="D176" s="77">
        <v>1</v>
      </c>
      <c r="E176" s="69" t="s">
        <v>15</v>
      </c>
      <c r="F176" s="271">
        <f t="shared" si="58"/>
        <v>16000</v>
      </c>
      <c r="G176" s="74">
        <f t="shared" si="59"/>
        <v>16000</v>
      </c>
      <c r="H176" s="91">
        <f>$M$10</f>
        <v>0.25</v>
      </c>
      <c r="I176" s="210">
        <f>'18'!$J$15</f>
        <v>11977</v>
      </c>
      <c r="J176" s="75">
        <f t="shared" si="60"/>
        <v>11977</v>
      </c>
      <c r="K176" s="70"/>
    </row>
    <row r="177" spans="2:11" ht="13.8" x14ac:dyDescent="0.25">
      <c r="B177" s="4"/>
      <c r="C177" s="179" t="s">
        <v>116</v>
      </c>
      <c r="D177" s="77">
        <v>1</v>
      </c>
      <c r="E177" s="180" t="s">
        <v>15</v>
      </c>
      <c r="F177" s="181">
        <f t="shared" si="58"/>
        <v>1200</v>
      </c>
      <c r="G177" s="182">
        <f t="shared" si="59"/>
        <v>1200</v>
      </c>
      <c r="H177" s="183">
        <f>$M$12</f>
        <v>0.18</v>
      </c>
      <c r="I177" s="211">
        <f>'18'!$J$22</f>
        <v>960</v>
      </c>
      <c r="J177" s="184">
        <f t="shared" si="60"/>
        <v>960</v>
      </c>
      <c r="K177" s="185"/>
    </row>
    <row r="178" spans="2:11" ht="13.8" x14ac:dyDescent="0.25">
      <c r="B178" s="4"/>
      <c r="C178" s="78" t="s">
        <v>136</v>
      </c>
      <c r="D178" s="77">
        <v>1</v>
      </c>
      <c r="E178" s="79" t="s">
        <v>15</v>
      </c>
      <c r="F178" s="151">
        <f t="shared" si="58"/>
        <v>0</v>
      </c>
      <c r="G178" s="152">
        <f t="shared" si="59"/>
        <v>0</v>
      </c>
      <c r="H178" s="92">
        <f>$M$11</f>
        <v>0.18</v>
      </c>
      <c r="I178" s="212">
        <f>'18'!$J$29</f>
        <v>0</v>
      </c>
      <c r="J178" s="150">
        <f t="shared" si="60"/>
        <v>0</v>
      </c>
      <c r="K178" s="80"/>
    </row>
    <row r="179" spans="2:11" ht="13.8" x14ac:dyDescent="0.25">
      <c r="B179" s="4"/>
      <c r="C179" s="172" t="s">
        <v>121</v>
      </c>
      <c r="D179" s="77">
        <v>1</v>
      </c>
      <c r="E179" s="173" t="s">
        <v>15</v>
      </c>
      <c r="F179" s="174">
        <f t="shared" si="58"/>
        <v>300</v>
      </c>
      <c r="G179" s="175">
        <f t="shared" si="59"/>
        <v>300</v>
      </c>
      <c r="H179" s="176">
        <f>$M$12</f>
        <v>0.18</v>
      </c>
      <c r="I179" s="213">
        <f>'18'!$J$36</f>
        <v>217.25</v>
      </c>
      <c r="J179" s="177">
        <f t="shared" si="60"/>
        <v>217.25</v>
      </c>
      <c r="K179" s="178"/>
    </row>
    <row r="180" spans="2:11" ht="13.8" x14ac:dyDescent="0.25">
      <c r="B180" s="62"/>
      <c r="C180" s="81" t="s">
        <v>123</v>
      </c>
      <c r="D180" s="82">
        <v>1</v>
      </c>
      <c r="E180" s="83" t="s">
        <v>15</v>
      </c>
      <c r="F180" s="73">
        <f t="shared" si="58"/>
        <v>1300</v>
      </c>
      <c r="G180" s="74">
        <f>F180*D180</f>
        <v>1300</v>
      </c>
      <c r="H180" s="110">
        <f>$M$10</f>
        <v>0.25</v>
      </c>
      <c r="I180" s="214">
        <f>'18'!$J$43</f>
        <v>960</v>
      </c>
      <c r="J180" s="75">
        <f>I180*D180</f>
        <v>960</v>
      </c>
      <c r="K180" s="84"/>
    </row>
    <row r="181" spans="2:11" ht="14.4" thickBot="1" x14ac:dyDescent="0.3">
      <c r="B181" s="62"/>
      <c r="C181" s="165" t="s">
        <v>120</v>
      </c>
      <c r="D181" s="85">
        <v>1</v>
      </c>
      <c r="E181" s="166" t="s">
        <v>15</v>
      </c>
      <c r="F181" s="167">
        <f t="shared" si="58"/>
        <v>0</v>
      </c>
      <c r="G181" s="168">
        <f>F181*D181</f>
        <v>0</v>
      </c>
      <c r="H181" s="169">
        <f>$M$13</f>
        <v>0.18</v>
      </c>
      <c r="I181" s="215">
        <f>'18'!$J$50</f>
        <v>0</v>
      </c>
      <c r="J181" s="170">
        <f>I181*D181</f>
        <v>0</v>
      </c>
      <c r="K181" s="171"/>
    </row>
    <row r="182" spans="2:11" ht="14.4" hidden="1" thickBot="1" x14ac:dyDescent="0.3">
      <c r="B182" s="105"/>
      <c r="C182" s="106"/>
      <c r="D182" s="94"/>
      <c r="E182" s="95"/>
      <c r="F182" s="107"/>
      <c r="G182" s="108"/>
      <c r="H182" s="101"/>
      <c r="I182" s="102"/>
      <c r="J182" s="109"/>
      <c r="K182" s="104"/>
    </row>
    <row r="183" spans="2:11" ht="18.600000000000001" customHeight="1" thickBot="1" x14ac:dyDescent="0.3">
      <c r="B183" s="12">
        <v>19</v>
      </c>
      <c r="C183" s="197" t="str">
        <f>'Bid Summary'!F22</f>
        <v>14-inch Buried Service Butterfly Valve Assembly</v>
      </c>
      <c r="D183" s="118" t="s">
        <v>92</v>
      </c>
      <c r="E183" s="118" t="s">
        <v>9</v>
      </c>
      <c r="F183" s="118" t="s">
        <v>93</v>
      </c>
      <c r="G183" s="119">
        <f>SUM(G184:G191)</f>
        <v>24500</v>
      </c>
      <c r="H183" s="120"/>
      <c r="I183" s="121"/>
      <c r="J183" s="148">
        <f>SUM(J184:J191)</f>
        <v>18921.23</v>
      </c>
      <c r="K183" s="122"/>
    </row>
    <row r="184" spans="2:11" ht="13.8" x14ac:dyDescent="0.25">
      <c r="B184" s="4"/>
      <c r="C184" s="71" t="s">
        <v>109</v>
      </c>
      <c r="D184" s="77">
        <v>1</v>
      </c>
      <c r="E184" s="72" t="s">
        <v>15</v>
      </c>
      <c r="F184" s="73">
        <f t="shared" ref="F184:F190" si="61">CEILING(I184/(1-H184),100)</f>
        <v>8300</v>
      </c>
      <c r="G184" s="74">
        <f t="shared" ref="G184:G188" si="62">F184*D184</f>
        <v>8300</v>
      </c>
      <c r="H184" s="90">
        <f>$M$9</f>
        <v>0.18</v>
      </c>
      <c r="I184" s="223">
        <f>'19'!$J$4</f>
        <v>6790.4800000000005</v>
      </c>
      <c r="J184" s="75">
        <f t="shared" ref="J184:J188" si="63">I184*D184</f>
        <v>6790.4800000000005</v>
      </c>
      <c r="K184" s="76"/>
    </row>
    <row r="185" spans="2:11" ht="13.8" x14ac:dyDescent="0.25">
      <c r="B185" s="4"/>
      <c r="C185" s="68" t="s">
        <v>112</v>
      </c>
      <c r="D185" s="77">
        <v>1</v>
      </c>
      <c r="E185" s="69" t="s">
        <v>15</v>
      </c>
      <c r="F185" s="271">
        <f t="shared" si="61"/>
        <v>13400</v>
      </c>
      <c r="G185" s="74">
        <f t="shared" si="62"/>
        <v>13400</v>
      </c>
      <c r="H185" s="91">
        <f>$M$10</f>
        <v>0.25</v>
      </c>
      <c r="I185" s="210">
        <f>'19'!$J$15</f>
        <v>9993.5</v>
      </c>
      <c r="J185" s="75">
        <f t="shared" si="63"/>
        <v>9993.5</v>
      </c>
      <c r="K185" s="70"/>
    </row>
    <row r="186" spans="2:11" ht="13.8" x14ac:dyDescent="0.25">
      <c r="B186" s="4"/>
      <c r="C186" s="179" t="s">
        <v>116</v>
      </c>
      <c r="D186" s="77">
        <v>1</v>
      </c>
      <c r="E186" s="180" t="s">
        <v>15</v>
      </c>
      <c r="F186" s="181">
        <f t="shared" si="61"/>
        <v>1200</v>
      </c>
      <c r="G186" s="182">
        <f t="shared" si="62"/>
        <v>1200</v>
      </c>
      <c r="H186" s="183">
        <f>$M$12</f>
        <v>0.18</v>
      </c>
      <c r="I186" s="211">
        <f>'19'!$J$22</f>
        <v>960</v>
      </c>
      <c r="J186" s="184">
        <f t="shared" si="63"/>
        <v>960</v>
      </c>
      <c r="K186" s="185"/>
    </row>
    <row r="187" spans="2:11" ht="13.8" x14ac:dyDescent="0.25">
      <c r="B187" s="4"/>
      <c r="C187" s="78" t="s">
        <v>136</v>
      </c>
      <c r="D187" s="77">
        <v>1</v>
      </c>
      <c r="E187" s="79" t="s">
        <v>15</v>
      </c>
      <c r="F187" s="151">
        <f t="shared" si="61"/>
        <v>0</v>
      </c>
      <c r="G187" s="152">
        <f t="shared" si="62"/>
        <v>0</v>
      </c>
      <c r="H187" s="92">
        <f>$M$11</f>
        <v>0.18</v>
      </c>
      <c r="I187" s="212">
        <f>'19'!$J$29</f>
        <v>0</v>
      </c>
      <c r="J187" s="150">
        <f t="shared" si="63"/>
        <v>0</v>
      </c>
      <c r="K187" s="80"/>
    </row>
    <row r="188" spans="2:11" ht="13.8" x14ac:dyDescent="0.25">
      <c r="B188" s="4"/>
      <c r="C188" s="172" t="s">
        <v>121</v>
      </c>
      <c r="D188" s="77">
        <v>1</v>
      </c>
      <c r="E188" s="173" t="s">
        <v>15</v>
      </c>
      <c r="F188" s="174">
        <f t="shared" si="61"/>
        <v>300</v>
      </c>
      <c r="G188" s="175">
        <f t="shared" si="62"/>
        <v>300</v>
      </c>
      <c r="H188" s="176">
        <f>$M$12</f>
        <v>0.18</v>
      </c>
      <c r="I188" s="213">
        <f>'19'!$J$36</f>
        <v>217.25</v>
      </c>
      <c r="J188" s="177">
        <f t="shared" si="63"/>
        <v>217.25</v>
      </c>
      <c r="K188" s="178"/>
    </row>
    <row r="189" spans="2:11" ht="13.8" x14ac:dyDescent="0.25">
      <c r="B189" s="62"/>
      <c r="C189" s="81" t="s">
        <v>123</v>
      </c>
      <c r="D189" s="82">
        <v>1</v>
      </c>
      <c r="E189" s="83" t="s">
        <v>15</v>
      </c>
      <c r="F189" s="73">
        <f t="shared" si="61"/>
        <v>1300</v>
      </c>
      <c r="G189" s="74">
        <f>F189*D189</f>
        <v>1300</v>
      </c>
      <c r="H189" s="110">
        <f>$M$10</f>
        <v>0.25</v>
      </c>
      <c r="I189" s="214">
        <f>'19'!$J$43</f>
        <v>960</v>
      </c>
      <c r="J189" s="75">
        <f>I189*D189</f>
        <v>960</v>
      </c>
      <c r="K189" s="84"/>
    </row>
    <row r="190" spans="2:11" ht="14.4" thickBot="1" x14ac:dyDescent="0.3">
      <c r="B190" s="62"/>
      <c r="C190" s="165" t="s">
        <v>120</v>
      </c>
      <c r="D190" s="85">
        <v>1</v>
      </c>
      <c r="E190" s="166" t="s">
        <v>15</v>
      </c>
      <c r="F190" s="167">
        <f t="shared" si="61"/>
        <v>0</v>
      </c>
      <c r="G190" s="168">
        <f>F190*D190</f>
        <v>0</v>
      </c>
      <c r="H190" s="169">
        <f>$M$13</f>
        <v>0.18</v>
      </c>
      <c r="I190" s="215">
        <f>'19'!$J$50</f>
        <v>0</v>
      </c>
      <c r="J190" s="170">
        <f>I190*D190</f>
        <v>0</v>
      </c>
      <c r="K190" s="171"/>
    </row>
    <row r="191" spans="2:11" ht="14.4" hidden="1" thickBot="1" x14ac:dyDescent="0.3">
      <c r="B191" s="44"/>
      <c r="C191" s="106"/>
      <c r="D191" s="94"/>
      <c r="E191" s="95"/>
      <c r="F191" s="107"/>
      <c r="G191" s="108"/>
      <c r="H191" s="101"/>
      <c r="I191" s="102"/>
      <c r="J191" s="109"/>
      <c r="K191" s="104"/>
    </row>
    <row r="192" spans="2:11" ht="14.4" thickBot="1" x14ac:dyDescent="0.3">
      <c r="B192" s="12">
        <v>20</v>
      </c>
      <c r="C192" s="197" t="str">
        <f>'Bid Summary'!F23</f>
        <v xml:space="preserve">30-inch Buried Service Butterfly Valve Assembly </v>
      </c>
      <c r="D192" s="118" t="s">
        <v>92</v>
      </c>
      <c r="E192" s="118" t="s">
        <v>9</v>
      </c>
      <c r="F192" s="118" t="s">
        <v>93</v>
      </c>
      <c r="G192" s="119">
        <f>SUM(G193:G200)</f>
        <v>95400</v>
      </c>
      <c r="H192" s="120"/>
      <c r="I192" s="121"/>
      <c r="J192" s="148">
        <f>SUM(J193:J200)</f>
        <v>72909.490000000005</v>
      </c>
      <c r="K192" s="122"/>
    </row>
    <row r="193" spans="2:11" ht="13.8" x14ac:dyDescent="0.25">
      <c r="B193" s="4"/>
      <c r="C193" s="71" t="s">
        <v>109</v>
      </c>
      <c r="D193" s="77">
        <v>1</v>
      </c>
      <c r="E193" s="72" t="s">
        <v>15</v>
      </c>
      <c r="F193" s="73">
        <f t="shared" ref="F193:F199" si="64">CEILING(I193/(1-H193),100)</f>
        <v>20400</v>
      </c>
      <c r="G193" s="74">
        <f t="shared" ref="G193:G197" si="65">F193*D193</f>
        <v>20400</v>
      </c>
      <c r="H193" s="90">
        <f>$M$9</f>
        <v>0.18</v>
      </c>
      <c r="I193" s="260">
        <f>'20'!$J$4</f>
        <v>16662.240000000002</v>
      </c>
      <c r="J193" s="75">
        <f t="shared" ref="J193:J197" si="66">I193*D193</f>
        <v>16662.240000000002</v>
      </c>
      <c r="K193" s="76"/>
    </row>
    <row r="194" spans="2:11" ht="13.8" x14ac:dyDescent="0.25">
      <c r="B194" s="4"/>
      <c r="C194" s="68" t="s">
        <v>112</v>
      </c>
      <c r="D194" s="77">
        <v>1</v>
      </c>
      <c r="E194" s="69" t="s">
        <v>15</v>
      </c>
      <c r="F194" s="271">
        <f t="shared" si="64"/>
        <v>75000</v>
      </c>
      <c r="G194" s="74">
        <f t="shared" si="65"/>
        <v>75000</v>
      </c>
      <c r="H194" s="91">
        <f>$M$10</f>
        <v>0.25</v>
      </c>
      <c r="I194" s="261">
        <f>'20'!$J$15</f>
        <v>56247.25</v>
      </c>
      <c r="J194" s="75">
        <f t="shared" si="66"/>
        <v>56247.25</v>
      </c>
      <c r="K194" s="70"/>
    </row>
    <row r="195" spans="2:11" ht="13.8" x14ac:dyDescent="0.25">
      <c r="B195" s="4"/>
      <c r="C195" s="179" t="s">
        <v>116</v>
      </c>
      <c r="D195" s="77">
        <v>1</v>
      </c>
      <c r="E195" s="180" t="s">
        <v>15</v>
      </c>
      <c r="F195" s="181">
        <f t="shared" si="64"/>
        <v>0</v>
      </c>
      <c r="G195" s="182">
        <f t="shared" si="65"/>
        <v>0</v>
      </c>
      <c r="H195" s="183">
        <f>$M$12</f>
        <v>0.18</v>
      </c>
      <c r="I195" s="262">
        <f>'20'!$J$29</f>
        <v>0</v>
      </c>
      <c r="J195" s="184">
        <f t="shared" si="66"/>
        <v>0</v>
      </c>
      <c r="K195" s="185"/>
    </row>
    <row r="196" spans="2:11" ht="13.8" x14ac:dyDescent="0.25">
      <c r="B196" s="4"/>
      <c r="C196" s="78" t="s">
        <v>136</v>
      </c>
      <c r="D196" s="77">
        <v>1</v>
      </c>
      <c r="E196" s="79" t="s">
        <v>15</v>
      </c>
      <c r="F196" s="151">
        <f t="shared" si="64"/>
        <v>0</v>
      </c>
      <c r="G196" s="152">
        <f t="shared" si="65"/>
        <v>0</v>
      </c>
      <c r="H196" s="92">
        <f>$M$11</f>
        <v>0.18</v>
      </c>
      <c r="I196" s="263">
        <f>'20'!$J$36</f>
        <v>0</v>
      </c>
      <c r="J196" s="150">
        <f t="shared" si="66"/>
        <v>0</v>
      </c>
      <c r="K196" s="80"/>
    </row>
    <row r="197" spans="2:11" ht="13.8" x14ac:dyDescent="0.25">
      <c r="B197" s="4"/>
      <c r="C197" s="172" t="s">
        <v>121</v>
      </c>
      <c r="D197" s="77">
        <v>1</v>
      </c>
      <c r="E197" s="173" t="s">
        <v>15</v>
      </c>
      <c r="F197" s="174">
        <f t="shared" si="64"/>
        <v>0</v>
      </c>
      <c r="G197" s="175">
        <f t="shared" si="65"/>
        <v>0</v>
      </c>
      <c r="H197" s="176">
        <f>$M$12</f>
        <v>0.18</v>
      </c>
      <c r="I197" s="264">
        <f>'20'!$J$43</f>
        <v>0</v>
      </c>
      <c r="J197" s="177">
        <f t="shared" si="66"/>
        <v>0</v>
      </c>
      <c r="K197" s="178"/>
    </row>
    <row r="198" spans="2:11" ht="13.8" x14ac:dyDescent="0.25">
      <c r="B198" s="62"/>
      <c r="C198" s="81" t="s">
        <v>123</v>
      </c>
      <c r="D198" s="82">
        <v>1</v>
      </c>
      <c r="E198" s="83" t="s">
        <v>15</v>
      </c>
      <c r="F198" s="73">
        <f t="shared" si="64"/>
        <v>0</v>
      </c>
      <c r="G198" s="74">
        <f>F198*D198</f>
        <v>0</v>
      </c>
      <c r="H198" s="110">
        <f>$M$10</f>
        <v>0.25</v>
      </c>
      <c r="I198" s="265">
        <f>'20'!$J$50</f>
        <v>0</v>
      </c>
      <c r="J198" s="75">
        <f>I198*D198</f>
        <v>0</v>
      </c>
      <c r="K198" s="84"/>
    </row>
    <row r="199" spans="2:11" ht="14.4" thickBot="1" x14ac:dyDescent="0.3">
      <c r="B199" s="62"/>
      <c r="C199" s="165" t="s">
        <v>120</v>
      </c>
      <c r="D199" s="85">
        <v>1</v>
      </c>
      <c r="E199" s="166" t="s">
        <v>15</v>
      </c>
      <c r="F199" s="167">
        <f t="shared" si="64"/>
        <v>0</v>
      </c>
      <c r="G199" s="168">
        <f>F199*D199</f>
        <v>0</v>
      </c>
      <c r="H199" s="169">
        <f>$M$13</f>
        <v>0.18</v>
      </c>
      <c r="I199" s="266">
        <f>'20'!$J$57</f>
        <v>0</v>
      </c>
      <c r="J199" s="170">
        <f>I199*D199</f>
        <v>0</v>
      </c>
      <c r="K199" s="171"/>
    </row>
    <row r="200" spans="2:11" ht="14.4" hidden="1" thickBot="1" x14ac:dyDescent="0.3">
      <c r="B200" s="105"/>
      <c r="C200" s="106"/>
      <c r="D200" s="94"/>
      <c r="E200" s="95"/>
      <c r="F200" s="107"/>
      <c r="G200" s="108"/>
      <c r="H200" s="101"/>
      <c r="I200" s="102"/>
      <c r="J200" s="109"/>
      <c r="K200" s="104"/>
    </row>
    <row r="201" spans="2:11" ht="14.4" thickBot="1" x14ac:dyDescent="0.3">
      <c r="B201" s="12">
        <v>21</v>
      </c>
      <c r="C201" s="197" t="str">
        <f>'Bid Summary'!F24</f>
        <v xml:space="preserve">36-inch Buried Service Butterfly Valve Assembly </v>
      </c>
      <c r="D201" s="118" t="s">
        <v>92</v>
      </c>
      <c r="E201" s="118" t="s">
        <v>9</v>
      </c>
      <c r="F201" s="118" t="s">
        <v>93</v>
      </c>
      <c r="G201" s="119">
        <f>SUM(G202:G209)</f>
        <v>94200</v>
      </c>
      <c r="H201" s="120"/>
      <c r="I201" s="121"/>
      <c r="J201" s="148">
        <f>SUM(J202:J209)</f>
        <v>72156.459999999992</v>
      </c>
      <c r="K201" s="122"/>
    </row>
    <row r="202" spans="2:11" ht="13.8" x14ac:dyDescent="0.25">
      <c r="B202" s="4"/>
      <c r="C202" s="71" t="s">
        <v>109</v>
      </c>
      <c r="D202" s="77">
        <v>1</v>
      </c>
      <c r="E202" s="72" t="s">
        <v>15</v>
      </c>
      <c r="F202" s="73">
        <f t="shared" ref="F202:F208" si="67">CEILING(I202/(1-H202),100)</f>
        <v>22300</v>
      </c>
      <c r="G202" s="74">
        <f t="shared" ref="G202:G206" si="68">F202*D202</f>
        <v>22300</v>
      </c>
      <c r="H202" s="90">
        <f>$M$9</f>
        <v>0.18</v>
      </c>
      <c r="I202" s="260">
        <f>'21'!$J$4</f>
        <v>18240.96</v>
      </c>
      <c r="J202" s="75">
        <f t="shared" ref="J202:J206" si="69">I202*D202</f>
        <v>18240.96</v>
      </c>
      <c r="K202" s="76"/>
    </row>
    <row r="203" spans="2:11" ht="13.8" x14ac:dyDescent="0.25">
      <c r="B203" s="4"/>
      <c r="C203" s="68" t="s">
        <v>112</v>
      </c>
      <c r="D203" s="77">
        <v>1</v>
      </c>
      <c r="E203" s="69" t="s">
        <v>15</v>
      </c>
      <c r="F203" s="271">
        <f t="shared" si="67"/>
        <v>71500</v>
      </c>
      <c r="G203" s="74">
        <f t="shared" si="68"/>
        <v>71500</v>
      </c>
      <c r="H203" s="91">
        <f>$M$10</f>
        <v>0.25</v>
      </c>
      <c r="I203" s="261">
        <f>'21'!$J$15</f>
        <v>53592</v>
      </c>
      <c r="J203" s="75">
        <f t="shared" si="69"/>
        <v>53592</v>
      </c>
      <c r="K203" s="70"/>
    </row>
    <row r="204" spans="2:11" ht="13.8" x14ac:dyDescent="0.25">
      <c r="B204" s="4"/>
      <c r="C204" s="179" t="s">
        <v>116</v>
      </c>
      <c r="D204" s="77">
        <v>1</v>
      </c>
      <c r="E204" s="180" t="s">
        <v>15</v>
      </c>
      <c r="F204" s="181">
        <f t="shared" si="67"/>
        <v>0</v>
      </c>
      <c r="G204" s="182">
        <f t="shared" si="68"/>
        <v>0</v>
      </c>
      <c r="H204" s="183">
        <f>$M$12</f>
        <v>0.18</v>
      </c>
      <c r="I204" s="262">
        <f>'21'!$J$28</f>
        <v>0</v>
      </c>
      <c r="J204" s="184">
        <f t="shared" si="69"/>
        <v>0</v>
      </c>
      <c r="K204" s="185"/>
    </row>
    <row r="205" spans="2:11" ht="13.8" x14ac:dyDescent="0.25">
      <c r="B205" s="4"/>
      <c r="C205" s="78" t="s">
        <v>136</v>
      </c>
      <c r="D205" s="77">
        <v>1</v>
      </c>
      <c r="E205" s="79" t="s">
        <v>15</v>
      </c>
      <c r="F205" s="151">
        <f t="shared" si="67"/>
        <v>0</v>
      </c>
      <c r="G205" s="152">
        <f t="shared" si="68"/>
        <v>0</v>
      </c>
      <c r="H205" s="92">
        <f>$M$11</f>
        <v>0.18</v>
      </c>
      <c r="I205" s="263">
        <f>'21'!$J$35</f>
        <v>0</v>
      </c>
      <c r="J205" s="150">
        <f t="shared" si="69"/>
        <v>0</v>
      </c>
      <c r="K205" s="80"/>
    </row>
    <row r="206" spans="2:11" ht="13.8" x14ac:dyDescent="0.25">
      <c r="B206" s="4"/>
      <c r="C206" s="172" t="s">
        <v>121</v>
      </c>
      <c r="D206" s="77">
        <v>1</v>
      </c>
      <c r="E206" s="173" t="s">
        <v>15</v>
      </c>
      <c r="F206" s="174">
        <f t="shared" si="67"/>
        <v>400</v>
      </c>
      <c r="G206" s="175">
        <f t="shared" si="68"/>
        <v>400</v>
      </c>
      <c r="H206" s="176">
        <f>$M$12</f>
        <v>0.18</v>
      </c>
      <c r="I206" s="264">
        <f>'21'!$J$42</f>
        <v>323.5</v>
      </c>
      <c r="J206" s="177">
        <f t="shared" si="69"/>
        <v>323.5</v>
      </c>
      <c r="K206" s="178"/>
    </row>
    <row r="207" spans="2:11" ht="13.8" x14ac:dyDescent="0.25">
      <c r="B207" s="62"/>
      <c r="C207" s="81" t="s">
        <v>123</v>
      </c>
      <c r="D207" s="82">
        <v>1</v>
      </c>
      <c r="E207" s="83" t="s">
        <v>15</v>
      </c>
      <c r="F207" s="73">
        <f t="shared" si="67"/>
        <v>0</v>
      </c>
      <c r="G207" s="74">
        <f>F207*D207</f>
        <v>0</v>
      </c>
      <c r="H207" s="110">
        <f>$M$10</f>
        <v>0.25</v>
      </c>
      <c r="I207" s="265">
        <f>'21'!$J$49</f>
        <v>0</v>
      </c>
      <c r="J207" s="75">
        <f>I207*D207</f>
        <v>0</v>
      </c>
      <c r="K207" s="84"/>
    </row>
    <row r="208" spans="2:11" ht="14.4" thickBot="1" x14ac:dyDescent="0.3">
      <c r="B208" s="62"/>
      <c r="C208" s="165" t="s">
        <v>120</v>
      </c>
      <c r="D208" s="85">
        <v>1</v>
      </c>
      <c r="E208" s="166" t="s">
        <v>15</v>
      </c>
      <c r="F208" s="167">
        <f t="shared" si="67"/>
        <v>0</v>
      </c>
      <c r="G208" s="168">
        <f>F208*D208</f>
        <v>0</v>
      </c>
      <c r="H208" s="169">
        <f>$M$13</f>
        <v>0.18</v>
      </c>
      <c r="I208" s="266">
        <f>'21'!$J$56</f>
        <v>0</v>
      </c>
      <c r="J208" s="170">
        <f>I208*D208</f>
        <v>0</v>
      </c>
      <c r="K208" s="171"/>
    </row>
    <row r="209" spans="2:11" ht="14.4" hidden="1" thickBot="1" x14ac:dyDescent="0.3">
      <c r="B209" s="44"/>
      <c r="C209" s="106"/>
      <c r="D209" s="94"/>
      <c r="E209" s="95"/>
      <c r="F209" s="107"/>
      <c r="G209" s="108"/>
      <c r="H209" s="101"/>
      <c r="I209" s="102"/>
      <c r="J209" s="109"/>
      <c r="K209" s="104"/>
    </row>
    <row r="210" spans="2:11" ht="14.4" thickBot="1" x14ac:dyDescent="0.3">
      <c r="B210" s="12">
        <v>22</v>
      </c>
      <c r="C210" s="197" t="str">
        <f>'Bid Summary'!F25</f>
        <v>2-inch Underground Combination Air Valve Assembly</v>
      </c>
      <c r="D210" s="118" t="s">
        <v>92</v>
      </c>
      <c r="E210" s="118" t="s">
        <v>9</v>
      </c>
      <c r="F210" s="118" t="s">
        <v>93</v>
      </c>
      <c r="G210" s="119">
        <f>SUM(G211:G218)</f>
        <v>56000</v>
      </c>
      <c r="H210" s="120"/>
      <c r="I210" s="121"/>
      <c r="J210" s="148">
        <f>SUM(J211:J218)</f>
        <v>43662.44</v>
      </c>
      <c r="K210" s="122"/>
    </row>
    <row r="211" spans="2:11" ht="13.8" x14ac:dyDescent="0.25">
      <c r="B211" s="111"/>
      <c r="C211" s="71" t="s">
        <v>109</v>
      </c>
      <c r="D211" s="77">
        <v>1</v>
      </c>
      <c r="E211" s="72" t="s">
        <v>15</v>
      </c>
      <c r="F211" s="73">
        <f t="shared" ref="F211:F217" si="70">CEILING(I211/(1-H211),100)</f>
        <v>24900</v>
      </c>
      <c r="G211" s="100">
        <f t="shared" ref="G211:G215" si="71">F211*D211</f>
        <v>24900</v>
      </c>
      <c r="H211" s="123">
        <f>$M$9</f>
        <v>0.18</v>
      </c>
      <c r="I211" s="260">
        <f>'22'!$J$4</f>
        <v>20371.440000000002</v>
      </c>
      <c r="J211" s="103">
        <f t="shared" ref="J211:J215" si="72">I211*D211</f>
        <v>20371.440000000002</v>
      </c>
      <c r="K211" s="124"/>
    </row>
    <row r="212" spans="2:11" ht="13.8" x14ac:dyDescent="0.25">
      <c r="B212" s="4"/>
      <c r="C212" s="68" t="s">
        <v>112</v>
      </c>
      <c r="D212" s="77">
        <v>1</v>
      </c>
      <c r="E212" s="69" t="s">
        <v>15</v>
      </c>
      <c r="F212" s="271">
        <f t="shared" si="70"/>
        <v>30900</v>
      </c>
      <c r="G212" s="74">
        <f t="shared" si="71"/>
        <v>30900</v>
      </c>
      <c r="H212" s="91">
        <f>$M$10</f>
        <v>0.25</v>
      </c>
      <c r="I212" s="261">
        <f>'22'!$J$15</f>
        <v>23170</v>
      </c>
      <c r="J212" s="75">
        <f t="shared" si="72"/>
        <v>23170</v>
      </c>
      <c r="K212" s="70"/>
    </row>
    <row r="213" spans="2:11" ht="13.8" x14ac:dyDescent="0.25">
      <c r="B213" s="4"/>
      <c r="C213" s="179" t="s">
        <v>116</v>
      </c>
      <c r="D213" s="77">
        <v>1</v>
      </c>
      <c r="E213" s="180" t="s">
        <v>15</v>
      </c>
      <c r="F213" s="181">
        <f t="shared" si="70"/>
        <v>0</v>
      </c>
      <c r="G213" s="182">
        <f t="shared" si="71"/>
        <v>0</v>
      </c>
      <c r="H213" s="183">
        <f>$M$12</f>
        <v>0.18</v>
      </c>
      <c r="I213" s="262">
        <f>'22'!$J$32</f>
        <v>0</v>
      </c>
      <c r="J213" s="184">
        <f t="shared" si="72"/>
        <v>0</v>
      </c>
      <c r="K213" s="185"/>
    </row>
    <row r="214" spans="2:11" ht="13.8" x14ac:dyDescent="0.25">
      <c r="B214" s="4"/>
      <c r="C214" s="78" t="s">
        <v>136</v>
      </c>
      <c r="D214" s="77">
        <v>1</v>
      </c>
      <c r="E214" s="79" t="s">
        <v>15</v>
      </c>
      <c r="F214" s="151">
        <f t="shared" si="70"/>
        <v>0</v>
      </c>
      <c r="G214" s="152">
        <f t="shared" si="71"/>
        <v>0</v>
      </c>
      <c r="H214" s="92">
        <f>$M$11</f>
        <v>0.18</v>
      </c>
      <c r="I214" s="263">
        <f>'22'!$J$40</f>
        <v>0</v>
      </c>
      <c r="J214" s="150">
        <f t="shared" si="72"/>
        <v>0</v>
      </c>
      <c r="K214" s="80"/>
    </row>
    <row r="215" spans="2:11" ht="13.8" x14ac:dyDescent="0.25">
      <c r="B215" s="4"/>
      <c r="C215" s="172" t="s">
        <v>121</v>
      </c>
      <c r="D215" s="77">
        <v>1</v>
      </c>
      <c r="E215" s="173" t="s">
        <v>15</v>
      </c>
      <c r="F215" s="174">
        <f t="shared" si="70"/>
        <v>200</v>
      </c>
      <c r="G215" s="175">
        <f t="shared" si="71"/>
        <v>200</v>
      </c>
      <c r="H215" s="176">
        <f>$M$12</f>
        <v>0.18</v>
      </c>
      <c r="I215" s="264">
        <f>'22'!$J$47</f>
        <v>121</v>
      </c>
      <c r="J215" s="177">
        <f t="shared" si="72"/>
        <v>121</v>
      </c>
      <c r="K215" s="178"/>
    </row>
    <row r="216" spans="2:11" ht="13.8" x14ac:dyDescent="0.25">
      <c r="B216" s="62"/>
      <c r="C216" s="81" t="s">
        <v>123</v>
      </c>
      <c r="D216" s="82">
        <v>1</v>
      </c>
      <c r="E216" s="83" t="s">
        <v>15</v>
      </c>
      <c r="F216" s="73">
        <f t="shared" si="70"/>
        <v>0</v>
      </c>
      <c r="G216" s="74">
        <f>F216*D216</f>
        <v>0</v>
      </c>
      <c r="H216" s="110">
        <f>$M$10</f>
        <v>0.25</v>
      </c>
      <c r="I216" s="265">
        <f>'22'!$J$54</f>
        <v>0</v>
      </c>
      <c r="J216" s="75">
        <f>I216*D216</f>
        <v>0</v>
      </c>
      <c r="K216" s="84"/>
    </row>
    <row r="217" spans="2:11" ht="14.4" thickBot="1" x14ac:dyDescent="0.3">
      <c r="B217" s="62"/>
      <c r="C217" s="165" t="s">
        <v>120</v>
      </c>
      <c r="D217" s="85">
        <v>1</v>
      </c>
      <c r="E217" s="166" t="s">
        <v>15</v>
      </c>
      <c r="F217" s="167">
        <f t="shared" si="70"/>
        <v>0</v>
      </c>
      <c r="G217" s="168">
        <f>F217*D217</f>
        <v>0</v>
      </c>
      <c r="H217" s="169">
        <f>$M$13</f>
        <v>0.18</v>
      </c>
      <c r="I217" s="266">
        <f>'22'!$J$61</f>
        <v>0</v>
      </c>
      <c r="J217" s="170">
        <f>I217*D217</f>
        <v>0</v>
      </c>
      <c r="K217" s="171"/>
    </row>
    <row r="218" spans="2:11" ht="14.4" hidden="1" thickBot="1" x14ac:dyDescent="0.3">
      <c r="B218" s="105"/>
      <c r="C218" s="106"/>
      <c r="D218" s="94"/>
      <c r="E218" s="95"/>
      <c r="F218" s="107"/>
      <c r="G218" s="108"/>
      <c r="H218" s="101"/>
      <c r="I218" s="102"/>
      <c r="J218" s="109"/>
      <c r="K218" s="104"/>
    </row>
    <row r="219" spans="2:11" ht="14.4" thickBot="1" x14ac:dyDescent="0.3">
      <c r="B219" s="12">
        <v>23</v>
      </c>
      <c r="C219" s="197" t="str">
        <f>'Bid Summary'!F26</f>
        <v>3-inch Underground Combination Air Valve Assembly</v>
      </c>
      <c r="D219" s="118" t="s">
        <v>92</v>
      </c>
      <c r="E219" s="118" t="s">
        <v>9</v>
      </c>
      <c r="F219" s="118" t="s">
        <v>93</v>
      </c>
      <c r="G219" s="119">
        <f>SUM(G220:G227)</f>
        <v>65700</v>
      </c>
      <c r="H219" s="120"/>
      <c r="I219" s="121"/>
      <c r="J219" s="148">
        <f>SUM(J220:J227)</f>
        <v>51317.440000000002</v>
      </c>
      <c r="K219" s="122"/>
    </row>
    <row r="220" spans="2:11" ht="13.8" x14ac:dyDescent="0.25">
      <c r="B220" s="111"/>
      <c r="C220" s="71" t="s">
        <v>109</v>
      </c>
      <c r="D220" s="77">
        <v>1</v>
      </c>
      <c r="E220" s="72" t="s">
        <v>15</v>
      </c>
      <c r="F220" s="73">
        <f t="shared" ref="F220:F226" si="73">CEILING(I220/(1-H220),100)</f>
        <v>24900</v>
      </c>
      <c r="G220" s="100">
        <f t="shared" ref="G220:G224" si="74">F220*D220</f>
        <v>24900</v>
      </c>
      <c r="H220" s="123">
        <f>$M$9</f>
        <v>0.18</v>
      </c>
      <c r="I220" s="260">
        <f>'23'!$J$4</f>
        <v>20371.440000000002</v>
      </c>
      <c r="J220" s="103">
        <f t="shared" ref="J220:J224" si="75">I220*D220</f>
        <v>20371.440000000002</v>
      </c>
      <c r="K220" s="124"/>
    </row>
    <row r="221" spans="2:11" ht="13.8" x14ac:dyDescent="0.25">
      <c r="B221" s="4"/>
      <c r="C221" s="68" t="s">
        <v>112</v>
      </c>
      <c r="D221" s="77">
        <v>1</v>
      </c>
      <c r="E221" s="69" t="s">
        <v>15</v>
      </c>
      <c r="F221" s="271">
        <f t="shared" si="73"/>
        <v>34600</v>
      </c>
      <c r="G221" s="74">
        <f t="shared" si="74"/>
        <v>34600</v>
      </c>
      <c r="H221" s="91">
        <f>$M$10</f>
        <v>0.25</v>
      </c>
      <c r="I221" s="261">
        <f>'23'!$J$15</f>
        <v>25926</v>
      </c>
      <c r="J221" s="75">
        <f t="shared" si="75"/>
        <v>25926</v>
      </c>
      <c r="K221" s="70"/>
    </row>
    <row r="222" spans="2:11" ht="13.8" x14ac:dyDescent="0.25">
      <c r="B222" s="4"/>
      <c r="C222" s="179" t="s">
        <v>116</v>
      </c>
      <c r="D222" s="77">
        <v>1</v>
      </c>
      <c r="E222" s="180" t="s">
        <v>15</v>
      </c>
      <c r="F222" s="181">
        <f t="shared" si="73"/>
        <v>100</v>
      </c>
      <c r="G222" s="182">
        <f t="shared" si="74"/>
        <v>100</v>
      </c>
      <c r="H222" s="183">
        <f>$M$12</f>
        <v>0.18</v>
      </c>
      <c r="I222" s="262">
        <f>'23'!$J$22</f>
        <v>60</v>
      </c>
      <c r="J222" s="184">
        <f t="shared" si="75"/>
        <v>60</v>
      </c>
      <c r="K222" s="185"/>
    </row>
    <row r="223" spans="2:11" ht="13.8" x14ac:dyDescent="0.25">
      <c r="B223" s="4"/>
      <c r="C223" s="78" t="s">
        <v>136</v>
      </c>
      <c r="D223" s="77">
        <v>1</v>
      </c>
      <c r="E223" s="79" t="s">
        <v>15</v>
      </c>
      <c r="F223" s="151">
        <f t="shared" si="73"/>
        <v>800</v>
      </c>
      <c r="G223" s="152">
        <f t="shared" si="74"/>
        <v>800</v>
      </c>
      <c r="H223" s="92">
        <f>$M$11</f>
        <v>0.18</v>
      </c>
      <c r="I223" s="263">
        <f>'23'!$J$29</f>
        <v>640</v>
      </c>
      <c r="J223" s="150">
        <f t="shared" si="75"/>
        <v>640</v>
      </c>
      <c r="K223" s="80"/>
    </row>
    <row r="224" spans="2:11" ht="13.8" x14ac:dyDescent="0.25">
      <c r="B224" s="4"/>
      <c r="C224" s="172" t="s">
        <v>121</v>
      </c>
      <c r="D224" s="77">
        <v>1</v>
      </c>
      <c r="E224" s="173" t="s">
        <v>15</v>
      </c>
      <c r="F224" s="174">
        <f t="shared" si="73"/>
        <v>0</v>
      </c>
      <c r="G224" s="175">
        <f t="shared" si="74"/>
        <v>0</v>
      </c>
      <c r="H224" s="176">
        <f>$M$12</f>
        <v>0.18</v>
      </c>
      <c r="I224" s="264">
        <f>'23'!$J$36</f>
        <v>0</v>
      </c>
      <c r="J224" s="177">
        <f t="shared" si="75"/>
        <v>0</v>
      </c>
      <c r="K224" s="178"/>
    </row>
    <row r="225" spans="2:11" ht="13.8" x14ac:dyDescent="0.25">
      <c r="B225" s="62"/>
      <c r="C225" s="81" t="s">
        <v>123</v>
      </c>
      <c r="D225" s="82">
        <v>1</v>
      </c>
      <c r="E225" s="83" t="s">
        <v>15</v>
      </c>
      <c r="F225" s="73">
        <f t="shared" si="73"/>
        <v>0</v>
      </c>
      <c r="G225" s="74">
        <f>F225*D225</f>
        <v>0</v>
      </c>
      <c r="H225" s="110">
        <f>$M$10</f>
        <v>0.25</v>
      </c>
      <c r="I225" s="265">
        <f>'23'!$J$43</f>
        <v>0</v>
      </c>
      <c r="J225" s="75">
        <f>I225*D225</f>
        <v>0</v>
      </c>
      <c r="K225" s="84"/>
    </row>
    <row r="226" spans="2:11" ht="14.4" thickBot="1" x14ac:dyDescent="0.3">
      <c r="B226" s="62"/>
      <c r="C226" s="165" t="s">
        <v>120</v>
      </c>
      <c r="D226" s="85">
        <v>1</v>
      </c>
      <c r="E226" s="166" t="s">
        <v>15</v>
      </c>
      <c r="F226" s="167">
        <f t="shared" si="73"/>
        <v>5300</v>
      </c>
      <c r="G226" s="168">
        <f>F226*D226</f>
        <v>5300</v>
      </c>
      <c r="H226" s="169">
        <f>$M$13</f>
        <v>0.18</v>
      </c>
      <c r="I226" s="266">
        <f>'23'!$J$50</f>
        <v>4320</v>
      </c>
      <c r="J226" s="170">
        <f>I226*D226</f>
        <v>4320</v>
      </c>
      <c r="K226" s="171"/>
    </row>
    <row r="227" spans="2:11" ht="14.4" hidden="1" thickBot="1" x14ac:dyDescent="0.3">
      <c r="B227" s="44"/>
      <c r="C227" s="106"/>
      <c r="D227" s="94"/>
      <c r="E227" s="95"/>
      <c r="F227" s="107"/>
      <c r="G227" s="108"/>
      <c r="H227" s="101"/>
      <c r="I227" s="102"/>
      <c r="J227" s="109"/>
      <c r="K227" s="104"/>
    </row>
    <row r="228" spans="2:11" ht="14.4" thickBot="1" x14ac:dyDescent="0.3">
      <c r="B228" s="12">
        <v>24</v>
      </c>
      <c r="C228" s="197" t="str">
        <f>'Bid Summary'!F27</f>
        <v>6-inch Underground Combination Air Valve Assembly</v>
      </c>
      <c r="D228" s="118" t="s">
        <v>92</v>
      </c>
      <c r="E228" s="118" t="s">
        <v>9</v>
      </c>
      <c r="F228" s="118" t="s">
        <v>93</v>
      </c>
      <c r="G228" s="119">
        <f>SUM(G229:G236)</f>
        <v>61300</v>
      </c>
      <c r="H228" s="120"/>
      <c r="I228" s="121"/>
      <c r="J228" s="148">
        <f>SUM(J229:J236)</f>
        <v>46307.360000000001</v>
      </c>
      <c r="K228" s="122"/>
    </row>
    <row r="229" spans="2:11" ht="13.8" x14ac:dyDescent="0.25">
      <c r="B229" s="111"/>
      <c r="C229" s="71" t="s">
        <v>109</v>
      </c>
      <c r="D229" s="77">
        <v>1</v>
      </c>
      <c r="E229" s="72" t="s">
        <v>15</v>
      </c>
      <c r="F229" s="73">
        <f t="shared" ref="F229:F235" si="76">CEILING(I229/(1-H229),100)</f>
        <v>6300</v>
      </c>
      <c r="G229" s="100">
        <f t="shared" ref="G229:G233" si="77">F229*D229</f>
        <v>6300</v>
      </c>
      <c r="H229" s="123">
        <f>$M$9</f>
        <v>0.18</v>
      </c>
      <c r="I229" s="260">
        <f>'24'!$J$4</f>
        <v>5092.8600000000006</v>
      </c>
      <c r="J229" s="103">
        <f t="shared" ref="J229:J233" si="78">I229*D229</f>
        <v>5092.8600000000006</v>
      </c>
      <c r="K229" s="124"/>
    </row>
    <row r="230" spans="2:11" ht="13.8" x14ac:dyDescent="0.25">
      <c r="B230" s="4"/>
      <c r="C230" s="68" t="s">
        <v>112</v>
      </c>
      <c r="D230" s="77">
        <v>1</v>
      </c>
      <c r="E230" s="69" t="s">
        <v>15</v>
      </c>
      <c r="F230" s="271">
        <f t="shared" si="76"/>
        <v>53600</v>
      </c>
      <c r="G230" s="74">
        <f t="shared" si="77"/>
        <v>53600</v>
      </c>
      <c r="H230" s="91">
        <f>$M$10</f>
        <v>0.25</v>
      </c>
      <c r="I230" s="261">
        <f>'24'!$J$15</f>
        <v>40180</v>
      </c>
      <c r="J230" s="75">
        <f t="shared" si="78"/>
        <v>40180</v>
      </c>
      <c r="K230" s="70"/>
    </row>
    <row r="231" spans="2:11" ht="13.8" x14ac:dyDescent="0.25">
      <c r="B231" s="4"/>
      <c r="C231" s="179" t="s">
        <v>116</v>
      </c>
      <c r="D231" s="77">
        <v>1</v>
      </c>
      <c r="E231" s="180" t="s">
        <v>15</v>
      </c>
      <c r="F231" s="181">
        <f t="shared" si="76"/>
        <v>800</v>
      </c>
      <c r="G231" s="182">
        <f t="shared" si="77"/>
        <v>800</v>
      </c>
      <c r="H231" s="183">
        <f>$M$12</f>
        <v>0.18</v>
      </c>
      <c r="I231" s="262">
        <f>'24'!$J$22</f>
        <v>600</v>
      </c>
      <c r="J231" s="184">
        <f t="shared" si="78"/>
        <v>600</v>
      </c>
      <c r="K231" s="185"/>
    </row>
    <row r="232" spans="2:11" ht="13.8" x14ac:dyDescent="0.25">
      <c r="B232" s="4"/>
      <c r="C232" s="78" t="s">
        <v>136</v>
      </c>
      <c r="D232" s="77">
        <v>1</v>
      </c>
      <c r="E232" s="79" t="s">
        <v>15</v>
      </c>
      <c r="F232" s="151">
        <f t="shared" si="76"/>
        <v>0</v>
      </c>
      <c r="G232" s="152">
        <f t="shared" si="77"/>
        <v>0</v>
      </c>
      <c r="H232" s="92">
        <f>$M$11</f>
        <v>0.18</v>
      </c>
      <c r="I232" s="263">
        <f>'24'!$J$29</f>
        <v>0</v>
      </c>
      <c r="J232" s="150">
        <f t="shared" si="78"/>
        <v>0</v>
      </c>
      <c r="K232" s="80"/>
    </row>
    <row r="233" spans="2:11" ht="13.8" x14ac:dyDescent="0.25">
      <c r="B233" s="4"/>
      <c r="C233" s="172" t="s">
        <v>121</v>
      </c>
      <c r="D233" s="77">
        <v>1</v>
      </c>
      <c r="E233" s="173" t="s">
        <v>15</v>
      </c>
      <c r="F233" s="174">
        <f t="shared" si="76"/>
        <v>0</v>
      </c>
      <c r="G233" s="175">
        <f t="shared" si="77"/>
        <v>0</v>
      </c>
      <c r="H233" s="176">
        <f>$M$12</f>
        <v>0.18</v>
      </c>
      <c r="I233" s="264">
        <f>'24'!$J$36</f>
        <v>0</v>
      </c>
      <c r="J233" s="177">
        <f t="shared" si="78"/>
        <v>0</v>
      </c>
      <c r="K233" s="178"/>
    </row>
    <row r="234" spans="2:11" ht="13.8" x14ac:dyDescent="0.25">
      <c r="B234" s="62"/>
      <c r="C234" s="81" t="s">
        <v>123</v>
      </c>
      <c r="D234" s="82">
        <v>1</v>
      </c>
      <c r="E234" s="83" t="s">
        <v>15</v>
      </c>
      <c r="F234" s="73">
        <f t="shared" si="76"/>
        <v>0</v>
      </c>
      <c r="G234" s="74">
        <f>F234*D234</f>
        <v>0</v>
      </c>
      <c r="H234" s="110">
        <f>$M$10</f>
        <v>0.25</v>
      </c>
      <c r="I234" s="265">
        <f>'24'!$J$43</f>
        <v>0</v>
      </c>
      <c r="J234" s="75">
        <f>I234*D234</f>
        <v>0</v>
      </c>
      <c r="K234" s="84"/>
    </row>
    <row r="235" spans="2:11" ht="14.4" thickBot="1" x14ac:dyDescent="0.3">
      <c r="B235" s="62"/>
      <c r="C235" s="165" t="s">
        <v>120</v>
      </c>
      <c r="D235" s="85">
        <v>1</v>
      </c>
      <c r="E235" s="166" t="s">
        <v>15</v>
      </c>
      <c r="F235" s="167">
        <f t="shared" si="76"/>
        <v>600</v>
      </c>
      <c r="G235" s="168">
        <f>F235*D235</f>
        <v>600</v>
      </c>
      <c r="H235" s="169">
        <f>$M$13</f>
        <v>0.18</v>
      </c>
      <c r="I235" s="266">
        <f>'24'!$J$50</f>
        <v>434.5</v>
      </c>
      <c r="J235" s="170">
        <f>I235*D235</f>
        <v>434.5</v>
      </c>
      <c r="K235" s="171"/>
    </row>
    <row r="236" spans="2:11" ht="14.4" hidden="1" thickBot="1" x14ac:dyDescent="0.3">
      <c r="B236" s="105"/>
      <c r="C236" s="106"/>
      <c r="D236" s="94"/>
      <c r="E236" s="95"/>
      <c r="F236" s="107"/>
      <c r="G236" s="108"/>
      <c r="H236" s="101"/>
      <c r="I236" s="102"/>
      <c r="J236" s="109"/>
      <c r="K236" s="104"/>
    </row>
    <row r="237" spans="2:11" ht="14.4" thickBot="1" x14ac:dyDescent="0.3">
      <c r="B237" s="12">
        <v>25</v>
      </c>
      <c r="C237" s="197" t="str">
        <f>'Bid Summary'!F28</f>
        <v xml:space="preserve">Magnolia Avenue Crossing – 58-inch Steel Casing Pipe (Materials) </v>
      </c>
      <c r="D237" s="118" t="s">
        <v>92</v>
      </c>
      <c r="E237" s="118" t="s">
        <v>9</v>
      </c>
      <c r="F237" s="118" t="s">
        <v>93</v>
      </c>
      <c r="G237" s="119">
        <f>SUM(G238:G245)</f>
        <v>159600</v>
      </c>
      <c r="H237" s="120"/>
      <c r="I237" s="121"/>
      <c r="J237" s="148">
        <f>SUM(J238:J245)</f>
        <v>119700</v>
      </c>
      <c r="K237" s="122"/>
    </row>
    <row r="238" spans="2:11" ht="13.8" x14ac:dyDescent="0.25">
      <c r="B238" s="111"/>
      <c r="C238" s="71" t="s">
        <v>109</v>
      </c>
      <c r="D238" s="77">
        <v>1</v>
      </c>
      <c r="E238" s="72" t="s">
        <v>15</v>
      </c>
      <c r="F238" s="73">
        <f t="shared" ref="F238:F244" si="79">CEILING(I238/(1-H238),100)</f>
        <v>0</v>
      </c>
      <c r="G238" s="100">
        <f t="shared" ref="G238:G242" si="80">F238*D238</f>
        <v>0</v>
      </c>
      <c r="H238" s="123">
        <f>$M$9</f>
        <v>0.18</v>
      </c>
      <c r="I238" s="260">
        <f>'25'!$J$4</f>
        <v>0</v>
      </c>
      <c r="J238" s="103">
        <f t="shared" ref="J238:J242" si="81">I238*D238</f>
        <v>0</v>
      </c>
      <c r="K238" s="124"/>
    </row>
    <row r="239" spans="2:11" ht="13.8" x14ac:dyDescent="0.25">
      <c r="B239" s="4"/>
      <c r="C239" s="68" t="s">
        <v>112</v>
      </c>
      <c r="D239" s="77">
        <v>1</v>
      </c>
      <c r="E239" s="69" t="s">
        <v>15</v>
      </c>
      <c r="F239" s="271">
        <f t="shared" si="79"/>
        <v>159600</v>
      </c>
      <c r="G239" s="74">
        <f t="shared" si="80"/>
        <v>159600</v>
      </c>
      <c r="H239" s="91">
        <f>$M$10</f>
        <v>0.25</v>
      </c>
      <c r="I239" s="261">
        <f>'25'!$J$15</f>
        <v>119700</v>
      </c>
      <c r="J239" s="75">
        <f t="shared" si="81"/>
        <v>119700</v>
      </c>
      <c r="K239" s="70"/>
    </row>
    <row r="240" spans="2:11" ht="13.8" x14ac:dyDescent="0.25">
      <c r="B240" s="4"/>
      <c r="C240" s="179" t="s">
        <v>116</v>
      </c>
      <c r="D240" s="77">
        <v>1</v>
      </c>
      <c r="E240" s="180" t="s">
        <v>15</v>
      </c>
      <c r="F240" s="181">
        <f t="shared" si="79"/>
        <v>0</v>
      </c>
      <c r="G240" s="182">
        <f t="shared" si="80"/>
        <v>0</v>
      </c>
      <c r="H240" s="183">
        <f>$M$12</f>
        <v>0.18</v>
      </c>
      <c r="I240" s="262">
        <f>'25'!$J$22</f>
        <v>0</v>
      </c>
      <c r="J240" s="184">
        <f t="shared" si="81"/>
        <v>0</v>
      </c>
      <c r="K240" s="185"/>
    </row>
    <row r="241" spans="2:11" ht="13.8" x14ac:dyDescent="0.25">
      <c r="B241" s="4"/>
      <c r="C241" s="78" t="s">
        <v>136</v>
      </c>
      <c r="D241" s="77">
        <v>1</v>
      </c>
      <c r="E241" s="79" t="s">
        <v>15</v>
      </c>
      <c r="F241" s="151">
        <f t="shared" si="79"/>
        <v>0</v>
      </c>
      <c r="G241" s="152">
        <f t="shared" si="80"/>
        <v>0</v>
      </c>
      <c r="H241" s="92">
        <f>$M$11</f>
        <v>0.18</v>
      </c>
      <c r="I241" s="263">
        <f>'25'!$J$29</f>
        <v>0</v>
      </c>
      <c r="J241" s="150">
        <f t="shared" si="81"/>
        <v>0</v>
      </c>
      <c r="K241" s="80"/>
    </row>
    <row r="242" spans="2:11" ht="13.8" x14ac:dyDescent="0.25">
      <c r="B242" s="4"/>
      <c r="C242" s="172" t="s">
        <v>121</v>
      </c>
      <c r="D242" s="77">
        <v>1</v>
      </c>
      <c r="E242" s="173" t="s">
        <v>15</v>
      </c>
      <c r="F242" s="174">
        <f t="shared" si="79"/>
        <v>0</v>
      </c>
      <c r="G242" s="175">
        <f t="shared" si="80"/>
        <v>0</v>
      </c>
      <c r="H242" s="176">
        <f>$M$12</f>
        <v>0.18</v>
      </c>
      <c r="I242" s="264">
        <f>'25'!$J$36</f>
        <v>0</v>
      </c>
      <c r="J242" s="177">
        <f t="shared" si="81"/>
        <v>0</v>
      </c>
      <c r="K242" s="178"/>
    </row>
    <row r="243" spans="2:11" ht="13.8" x14ac:dyDescent="0.25">
      <c r="B243" s="62"/>
      <c r="C243" s="81" t="s">
        <v>123</v>
      </c>
      <c r="D243" s="82">
        <v>1</v>
      </c>
      <c r="E243" s="83" t="s">
        <v>15</v>
      </c>
      <c r="F243" s="73">
        <f t="shared" si="79"/>
        <v>0</v>
      </c>
      <c r="G243" s="74">
        <f>F243*D243</f>
        <v>0</v>
      </c>
      <c r="H243" s="110">
        <f>$M$10</f>
        <v>0.25</v>
      </c>
      <c r="I243" s="265">
        <f>'25'!$J$43</f>
        <v>0</v>
      </c>
      <c r="J243" s="75">
        <f>I243*D243</f>
        <v>0</v>
      </c>
      <c r="K243" s="84"/>
    </row>
    <row r="244" spans="2:11" ht="14.4" thickBot="1" x14ac:dyDescent="0.3">
      <c r="B244" s="62"/>
      <c r="C244" s="165" t="s">
        <v>120</v>
      </c>
      <c r="D244" s="85">
        <v>1</v>
      </c>
      <c r="E244" s="166" t="s">
        <v>15</v>
      </c>
      <c r="F244" s="167">
        <f t="shared" si="79"/>
        <v>0</v>
      </c>
      <c r="G244" s="168">
        <f>F244*D244</f>
        <v>0</v>
      </c>
      <c r="H244" s="169">
        <f>$M$13</f>
        <v>0.18</v>
      </c>
      <c r="I244" s="266">
        <f>'25'!$J$50</f>
        <v>0</v>
      </c>
      <c r="J244" s="170">
        <f>I244*D244</f>
        <v>0</v>
      </c>
      <c r="K244" s="171"/>
    </row>
    <row r="245" spans="2:11" ht="14.4" hidden="1" thickBot="1" x14ac:dyDescent="0.3">
      <c r="B245" s="44"/>
      <c r="C245" s="106"/>
      <c r="D245" s="94"/>
      <c r="E245" s="95"/>
      <c r="F245" s="107"/>
      <c r="G245" s="108"/>
      <c r="H245" s="101"/>
      <c r="I245" s="102"/>
      <c r="J245" s="109"/>
      <c r="K245" s="104"/>
    </row>
    <row r="246" spans="2:11" ht="28.2" thickBot="1" x14ac:dyDescent="0.3">
      <c r="B246" s="12">
        <v>26</v>
      </c>
      <c r="C246" s="197" t="str">
        <f>'Bid Summary'!F29</f>
        <v xml:space="preserve">Magnolia Avenue Crossing – 58-inch Steel Casing Pipe/42-inch Steel Carrier Pipe (Open Cut Installation) </v>
      </c>
      <c r="D246" s="118" t="s">
        <v>92</v>
      </c>
      <c r="E246" s="118" t="s">
        <v>9</v>
      </c>
      <c r="F246" s="118" t="s">
        <v>93</v>
      </c>
      <c r="G246" s="119">
        <f>SUM(G247:G254)</f>
        <v>205800</v>
      </c>
      <c r="H246" s="120"/>
      <c r="I246" s="121"/>
      <c r="J246" s="148">
        <f>SUM(J247:J254)</f>
        <v>167240.6</v>
      </c>
      <c r="K246" s="122"/>
    </row>
    <row r="247" spans="2:11" ht="13.8" x14ac:dyDescent="0.25">
      <c r="B247" s="111"/>
      <c r="C247" s="71" t="s">
        <v>109</v>
      </c>
      <c r="D247" s="77">
        <v>1</v>
      </c>
      <c r="E247" s="72" t="s">
        <v>15</v>
      </c>
      <c r="F247" s="73">
        <f t="shared" ref="F247:F253" si="82">CEILING(I247/(1-H247),100)</f>
        <v>76900</v>
      </c>
      <c r="G247" s="100">
        <f t="shared" ref="G247:G251" si="83">F247*D247</f>
        <v>76900</v>
      </c>
      <c r="H247" s="123">
        <f>$M$9</f>
        <v>0.18</v>
      </c>
      <c r="I247" s="260">
        <f>'26'!$J$4</f>
        <v>62985.600000000006</v>
      </c>
      <c r="J247" s="103">
        <f t="shared" ref="J247:J251" si="84">I247*D247</f>
        <v>62985.600000000006</v>
      </c>
      <c r="K247" s="124"/>
    </row>
    <row r="248" spans="2:11" ht="13.8" x14ac:dyDescent="0.25">
      <c r="B248" s="4"/>
      <c r="C248" s="68" t="s">
        <v>112</v>
      </c>
      <c r="D248" s="77">
        <v>1</v>
      </c>
      <c r="E248" s="69" t="s">
        <v>15</v>
      </c>
      <c r="F248" s="271">
        <f t="shared" si="82"/>
        <v>0</v>
      </c>
      <c r="G248" s="74">
        <f t="shared" si="83"/>
        <v>0</v>
      </c>
      <c r="H248" s="91">
        <f>$M$10</f>
        <v>0.25</v>
      </c>
      <c r="I248" s="261">
        <f>'26'!$J$15</f>
        <v>0</v>
      </c>
      <c r="J248" s="75">
        <f t="shared" si="84"/>
        <v>0</v>
      </c>
      <c r="K248" s="70"/>
    </row>
    <row r="249" spans="2:11" ht="13.8" x14ac:dyDescent="0.25">
      <c r="B249" s="4"/>
      <c r="C249" s="179" t="s">
        <v>116</v>
      </c>
      <c r="D249" s="77">
        <v>1</v>
      </c>
      <c r="E249" s="180" t="s">
        <v>15</v>
      </c>
      <c r="F249" s="181">
        <f t="shared" si="82"/>
        <v>0</v>
      </c>
      <c r="G249" s="182">
        <f t="shared" si="83"/>
        <v>0</v>
      </c>
      <c r="H249" s="183">
        <f>$M$12</f>
        <v>0.18</v>
      </c>
      <c r="I249" s="262">
        <f>'26'!$J$22</f>
        <v>0</v>
      </c>
      <c r="J249" s="184">
        <f t="shared" si="84"/>
        <v>0</v>
      </c>
      <c r="K249" s="185"/>
    </row>
    <row r="250" spans="2:11" ht="13.8" x14ac:dyDescent="0.25">
      <c r="B250" s="4"/>
      <c r="C250" s="78" t="s">
        <v>136</v>
      </c>
      <c r="D250" s="77">
        <v>1</v>
      </c>
      <c r="E250" s="79" t="s">
        <v>15</v>
      </c>
      <c r="F250" s="151">
        <f t="shared" si="82"/>
        <v>54900</v>
      </c>
      <c r="G250" s="152">
        <f t="shared" si="83"/>
        <v>54900</v>
      </c>
      <c r="H250" s="92">
        <f>$M$11</f>
        <v>0.18</v>
      </c>
      <c r="I250" s="263">
        <f>'26'!$J$29</f>
        <v>45000</v>
      </c>
      <c r="J250" s="150">
        <f t="shared" si="84"/>
        <v>45000</v>
      </c>
      <c r="K250" s="80"/>
    </row>
    <row r="251" spans="2:11" ht="13.8" x14ac:dyDescent="0.25">
      <c r="B251" s="4"/>
      <c r="C251" s="172" t="s">
        <v>121</v>
      </c>
      <c r="D251" s="77">
        <v>1</v>
      </c>
      <c r="E251" s="173" t="s">
        <v>15</v>
      </c>
      <c r="F251" s="174">
        <f t="shared" si="82"/>
        <v>54800</v>
      </c>
      <c r="G251" s="175">
        <f t="shared" si="83"/>
        <v>54800</v>
      </c>
      <c r="H251" s="176">
        <f>$M$12</f>
        <v>0.18</v>
      </c>
      <c r="I251" s="264">
        <f>'26'!$J$36</f>
        <v>44855</v>
      </c>
      <c r="J251" s="177">
        <f t="shared" si="84"/>
        <v>44855</v>
      </c>
      <c r="K251" s="178"/>
    </row>
    <row r="252" spans="2:11" ht="13.8" x14ac:dyDescent="0.25">
      <c r="B252" s="62"/>
      <c r="C252" s="81" t="s">
        <v>123</v>
      </c>
      <c r="D252" s="82">
        <v>1</v>
      </c>
      <c r="E252" s="83" t="s">
        <v>15</v>
      </c>
      <c r="F252" s="73">
        <f t="shared" si="82"/>
        <v>19200</v>
      </c>
      <c r="G252" s="74">
        <f>F252*D252</f>
        <v>19200</v>
      </c>
      <c r="H252" s="110">
        <f>$M$10</f>
        <v>0.25</v>
      </c>
      <c r="I252" s="265">
        <f>'26'!$J$44</f>
        <v>14400</v>
      </c>
      <c r="J252" s="75">
        <f>I252*D252</f>
        <v>14400</v>
      </c>
      <c r="K252" s="84"/>
    </row>
    <row r="253" spans="2:11" ht="14.4" thickBot="1" x14ac:dyDescent="0.3">
      <c r="B253" s="62"/>
      <c r="C253" s="165" t="s">
        <v>120</v>
      </c>
      <c r="D253" s="85">
        <v>1</v>
      </c>
      <c r="E253" s="166" t="s">
        <v>15</v>
      </c>
      <c r="F253" s="167">
        <f t="shared" si="82"/>
        <v>0</v>
      </c>
      <c r="G253" s="168">
        <f>F253*D253</f>
        <v>0</v>
      </c>
      <c r="H253" s="169">
        <f>$M$13</f>
        <v>0.18</v>
      </c>
      <c r="I253" s="266">
        <f>'26'!$J$51</f>
        <v>0</v>
      </c>
      <c r="J253" s="170">
        <f>I253*D253</f>
        <v>0</v>
      </c>
      <c r="K253" s="171"/>
    </row>
    <row r="254" spans="2:11" ht="14.4" hidden="1" thickBot="1" x14ac:dyDescent="0.3">
      <c r="B254" s="105"/>
      <c r="C254" s="106"/>
      <c r="D254" s="94"/>
      <c r="E254" s="95"/>
      <c r="F254" s="107"/>
      <c r="G254" s="108"/>
      <c r="H254" s="101"/>
      <c r="I254" s="102"/>
      <c r="J254" s="109"/>
      <c r="K254" s="104"/>
    </row>
    <row r="255" spans="2:11" ht="28.2" thickBot="1" x14ac:dyDescent="0.3">
      <c r="B255" s="12">
        <v>27</v>
      </c>
      <c r="C255" s="197" t="str">
        <f>'Bid Summary'!F30</f>
        <v xml:space="preserve">Magnolia Avenue Crossing – 58-inch Steel Casing Pipe/42-inch Steel Carrier Pipe (Annular Space Backfill) </v>
      </c>
      <c r="D255" s="118" t="s">
        <v>92</v>
      </c>
      <c r="E255" s="118" t="s">
        <v>9</v>
      </c>
      <c r="F255" s="118" t="s">
        <v>93</v>
      </c>
      <c r="G255" s="119">
        <f>SUM(G256:G263)</f>
        <v>83000</v>
      </c>
      <c r="H255" s="120"/>
      <c r="I255" s="121"/>
      <c r="J255" s="148">
        <f>SUM(J256:J263)</f>
        <v>68000</v>
      </c>
      <c r="K255" s="122"/>
    </row>
    <row r="256" spans="2:11" ht="13.8" x14ac:dyDescent="0.25">
      <c r="B256" s="111"/>
      <c r="C256" s="71" t="s">
        <v>109</v>
      </c>
      <c r="D256" s="77">
        <v>1</v>
      </c>
      <c r="E256" s="72" t="s">
        <v>15</v>
      </c>
      <c r="F256" s="73">
        <f t="shared" ref="F256:F262" si="85">CEILING(I256/(1-H256),100)</f>
        <v>0</v>
      </c>
      <c r="G256" s="100">
        <f t="shared" ref="G256:G260" si="86">F256*D256</f>
        <v>0</v>
      </c>
      <c r="H256" s="123">
        <f>$M$9</f>
        <v>0.18</v>
      </c>
      <c r="I256" s="260">
        <f>'27'!$J$4</f>
        <v>0</v>
      </c>
      <c r="J256" s="103">
        <f t="shared" ref="J256:J260" si="87">I256*D256</f>
        <v>0</v>
      </c>
      <c r="K256" s="124"/>
    </row>
    <row r="257" spans="2:11" ht="13.8" x14ac:dyDescent="0.25">
      <c r="B257" s="4"/>
      <c r="C257" s="68" t="s">
        <v>112</v>
      </c>
      <c r="D257" s="77">
        <v>1</v>
      </c>
      <c r="E257" s="69" t="s">
        <v>15</v>
      </c>
      <c r="F257" s="271">
        <f t="shared" si="85"/>
        <v>0</v>
      </c>
      <c r="G257" s="74">
        <f t="shared" si="86"/>
        <v>0</v>
      </c>
      <c r="H257" s="91">
        <f>$M$10</f>
        <v>0.25</v>
      </c>
      <c r="I257" s="261">
        <f>'27'!$J$15</f>
        <v>0</v>
      </c>
      <c r="J257" s="75">
        <f t="shared" si="87"/>
        <v>0</v>
      </c>
      <c r="K257" s="70"/>
    </row>
    <row r="258" spans="2:11" ht="13.8" x14ac:dyDescent="0.25">
      <c r="B258" s="4"/>
      <c r="C258" s="179" t="s">
        <v>116</v>
      </c>
      <c r="D258" s="77">
        <v>1</v>
      </c>
      <c r="E258" s="180" t="s">
        <v>15</v>
      </c>
      <c r="F258" s="181">
        <f t="shared" si="85"/>
        <v>0</v>
      </c>
      <c r="G258" s="182">
        <f t="shared" si="86"/>
        <v>0</v>
      </c>
      <c r="H258" s="183">
        <f>$M$12</f>
        <v>0.18</v>
      </c>
      <c r="I258" s="262">
        <f>'27'!$J$22</f>
        <v>0</v>
      </c>
      <c r="J258" s="184">
        <f t="shared" si="87"/>
        <v>0</v>
      </c>
      <c r="K258" s="185"/>
    </row>
    <row r="259" spans="2:11" ht="13.8" x14ac:dyDescent="0.25">
      <c r="B259" s="4"/>
      <c r="C259" s="78" t="s">
        <v>136</v>
      </c>
      <c r="D259" s="77">
        <v>1</v>
      </c>
      <c r="E259" s="79" t="s">
        <v>15</v>
      </c>
      <c r="F259" s="151">
        <f t="shared" si="85"/>
        <v>83000</v>
      </c>
      <c r="G259" s="152">
        <f t="shared" si="86"/>
        <v>83000</v>
      </c>
      <c r="H259" s="92">
        <f>$M$11</f>
        <v>0.18</v>
      </c>
      <c r="I259" s="263">
        <f>'27'!$J$29</f>
        <v>68000</v>
      </c>
      <c r="J259" s="150">
        <f t="shared" si="87"/>
        <v>68000</v>
      </c>
      <c r="K259" s="80"/>
    </row>
    <row r="260" spans="2:11" ht="13.8" x14ac:dyDescent="0.25">
      <c r="B260" s="4"/>
      <c r="C260" s="172" t="s">
        <v>121</v>
      </c>
      <c r="D260" s="77">
        <v>1</v>
      </c>
      <c r="E260" s="173" t="s">
        <v>15</v>
      </c>
      <c r="F260" s="174">
        <f t="shared" si="85"/>
        <v>0</v>
      </c>
      <c r="G260" s="175">
        <f t="shared" si="86"/>
        <v>0</v>
      </c>
      <c r="H260" s="176">
        <f>$M$12</f>
        <v>0.18</v>
      </c>
      <c r="I260" s="264">
        <f>'27'!$J$36</f>
        <v>0</v>
      </c>
      <c r="J260" s="177">
        <f t="shared" si="87"/>
        <v>0</v>
      </c>
      <c r="K260" s="178"/>
    </row>
    <row r="261" spans="2:11" ht="13.8" x14ac:dyDescent="0.25">
      <c r="B261" s="62"/>
      <c r="C261" s="81" t="s">
        <v>123</v>
      </c>
      <c r="D261" s="82">
        <v>1</v>
      </c>
      <c r="E261" s="83" t="s">
        <v>15</v>
      </c>
      <c r="F261" s="73">
        <f t="shared" si="85"/>
        <v>0</v>
      </c>
      <c r="G261" s="74">
        <f>F261*D261</f>
        <v>0</v>
      </c>
      <c r="H261" s="110">
        <f>$M$10</f>
        <v>0.25</v>
      </c>
      <c r="I261" s="265">
        <f>'27'!$J$43</f>
        <v>0</v>
      </c>
      <c r="J261" s="75">
        <f>I261*D261</f>
        <v>0</v>
      </c>
      <c r="K261" s="84"/>
    </row>
    <row r="262" spans="2:11" ht="14.4" thickBot="1" x14ac:dyDescent="0.3">
      <c r="B262" s="62"/>
      <c r="C262" s="165" t="s">
        <v>120</v>
      </c>
      <c r="D262" s="85">
        <v>1</v>
      </c>
      <c r="E262" s="166" t="s">
        <v>15</v>
      </c>
      <c r="F262" s="167">
        <f t="shared" si="85"/>
        <v>0</v>
      </c>
      <c r="G262" s="168">
        <f>F262*D262</f>
        <v>0</v>
      </c>
      <c r="H262" s="169">
        <f>$M$13</f>
        <v>0.18</v>
      </c>
      <c r="I262" s="266">
        <f>'27'!$J$50</f>
        <v>0</v>
      </c>
      <c r="J262" s="170">
        <f>I262*D262</f>
        <v>0</v>
      </c>
      <c r="K262" s="171"/>
    </row>
    <row r="263" spans="2:11" ht="14.4" hidden="1" thickBot="1" x14ac:dyDescent="0.3">
      <c r="B263" s="44"/>
      <c r="C263" s="106"/>
      <c r="D263" s="94"/>
      <c r="E263" s="95"/>
      <c r="F263" s="107"/>
      <c r="G263" s="108"/>
      <c r="H263" s="101"/>
      <c r="I263" s="102"/>
      <c r="J263" s="109"/>
      <c r="K263" s="104"/>
    </row>
    <row r="264" spans="2:11" ht="28.2" thickBot="1" x14ac:dyDescent="0.3">
      <c r="B264" s="12">
        <v>28</v>
      </c>
      <c r="C264" s="197" t="str">
        <f>'Bid Summary'!F31</f>
        <v xml:space="preserve">Magnolia Avenue Crossing – 58-inch Steel Casing Pipe/42-inch Steel Carrier Pipe (Cathodic Protection System) </v>
      </c>
      <c r="D264" s="118" t="s">
        <v>92</v>
      </c>
      <c r="E264" s="118" t="s">
        <v>9</v>
      </c>
      <c r="F264" s="118" t="s">
        <v>93</v>
      </c>
      <c r="G264" s="119">
        <f>SUM(G265:G272)</f>
        <v>43600</v>
      </c>
      <c r="H264" s="120"/>
      <c r="I264" s="121"/>
      <c r="J264" s="148">
        <f>SUM(J265:J272)</f>
        <v>34329.599999999999</v>
      </c>
      <c r="K264" s="122"/>
    </row>
    <row r="265" spans="2:11" ht="13.8" x14ac:dyDescent="0.25">
      <c r="B265" s="111"/>
      <c r="C265" s="71" t="s">
        <v>109</v>
      </c>
      <c r="D265" s="77">
        <v>1</v>
      </c>
      <c r="E265" s="72" t="s">
        <v>15</v>
      </c>
      <c r="F265" s="73">
        <f t="shared" ref="F265:F271" si="88">CEILING(I265/(1-H265),100)</f>
        <v>17700</v>
      </c>
      <c r="G265" s="100">
        <f t="shared" ref="G265:G269" si="89">F265*D265</f>
        <v>17700</v>
      </c>
      <c r="H265" s="123">
        <f>$M$9</f>
        <v>0.18</v>
      </c>
      <c r="I265" s="260">
        <f>'28'!$J$4</f>
        <v>14479.1</v>
      </c>
      <c r="J265" s="103">
        <f t="shared" ref="J265:J269" si="90">I265*D265</f>
        <v>14479.1</v>
      </c>
      <c r="K265" s="124"/>
    </row>
    <row r="266" spans="2:11" ht="13.8" x14ac:dyDescent="0.25">
      <c r="B266" s="4"/>
      <c r="C266" s="68" t="s">
        <v>112</v>
      </c>
      <c r="D266" s="77">
        <v>1</v>
      </c>
      <c r="E266" s="69" t="s">
        <v>15</v>
      </c>
      <c r="F266" s="271">
        <f t="shared" si="88"/>
        <v>17200</v>
      </c>
      <c r="G266" s="74">
        <f t="shared" si="89"/>
        <v>17200</v>
      </c>
      <c r="H266" s="91">
        <f>$M$10</f>
        <v>0.25</v>
      </c>
      <c r="I266" s="261">
        <f>'28'!$J$15</f>
        <v>12900</v>
      </c>
      <c r="J266" s="75">
        <f t="shared" si="90"/>
        <v>12900</v>
      </c>
      <c r="K266" s="70"/>
    </row>
    <row r="267" spans="2:11" ht="13.8" x14ac:dyDescent="0.25">
      <c r="B267" s="4"/>
      <c r="C267" s="179" t="s">
        <v>116</v>
      </c>
      <c r="D267" s="77">
        <v>1</v>
      </c>
      <c r="E267" s="180" t="s">
        <v>15</v>
      </c>
      <c r="F267" s="181">
        <f t="shared" si="88"/>
        <v>2200</v>
      </c>
      <c r="G267" s="182">
        <f t="shared" si="89"/>
        <v>2200</v>
      </c>
      <c r="H267" s="183">
        <f>$M$12</f>
        <v>0.18</v>
      </c>
      <c r="I267" s="262">
        <f>'28'!$J$22</f>
        <v>1800</v>
      </c>
      <c r="J267" s="184">
        <f t="shared" si="90"/>
        <v>1800</v>
      </c>
      <c r="K267" s="185"/>
    </row>
    <row r="268" spans="2:11" ht="13.8" x14ac:dyDescent="0.25">
      <c r="B268" s="4"/>
      <c r="C268" s="78" t="s">
        <v>136</v>
      </c>
      <c r="D268" s="77">
        <v>1</v>
      </c>
      <c r="E268" s="79" t="s">
        <v>15</v>
      </c>
      <c r="F268" s="151">
        <f t="shared" si="88"/>
        <v>0</v>
      </c>
      <c r="G268" s="152">
        <f t="shared" si="89"/>
        <v>0</v>
      </c>
      <c r="H268" s="92">
        <f>$M$11</f>
        <v>0.18</v>
      </c>
      <c r="I268" s="263">
        <f>'28'!$J$29</f>
        <v>0</v>
      </c>
      <c r="J268" s="150">
        <f t="shared" si="90"/>
        <v>0</v>
      </c>
      <c r="K268" s="80"/>
    </row>
    <row r="269" spans="2:11" ht="13.8" x14ac:dyDescent="0.25">
      <c r="B269" s="4"/>
      <c r="C269" s="172" t="s">
        <v>121</v>
      </c>
      <c r="D269" s="77">
        <v>1</v>
      </c>
      <c r="E269" s="173" t="s">
        <v>15</v>
      </c>
      <c r="F269" s="174">
        <f t="shared" si="88"/>
        <v>4100</v>
      </c>
      <c r="G269" s="175">
        <f t="shared" si="89"/>
        <v>4100</v>
      </c>
      <c r="H269" s="176">
        <f>$M$12</f>
        <v>0.18</v>
      </c>
      <c r="I269" s="264">
        <f>'28'!$J$36</f>
        <v>3350.5</v>
      </c>
      <c r="J269" s="177">
        <f t="shared" si="90"/>
        <v>3350.5</v>
      </c>
      <c r="K269" s="178"/>
    </row>
    <row r="270" spans="2:11" ht="13.8" x14ac:dyDescent="0.25">
      <c r="B270" s="62"/>
      <c r="C270" s="81" t="s">
        <v>123</v>
      </c>
      <c r="D270" s="82">
        <v>1</v>
      </c>
      <c r="E270" s="83" t="s">
        <v>15</v>
      </c>
      <c r="F270" s="73">
        <f t="shared" si="88"/>
        <v>2400</v>
      </c>
      <c r="G270" s="74">
        <f>F270*D270</f>
        <v>2400</v>
      </c>
      <c r="H270" s="110">
        <f>$M$10</f>
        <v>0.25</v>
      </c>
      <c r="I270" s="265">
        <f>'28'!$J$43</f>
        <v>1800</v>
      </c>
      <c r="J270" s="75">
        <f>I270*D270</f>
        <v>1800</v>
      </c>
      <c r="K270" s="84"/>
    </row>
    <row r="271" spans="2:11" ht="14.4" thickBot="1" x14ac:dyDescent="0.3">
      <c r="B271" s="62"/>
      <c r="C271" s="165" t="s">
        <v>120</v>
      </c>
      <c r="D271" s="85">
        <v>1</v>
      </c>
      <c r="E271" s="166" t="s">
        <v>15</v>
      </c>
      <c r="F271" s="167">
        <f t="shared" si="88"/>
        <v>0</v>
      </c>
      <c r="G271" s="168">
        <f>F271*D271</f>
        <v>0</v>
      </c>
      <c r="H271" s="169">
        <f>$M$13</f>
        <v>0.18</v>
      </c>
      <c r="I271" s="266">
        <f>'28'!$J$50</f>
        <v>0</v>
      </c>
      <c r="J271" s="170">
        <f>I271*D271</f>
        <v>0</v>
      </c>
      <c r="K271" s="171"/>
    </row>
    <row r="272" spans="2:11" ht="14.4" hidden="1" thickBot="1" x14ac:dyDescent="0.3">
      <c r="B272" s="105"/>
      <c r="C272" s="106"/>
      <c r="D272" s="94"/>
      <c r="E272" s="95"/>
      <c r="F272" s="107"/>
      <c r="G272" s="108"/>
      <c r="H272" s="101"/>
      <c r="I272" s="102"/>
      <c r="J272" s="109"/>
      <c r="K272" s="104"/>
    </row>
    <row r="273" spans="2:11" ht="14.4" thickBot="1" x14ac:dyDescent="0.3">
      <c r="B273" s="12">
        <v>29</v>
      </c>
      <c r="C273" s="197" t="str">
        <f>'Bid Summary'!F32</f>
        <v xml:space="preserve">Valve Cathodic Protection (Lat DE) </v>
      </c>
      <c r="D273" s="118" t="s">
        <v>92</v>
      </c>
      <c r="E273" s="118" t="s">
        <v>9</v>
      </c>
      <c r="F273" s="118" t="s">
        <v>93</v>
      </c>
      <c r="G273" s="119">
        <f>SUM(G274:G281)</f>
        <v>35600</v>
      </c>
      <c r="H273" s="120"/>
      <c r="I273" s="121"/>
      <c r="J273" s="148">
        <f>SUM(J274:J281)</f>
        <v>28113.8</v>
      </c>
      <c r="K273" s="122"/>
    </row>
    <row r="274" spans="2:11" ht="13.8" x14ac:dyDescent="0.25">
      <c r="B274" s="111"/>
      <c r="C274" s="71" t="s">
        <v>109</v>
      </c>
      <c r="D274" s="77">
        <v>1</v>
      </c>
      <c r="E274" s="72" t="s">
        <v>15</v>
      </c>
      <c r="F274" s="73">
        <f t="shared" ref="F274:F280" si="91">CEILING(I274/(1-H274),100)</f>
        <v>20100</v>
      </c>
      <c r="G274" s="100">
        <f t="shared" ref="G274:G278" si="92">F274*D274</f>
        <v>20100</v>
      </c>
      <c r="H274" s="123">
        <f>$M$9</f>
        <v>0.18</v>
      </c>
      <c r="I274" s="260">
        <f>'29'!$J$4</f>
        <v>16413.8</v>
      </c>
      <c r="J274" s="103">
        <f t="shared" ref="J274:J278" si="93">I274*D274</f>
        <v>16413.8</v>
      </c>
      <c r="K274" s="124"/>
    </row>
    <row r="275" spans="2:11" ht="13.8" x14ac:dyDescent="0.25">
      <c r="B275" s="4"/>
      <c r="C275" s="68" t="s">
        <v>112</v>
      </c>
      <c r="D275" s="77">
        <v>1</v>
      </c>
      <c r="E275" s="69" t="s">
        <v>15</v>
      </c>
      <c r="F275" s="271">
        <f t="shared" si="91"/>
        <v>14000</v>
      </c>
      <c r="G275" s="74">
        <f t="shared" si="92"/>
        <v>14000</v>
      </c>
      <c r="H275" s="91">
        <f>$M$10</f>
        <v>0.25</v>
      </c>
      <c r="I275" s="261">
        <f>'29'!$J$15</f>
        <v>10500</v>
      </c>
      <c r="J275" s="75">
        <f t="shared" si="93"/>
        <v>10500</v>
      </c>
      <c r="K275" s="70"/>
    </row>
    <row r="276" spans="2:11" ht="13.8" x14ac:dyDescent="0.25">
      <c r="B276" s="4"/>
      <c r="C276" s="179" t="s">
        <v>116</v>
      </c>
      <c r="D276" s="77">
        <v>1</v>
      </c>
      <c r="E276" s="180" t="s">
        <v>15</v>
      </c>
      <c r="F276" s="181">
        <f t="shared" si="91"/>
        <v>1500</v>
      </c>
      <c r="G276" s="182">
        <f t="shared" si="92"/>
        <v>1500</v>
      </c>
      <c r="H276" s="183">
        <f>$M$12</f>
        <v>0.18</v>
      </c>
      <c r="I276" s="262">
        <f>'29'!$J$22</f>
        <v>1200</v>
      </c>
      <c r="J276" s="184">
        <f t="shared" si="93"/>
        <v>1200</v>
      </c>
      <c r="K276" s="185"/>
    </row>
    <row r="277" spans="2:11" ht="13.8" x14ac:dyDescent="0.25">
      <c r="B277" s="4"/>
      <c r="C277" s="78" t="s">
        <v>136</v>
      </c>
      <c r="D277" s="77">
        <v>1</v>
      </c>
      <c r="E277" s="79" t="s">
        <v>15</v>
      </c>
      <c r="F277" s="151">
        <f t="shared" si="91"/>
        <v>0</v>
      </c>
      <c r="G277" s="152">
        <f t="shared" si="92"/>
        <v>0</v>
      </c>
      <c r="H277" s="92">
        <f>$M$11</f>
        <v>0.18</v>
      </c>
      <c r="I277" s="263">
        <f>'29'!$J$29</f>
        <v>0</v>
      </c>
      <c r="J277" s="150">
        <f t="shared" si="93"/>
        <v>0</v>
      </c>
      <c r="K277" s="80"/>
    </row>
    <row r="278" spans="2:11" ht="13.8" x14ac:dyDescent="0.25">
      <c r="B278" s="4"/>
      <c r="C278" s="172" t="s">
        <v>121</v>
      </c>
      <c r="D278" s="77">
        <v>1</v>
      </c>
      <c r="E278" s="173" t="s">
        <v>15</v>
      </c>
      <c r="F278" s="174">
        <f t="shared" si="91"/>
        <v>0</v>
      </c>
      <c r="G278" s="175">
        <f t="shared" si="92"/>
        <v>0</v>
      </c>
      <c r="H278" s="176">
        <f>$M$12</f>
        <v>0.18</v>
      </c>
      <c r="I278" s="264">
        <f>'29'!$J$36</f>
        <v>0</v>
      </c>
      <c r="J278" s="177">
        <f t="shared" si="93"/>
        <v>0</v>
      </c>
      <c r="K278" s="178"/>
    </row>
    <row r="279" spans="2:11" ht="13.8" x14ac:dyDescent="0.25">
      <c r="B279" s="62"/>
      <c r="C279" s="81" t="s">
        <v>123</v>
      </c>
      <c r="D279" s="82">
        <v>1</v>
      </c>
      <c r="E279" s="83" t="s">
        <v>15</v>
      </c>
      <c r="F279" s="73">
        <f t="shared" si="91"/>
        <v>0</v>
      </c>
      <c r="G279" s="74">
        <f>F279*D279</f>
        <v>0</v>
      </c>
      <c r="H279" s="110">
        <f>$M$10</f>
        <v>0.25</v>
      </c>
      <c r="I279" s="265">
        <f>'29'!$J$43</f>
        <v>0</v>
      </c>
      <c r="J279" s="75">
        <f>I279*D279</f>
        <v>0</v>
      </c>
      <c r="K279" s="84"/>
    </row>
    <row r="280" spans="2:11" ht="14.4" thickBot="1" x14ac:dyDescent="0.3">
      <c r="B280" s="62"/>
      <c r="C280" s="165" t="s">
        <v>120</v>
      </c>
      <c r="D280" s="85">
        <v>1</v>
      </c>
      <c r="E280" s="166" t="s">
        <v>15</v>
      </c>
      <c r="F280" s="167">
        <f t="shared" si="91"/>
        <v>0</v>
      </c>
      <c r="G280" s="168">
        <f>F280*D280</f>
        <v>0</v>
      </c>
      <c r="H280" s="169">
        <f>$M$13</f>
        <v>0.18</v>
      </c>
      <c r="I280" s="266">
        <f>'29'!$J$50</f>
        <v>0</v>
      </c>
      <c r="J280" s="170">
        <f>I280*D280</f>
        <v>0</v>
      </c>
      <c r="K280" s="171"/>
    </row>
    <row r="281" spans="2:11" ht="14.4" hidden="1" thickBot="1" x14ac:dyDescent="0.3">
      <c r="B281" s="44"/>
      <c r="C281" s="106"/>
      <c r="D281" s="94"/>
      <c r="E281" s="95"/>
      <c r="F281" s="107"/>
      <c r="G281" s="108"/>
      <c r="H281" s="101"/>
      <c r="I281" s="102"/>
      <c r="J281" s="109"/>
      <c r="K281" s="104"/>
    </row>
    <row r="282" spans="2:11" ht="14.4" thickBot="1" x14ac:dyDescent="0.3">
      <c r="B282" s="12">
        <v>30</v>
      </c>
      <c r="C282" s="197" t="str">
        <f>'Bid Summary'!F33</f>
        <v xml:space="preserve">Valve Cathodic Protection Test Station (Lat DE) </v>
      </c>
      <c r="D282" s="118" t="s">
        <v>92</v>
      </c>
      <c r="E282" s="118" t="s">
        <v>9</v>
      </c>
      <c r="F282" s="118" t="s">
        <v>93</v>
      </c>
      <c r="G282" s="119">
        <f>SUM(G283:G290)</f>
        <v>43200</v>
      </c>
      <c r="H282" s="120"/>
      <c r="I282" s="121"/>
      <c r="J282" s="148">
        <f>SUM(J283:J290)</f>
        <v>33913.800000000003</v>
      </c>
      <c r="K282" s="122"/>
    </row>
    <row r="283" spans="2:11" ht="13.8" x14ac:dyDescent="0.25">
      <c r="B283" s="111"/>
      <c r="C283" s="71" t="s">
        <v>109</v>
      </c>
      <c r="D283" s="77">
        <v>1</v>
      </c>
      <c r="E283" s="72" t="s">
        <v>15</v>
      </c>
      <c r="F283" s="73">
        <f t="shared" ref="F283:F289" si="94">CEILING(I283/(1-H283),100)</f>
        <v>20100</v>
      </c>
      <c r="G283" s="100">
        <f t="shared" ref="G283:G287" si="95">F283*D283</f>
        <v>20100</v>
      </c>
      <c r="H283" s="123">
        <f>$M$9</f>
        <v>0.18</v>
      </c>
      <c r="I283" s="260">
        <f>'30'!$J$4</f>
        <v>16413.8</v>
      </c>
      <c r="J283" s="103">
        <f t="shared" ref="J283:J287" si="96">I283*D283</f>
        <v>16413.8</v>
      </c>
      <c r="K283" s="124"/>
    </row>
    <row r="284" spans="2:11" ht="13.8" x14ac:dyDescent="0.25">
      <c r="B284" s="4"/>
      <c r="C284" s="68" t="s">
        <v>112</v>
      </c>
      <c r="D284" s="77">
        <v>1</v>
      </c>
      <c r="E284" s="69" t="s">
        <v>15</v>
      </c>
      <c r="F284" s="271">
        <f t="shared" si="94"/>
        <v>18200</v>
      </c>
      <c r="G284" s="74">
        <f t="shared" si="95"/>
        <v>18200</v>
      </c>
      <c r="H284" s="91">
        <f>$M$10</f>
        <v>0.25</v>
      </c>
      <c r="I284" s="261">
        <f>'30'!$J$15</f>
        <v>13600</v>
      </c>
      <c r="J284" s="75">
        <f t="shared" si="96"/>
        <v>13600</v>
      </c>
      <c r="K284" s="70"/>
    </row>
    <row r="285" spans="2:11" ht="13.8" x14ac:dyDescent="0.25">
      <c r="B285" s="4"/>
      <c r="C285" s="179" t="s">
        <v>116</v>
      </c>
      <c r="D285" s="77">
        <v>1</v>
      </c>
      <c r="E285" s="180" t="s">
        <v>15</v>
      </c>
      <c r="F285" s="181">
        <f t="shared" si="94"/>
        <v>3700</v>
      </c>
      <c r="G285" s="182">
        <f t="shared" si="95"/>
        <v>3700</v>
      </c>
      <c r="H285" s="183">
        <f>$M$12</f>
        <v>0.18</v>
      </c>
      <c r="I285" s="262">
        <f>'30'!$J$22</f>
        <v>3000</v>
      </c>
      <c r="J285" s="184">
        <f t="shared" si="96"/>
        <v>3000</v>
      </c>
      <c r="K285" s="185"/>
    </row>
    <row r="286" spans="2:11" ht="13.8" x14ac:dyDescent="0.25">
      <c r="B286" s="4"/>
      <c r="C286" s="78" t="s">
        <v>136</v>
      </c>
      <c r="D286" s="77">
        <v>1</v>
      </c>
      <c r="E286" s="79" t="s">
        <v>15</v>
      </c>
      <c r="F286" s="151">
        <f t="shared" si="94"/>
        <v>0</v>
      </c>
      <c r="G286" s="152">
        <f t="shared" si="95"/>
        <v>0</v>
      </c>
      <c r="H286" s="92">
        <f>$M$11</f>
        <v>0.18</v>
      </c>
      <c r="I286" s="263">
        <f>'30'!$J$29</f>
        <v>0</v>
      </c>
      <c r="J286" s="150">
        <f t="shared" si="96"/>
        <v>0</v>
      </c>
      <c r="K286" s="80"/>
    </row>
    <row r="287" spans="2:11" ht="13.8" x14ac:dyDescent="0.25">
      <c r="B287" s="4"/>
      <c r="C287" s="172" t="s">
        <v>121</v>
      </c>
      <c r="D287" s="77">
        <v>1</v>
      </c>
      <c r="E287" s="173" t="s">
        <v>15</v>
      </c>
      <c r="F287" s="174">
        <f t="shared" si="94"/>
        <v>0</v>
      </c>
      <c r="G287" s="175">
        <f t="shared" si="95"/>
        <v>0</v>
      </c>
      <c r="H287" s="176">
        <f>$M$12</f>
        <v>0.18</v>
      </c>
      <c r="I287" s="264">
        <f>'30'!$J$36</f>
        <v>0</v>
      </c>
      <c r="J287" s="177">
        <f t="shared" si="96"/>
        <v>0</v>
      </c>
      <c r="K287" s="178"/>
    </row>
    <row r="288" spans="2:11" ht="13.8" x14ac:dyDescent="0.25">
      <c r="B288" s="62"/>
      <c r="C288" s="81" t="s">
        <v>123</v>
      </c>
      <c r="D288" s="82">
        <v>1</v>
      </c>
      <c r="E288" s="83" t="s">
        <v>15</v>
      </c>
      <c r="F288" s="73">
        <f t="shared" si="94"/>
        <v>1200</v>
      </c>
      <c r="G288" s="74">
        <f>F288*D288</f>
        <v>1200</v>
      </c>
      <c r="H288" s="110">
        <f>$M$10</f>
        <v>0.25</v>
      </c>
      <c r="I288" s="265">
        <f>'30'!$J$43</f>
        <v>900</v>
      </c>
      <c r="J288" s="75">
        <f>I288*D288</f>
        <v>900</v>
      </c>
      <c r="K288" s="84"/>
    </row>
    <row r="289" spans="2:11" ht="14.4" thickBot="1" x14ac:dyDescent="0.3">
      <c r="B289" s="62"/>
      <c r="C289" s="165" t="s">
        <v>120</v>
      </c>
      <c r="D289" s="85">
        <v>1</v>
      </c>
      <c r="E289" s="166" t="s">
        <v>15</v>
      </c>
      <c r="F289" s="167">
        <f t="shared" si="94"/>
        <v>0</v>
      </c>
      <c r="G289" s="168">
        <f>F289*D289</f>
        <v>0</v>
      </c>
      <c r="H289" s="169">
        <f>$M$13</f>
        <v>0.18</v>
      </c>
      <c r="I289" s="266">
        <f>'30'!$J$50</f>
        <v>0</v>
      </c>
      <c r="J289" s="170">
        <f>I289*D289</f>
        <v>0</v>
      </c>
      <c r="K289" s="171"/>
    </row>
    <row r="290" spans="2:11" ht="14.4" hidden="1" thickBot="1" x14ac:dyDescent="0.3">
      <c r="B290" s="105"/>
      <c r="C290" s="106"/>
      <c r="D290" s="94"/>
      <c r="E290" s="95"/>
      <c r="F290" s="107"/>
      <c r="G290" s="108"/>
      <c r="H290" s="101"/>
      <c r="I290" s="102"/>
      <c r="J290" s="109"/>
      <c r="K290" s="104"/>
    </row>
    <row r="291" spans="2:11" ht="14.4" thickBot="1" x14ac:dyDescent="0.3">
      <c r="B291" s="12">
        <v>31</v>
      </c>
      <c r="C291" s="197" t="str">
        <f>'Bid Summary'!F34</f>
        <v xml:space="preserve">Flange Insulation Kits (Lat DE and Lat DE-1) </v>
      </c>
      <c r="D291" s="118" t="s">
        <v>92</v>
      </c>
      <c r="E291" s="118" t="s">
        <v>9</v>
      </c>
      <c r="F291" s="118" t="s">
        <v>93</v>
      </c>
      <c r="G291" s="119">
        <f>SUM(G292:G299)</f>
        <v>17600</v>
      </c>
      <c r="H291" s="120"/>
      <c r="I291" s="121"/>
      <c r="J291" s="148">
        <f>SUM(J292:J299)</f>
        <v>13460.5</v>
      </c>
      <c r="K291" s="122"/>
    </row>
    <row r="292" spans="2:11" ht="13.8" x14ac:dyDescent="0.25">
      <c r="B292" s="111"/>
      <c r="C292" s="71" t="s">
        <v>109</v>
      </c>
      <c r="D292" s="77">
        <v>1</v>
      </c>
      <c r="E292" s="72" t="s">
        <v>15</v>
      </c>
      <c r="F292" s="73">
        <f t="shared" ref="F292:F298" si="97">CEILING(I292/(1-H292),100)</f>
        <v>4800</v>
      </c>
      <c r="G292" s="100">
        <f t="shared" ref="G292:G296" si="98">F292*D292</f>
        <v>4800</v>
      </c>
      <c r="H292" s="123">
        <f>$M$9</f>
        <v>0.18</v>
      </c>
      <c r="I292" s="260">
        <f>'31'!$J$4</f>
        <v>3860.5</v>
      </c>
      <c r="J292" s="103">
        <f t="shared" ref="J292:J296" si="99">I292*D292</f>
        <v>3860.5</v>
      </c>
      <c r="K292" s="124"/>
    </row>
    <row r="293" spans="2:11" ht="13.8" x14ac:dyDescent="0.25">
      <c r="B293" s="4"/>
      <c r="C293" s="68" t="s">
        <v>112</v>
      </c>
      <c r="D293" s="77">
        <v>1</v>
      </c>
      <c r="E293" s="69" t="s">
        <v>15</v>
      </c>
      <c r="F293" s="271">
        <f t="shared" si="97"/>
        <v>12800</v>
      </c>
      <c r="G293" s="74">
        <f t="shared" si="98"/>
        <v>12800</v>
      </c>
      <c r="H293" s="91">
        <f>$M$10</f>
        <v>0.25</v>
      </c>
      <c r="I293" s="261">
        <f>'31'!$J$15</f>
        <v>9600</v>
      </c>
      <c r="J293" s="75">
        <f t="shared" si="99"/>
        <v>9600</v>
      </c>
      <c r="K293" s="70"/>
    </row>
    <row r="294" spans="2:11" ht="13.8" x14ac:dyDescent="0.25">
      <c r="B294" s="4"/>
      <c r="C294" s="179" t="s">
        <v>116</v>
      </c>
      <c r="D294" s="77">
        <v>1</v>
      </c>
      <c r="E294" s="180" t="s">
        <v>15</v>
      </c>
      <c r="F294" s="181">
        <f t="shared" si="97"/>
        <v>0</v>
      </c>
      <c r="G294" s="182">
        <f t="shared" si="98"/>
        <v>0</v>
      </c>
      <c r="H294" s="183">
        <f>$M$12</f>
        <v>0.18</v>
      </c>
      <c r="I294" s="262">
        <f>'31'!$J$22</f>
        <v>0</v>
      </c>
      <c r="J294" s="184">
        <f t="shared" si="99"/>
        <v>0</v>
      </c>
      <c r="K294" s="185"/>
    </row>
    <row r="295" spans="2:11" ht="13.8" x14ac:dyDescent="0.25">
      <c r="B295" s="4"/>
      <c r="C295" s="78" t="s">
        <v>136</v>
      </c>
      <c r="D295" s="77">
        <v>1</v>
      </c>
      <c r="E295" s="79" t="s">
        <v>15</v>
      </c>
      <c r="F295" s="151">
        <f t="shared" si="97"/>
        <v>0</v>
      </c>
      <c r="G295" s="152">
        <f t="shared" si="98"/>
        <v>0</v>
      </c>
      <c r="H295" s="92">
        <f>$M$11</f>
        <v>0.18</v>
      </c>
      <c r="I295" s="263">
        <f>'31'!$J$29</f>
        <v>0</v>
      </c>
      <c r="J295" s="150">
        <f t="shared" si="99"/>
        <v>0</v>
      </c>
      <c r="K295" s="80"/>
    </row>
    <row r="296" spans="2:11" ht="13.8" x14ac:dyDescent="0.25">
      <c r="B296" s="4"/>
      <c r="C296" s="172" t="s">
        <v>121</v>
      </c>
      <c r="D296" s="77">
        <v>1</v>
      </c>
      <c r="E296" s="173" t="s">
        <v>15</v>
      </c>
      <c r="F296" s="174">
        <f t="shared" si="97"/>
        <v>0</v>
      </c>
      <c r="G296" s="175">
        <f t="shared" si="98"/>
        <v>0</v>
      </c>
      <c r="H296" s="176">
        <f>$M$12</f>
        <v>0.18</v>
      </c>
      <c r="I296" s="264">
        <f>'31'!$J$36</f>
        <v>0</v>
      </c>
      <c r="J296" s="177">
        <f t="shared" si="99"/>
        <v>0</v>
      </c>
      <c r="K296" s="178"/>
    </row>
    <row r="297" spans="2:11" ht="13.8" x14ac:dyDescent="0.25">
      <c r="B297" s="62"/>
      <c r="C297" s="81" t="s">
        <v>123</v>
      </c>
      <c r="D297" s="82">
        <v>1</v>
      </c>
      <c r="E297" s="83" t="s">
        <v>15</v>
      </c>
      <c r="F297" s="73">
        <f t="shared" si="97"/>
        <v>0</v>
      </c>
      <c r="G297" s="74">
        <f>F297*D297</f>
        <v>0</v>
      </c>
      <c r="H297" s="110">
        <f>$M$10</f>
        <v>0.25</v>
      </c>
      <c r="I297" s="265">
        <f>'31'!$J$43</f>
        <v>0</v>
      </c>
      <c r="J297" s="75">
        <f>I297*D297</f>
        <v>0</v>
      </c>
      <c r="K297" s="84"/>
    </row>
    <row r="298" spans="2:11" ht="14.4" thickBot="1" x14ac:dyDescent="0.3">
      <c r="B298" s="62"/>
      <c r="C298" s="165" t="s">
        <v>120</v>
      </c>
      <c r="D298" s="85">
        <v>1</v>
      </c>
      <c r="E298" s="166" t="s">
        <v>15</v>
      </c>
      <c r="F298" s="167">
        <f t="shared" si="97"/>
        <v>0</v>
      </c>
      <c r="G298" s="168">
        <f>F298*D298</f>
        <v>0</v>
      </c>
      <c r="H298" s="169">
        <f>$M$13</f>
        <v>0.18</v>
      </c>
      <c r="I298" s="266">
        <f>'31'!$J$50</f>
        <v>0</v>
      </c>
      <c r="J298" s="170">
        <f>I298*D298</f>
        <v>0</v>
      </c>
      <c r="K298" s="171"/>
    </row>
    <row r="299" spans="2:11" ht="14.4" hidden="1" thickBot="1" x14ac:dyDescent="0.3">
      <c r="B299" s="44"/>
      <c r="C299" s="106"/>
      <c r="D299" s="94"/>
      <c r="E299" s="95"/>
      <c r="F299" s="107"/>
      <c r="G299" s="108"/>
      <c r="H299" s="101"/>
      <c r="I299" s="102"/>
      <c r="J299" s="109"/>
      <c r="K299" s="104"/>
    </row>
    <row r="300" spans="2:11" ht="14.4" thickBot="1" x14ac:dyDescent="0.3">
      <c r="B300" s="12">
        <v>32</v>
      </c>
      <c r="C300" s="197" t="str">
        <f>'Bid Summary'!F35</f>
        <v>Flange Insulation Cathodic Protection Test Station (Lat DE)</v>
      </c>
      <c r="D300" s="118" t="s">
        <v>92</v>
      </c>
      <c r="E300" s="118" t="s">
        <v>9</v>
      </c>
      <c r="F300" s="118" t="s">
        <v>93</v>
      </c>
      <c r="G300" s="119">
        <f>SUM(G301:G308)</f>
        <v>86600</v>
      </c>
      <c r="H300" s="120"/>
      <c r="I300" s="121"/>
      <c r="J300" s="148">
        <f>SUM(J301:J308)</f>
        <v>67896.959999999992</v>
      </c>
      <c r="K300" s="122"/>
    </row>
    <row r="301" spans="2:11" ht="13.8" x14ac:dyDescent="0.25">
      <c r="B301" s="111"/>
      <c r="C301" s="71" t="s">
        <v>109</v>
      </c>
      <c r="D301" s="77">
        <v>1</v>
      </c>
      <c r="E301" s="72" t="s">
        <v>15</v>
      </c>
      <c r="F301" s="73">
        <f t="shared" ref="F301:F307" si="100">CEILING(I301/(1-H301),100)</f>
        <v>34000</v>
      </c>
      <c r="G301" s="100">
        <f t="shared" ref="G301:G305" si="101">F301*D301</f>
        <v>34000</v>
      </c>
      <c r="H301" s="123">
        <f>$M$9</f>
        <v>0.18</v>
      </c>
      <c r="I301" s="260">
        <f>'32'!$J$4</f>
        <v>27816.959999999999</v>
      </c>
      <c r="J301" s="103">
        <f t="shared" ref="J301:J305" si="102">I301*D301</f>
        <v>27816.959999999999</v>
      </c>
      <c r="K301" s="124"/>
    </row>
    <row r="302" spans="2:11" ht="13.8" x14ac:dyDescent="0.25">
      <c r="B302" s="4"/>
      <c r="C302" s="68" t="s">
        <v>112</v>
      </c>
      <c r="D302" s="77">
        <v>1</v>
      </c>
      <c r="E302" s="69" t="s">
        <v>15</v>
      </c>
      <c r="F302" s="271">
        <f t="shared" si="100"/>
        <v>43200</v>
      </c>
      <c r="G302" s="74">
        <f t="shared" si="101"/>
        <v>43200</v>
      </c>
      <c r="H302" s="91">
        <f>$M$10</f>
        <v>0.25</v>
      </c>
      <c r="I302" s="261">
        <f>'32'!$J$15</f>
        <v>32400</v>
      </c>
      <c r="J302" s="75">
        <f t="shared" si="102"/>
        <v>32400</v>
      </c>
      <c r="K302" s="70"/>
    </row>
    <row r="303" spans="2:11" ht="13.8" x14ac:dyDescent="0.25">
      <c r="B303" s="4"/>
      <c r="C303" s="179" t="s">
        <v>116</v>
      </c>
      <c r="D303" s="77">
        <v>1</v>
      </c>
      <c r="E303" s="180" t="s">
        <v>15</v>
      </c>
      <c r="F303" s="181">
        <f t="shared" si="100"/>
        <v>9400</v>
      </c>
      <c r="G303" s="182">
        <f t="shared" si="101"/>
        <v>9400</v>
      </c>
      <c r="H303" s="183">
        <f>$M$12</f>
        <v>0.18</v>
      </c>
      <c r="I303" s="262">
        <f>'32'!$J$22</f>
        <v>7680</v>
      </c>
      <c r="J303" s="184">
        <f t="shared" si="102"/>
        <v>7680</v>
      </c>
      <c r="K303" s="185"/>
    </row>
    <row r="304" spans="2:11" ht="13.8" x14ac:dyDescent="0.25">
      <c r="B304" s="4"/>
      <c r="C304" s="78" t="s">
        <v>136</v>
      </c>
      <c r="D304" s="77">
        <v>1</v>
      </c>
      <c r="E304" s="79" t="s">
        <v>15</v>
      </c>
      <c r="F304" s="151">
        <f t="shared" si="100"/>
        <v>0</v>
      </c>
      <c r="G304" s="152">
        <f t="shared" si="101"/>
        <v>0</v>
      </c>
      <c r="H304" s="92">
        <f>$M$11</f>
        <v>0.18</v>
      </c>
      <c r="I304" s="263">
        <f>'32'!$J$29</f>
        <v>0</v>
      </c>
      <c r="J304" s="150">
        <f t="shared" si="102"/>
        <v>0</v>
      </c>
      <c r="K304" s="80"/>
    </row>
    <row r="305" spans="2:11" ht="13.8" x14ac:dyDescent="0.25">
      <c r="B305" s="4"/>
      <c r="C305" s="172" t="s">
        <v>121</v>
      </c>
      <c r="D305" s="77">
        <v>1</v>
      </c>
      <c r="E305" s="173" t="s">
        <v>15</v>
      </c>
      <c r="F305" s="174">
        <f t="shared" si="100"/>
        <v>0</v>
      </c>
      <c r="G305" s="175">
        <f t="shared" si="101"/>
        <v>0</v>
      </c>
      <c r="H305" s="176">
        <f>$M$12</f>
        <v>0.18</v>
      </c>
      <c r="I305" s="264">
        <f>'32'!$J$36</f>
        <v>0</v>
      </c>
      <c r="J305" s="177">
        <f t="shared" si="102"/>
        <v>0</v>
      </c>
      <c r="K305" s="178"/>
    </row>
    <row r="306" spans="2:11" ht="13.8" x14ac:dyDescent="0.25">
      <c r="B306" s="62"/>
      <c r="C306" s="81" t="s">
        <v>123</v>
      </c>
      <c r="D306" s="82">
        <v>1</v>
      </c>
      <c r="E306" s="83" t="s">
        <v>15</v>
      </c>
      <c r="F306" s="73">
        <f t="shared" si="100"/>
        <v>0</v>
      </c>
      <c r="G306" s="74">
        <f>F306*D306</f>
        <v>0</v>
      </c>
      <c r="H306" s="110">
        <f>$M$10</f>
        <v>0.25</v>
      </c>
      <c r="I306" s="265">
        <f>'32'!$J$43</f>
        <v>0</v>
      </c>
      <c r="J306" s="75">
        <f>I306*D306</f>
        <v>0</v>
      </c>
      <c r="K306" s="84"/>
    </row>
    <row r="307" spans="2:11" ht="14.4" thickBot="1" x14ac:dyDescent="0.3">
      <c r="B307" s="62"/>
      <c r="C307" s="165" t="s">
        <v>120</v>
      </c>
      <c r="D307" s="85">
        <v>1</v>
      </c>
      <c r="E307" s="166" t="s">
        <v>15</v>
      </c>
      <c r="F307" s="167">
        <f t="shared" si="100"/>
        <v>0</v>
      </c>
      <c r="G307" s="168">
        <f>F307*D307</f>
        <v>0</v>
      </c>
      <c r="H307" s="169">
        <f>$M$13</f>
        <v>0.18</v>
      </c>
      <c r="I307" s="266">
        <f>'32'!$J$50</f>
        <v>0</v>
      </c>
      <c r="J307" s="170">
        <f>I307*D307</f>
        <v>0</v>
      </c>
      <c r="K307" s="171"/>
    </row>
    <row r="308" spans="2:11" ht="14.4" hidden="1" thickBot="1" x14ac:dyDescent="0.3">
      <c r="B308" s="105"/>
      <c r="C308" s="106"/>
      <c r="D308" s="94"/>
      <c r="E308" s="95"/>
      <c r="F308" s="107"/>
      <c r="G308" s="108"/>
      <c r="H308" s="101"/>
      <c r="I308" s="102"/>
      <c r="J308" s="109"/>
      <c r="K308" s="104"/>
    </row>
    <row r="309" spans="2:11" ht="14.4" thickBot="1" x14ac:dyDescent="0.3">
      <c r="B309" s="12">
        <v>33</v>
      </c>
      <c r="C309" s="197" t="str">
        <f>'Bid Summary'!F36</f>
        <v xml:space="preserve">Color Coded Marker Posts </v>
      </c>
      <c r="D309" s="118" t="s">
        <v>92</v>
      </c>
      <c r="E309" s="118" t="s">
        <v>9</v>
      </c>
      <c r="F309" s="118" t="s">
        <v>93</v>
      </c>
      <c r="G309" s="119">
        <f>SUM(G310:G317)</f>
        <v>25200</v>
      </c>
      <c r="H309" s="120"/>
      <c r="I309" s="121"/>
      <c r="J309" s="148">
        <f>SUM(J310:J317)</f>
        <v>19966.64</v>
      </c>
      <c r="K309" s="122"/>
    </row>
    <row r="310" spans="2:11" ht="13.8" x14ac:dyDescent="0.25">
      <c r="B310" s="111"/>
      <c r="C310" s="71" t="s">
        <v>109</v>
      </c>
      <c r="D310" s="77">
        <v>1</v>
      </c>
      <c r="E310" s="72" t="s">
        <v>15</v>
      </c>
      <c r="F310" s="73">
        <f t="shared" ref="F310:F316" si="103">CEILING(I310/(1-H310),100)</f>
        <v>12900</v>
      </c>
      <c r="G310" s="100">
        <f t="shared" ref="G310:G314" si="104">F310*D310</f>
        <v>12900</v>
      </c>
      <c r="H310" s="123">
        <f>$M$9</f>
        <v>0.18</v>
      </c>
      <c r="I310" s="260">
        <f>'33'!$J$4</f>
        <v>10558.44</v>
      </c>
      <c r="J310" s="103">
        <f t="shared" ref="J310:J314" si="105">I310*D310</f>
        <v>10558.44</v>
      </c>
      <c r="K310" s="124"/>
    </row>
    <row r="311" spans="2:11" ht="13.8" x14ac:dyDescent="0.25">
      <c r="B311" s="4"/>
      <c r="C311" s="68" t="s">
        <v>112</v>
      </c>
      <c r="D311" s="77">
        <v>1</v>
      </c>
      <c r="E311" s="69" t="s">
        <v>15</v>
      </c>
      <c r="F311" s="271">
        <f t="shared" si="103"/>
        <v>6600</v>
      </c>
      <c r="G311" s="74">
        <f t="shared" si="104"/>
        <v>6600</v>
      </c>
      <c r="H311" s="91">
        <f>$M$10</f>
        <v>0.25</v>
      </c>
      <c r="I311" s="261">
        <f>'33'!$J$15</f>
        <v>4908.2</v>
      </c>
      <c r="J311" s="75">
        <f t="shared" si="105"/>
        <v>4908.2</v>
      </c>
      <c r="K311" s="70"/>
    </row>
    <row r="312" spans="2:11" ht="13.8" x14ac:dyDescent="0.25">
      <c r="B312" s="4"/>
      <c r="C312" s="179" t="s">
        <v>116</v>
      </c>
      <c r="D312" s="77">
        <v>1</v>
      </c>
      <c r="E312" s="180" t="s">
        <v>15</v>
      </c>
      <c r="F312" s="181">
        <f t="shared" si="103"/>
        <v>3700</v>
      </c>
      <c r="G312" s="182">
        <f t="shared" si="104"/>
        <v>3700</v>
      </c>
      <c r="H312" s="183">
        <f>$M$12</f>
        <v>0.18</v>
      </c>
      <c r="I312" s="262">
        <f>'33'!$J$22</f>
        <v>3000</v>
      </c>
      <c r="J312" s="184">
        <f t="shared" si="105"/>
        <v>3000</v>
      </c>
      <c r="K312" s="185"/>
    </row>
    <row r="313" spans="2:11" ht="13.8" x14ac:dyDescent="0.25">
      <c r="B313" s="4"/>
      <c r="C313" s="78" t="s">
        <v>136</v>
      </c>
      <c r="D313" s="77">
        <v>1</v>
      </c>
      <c r="E313" s="79" t="s">
        <v>15</v>
      </c>
      <c r="F313" s="151">
        <f t="shared" si="103"/>
        <v>0</v>
      </c>
      <c r="G313" s="152">
        <f t="shared" si="104"/>
        <v>0</v>
      </c>
      <c r="H313" s="92">
        <f>$M$11</f>
        <v>0.18</v>
      </c>
      <c r="I313" s="263">
        <f>'33'!$J$29</f>
        <v>0</v>
      </c>
      <c r="J313" s="150">
        <f t="shared" si="105"/>
        <v>0</v>
      </c>
      <c r="K313" s="80"/>
    </row>
    <row r="314" spans="2:11" ht="13.8" x14ac:dyDescent="0.25">
      <c r="B314" s="4"/>
      <c r="C314" s="172" t="s">
        <v>121</v>
      </c>
      <c r="D314" s="77">
        <v>1</v>
      </c>
      <c r="E314" s="173" t="s">
        <v>15</v>
      </c>
      <c r="F314" s="174">
        <f t="shared" si="103"/>
        <v>0</v>
      </c>
      <c r="G314" s="175">
        <f t="shared" si="104"/>
        <v>0</v>
      </c>
      <c r="H314" s="176">
        <f>$M$12</f>
        <v>0.18</v>
      </c>
      <c r="I314" s="264">
        <f>'33'!$J$36</f>
        <v>0</v>
      </c>
      <c r="J314" s="177">
        <f t="shared" si="105"/>
        <v>0</v>
      </c>
      <c r="K314" s="178"/>
    </row>
    <row r="315" spans="2:11" ht="13.8" x14ac:dyDescent="0.25">
      <c r="B315" s="62"/>
      <c r="C315" s="81" t="s">
        <v>123</v>
      </c>
      <c r="D315" s="82">
        <v>1</v>
      </c>
      <c r="E315" s="83" t="s">
        <v>15</v>
      </c>
      <c r="F315" s="73">
        <f t="shared" si="103"/>
        <v>2000</v>
      </c>
      <c r="G315" s="74">
        <f>F315*D315</f>
        <v>2000</v>
      </c>
      <c r="H315" s="110">
        <f>$M$10</f>
        <v>0.25</v>
      </c>
      <c r="I315" s="265">
        <f>'33'!$J$43</f>
        <v>1500</v>
      </c>
      <c r="J315" s="75">
        <f>I315*D315</f>
        <v>1500</v>
      </c>
      <c r="K315" s="84"/>
    </row>
    <row r="316" spans="2:11" ht="14.4" thickBot="1" x14ac:dyDescent="0.3">
      <c r="B316" s="62"/>
      <c r="C316" s="165" t="s">
        <v>120</v>
      </c>
      <c r="D316" s="85">
        <v>1</v>
      </c>
      <c r="E316" s="166" t="s">
        <v>15</v>
      </c>
      <c r="F316" s="167">
        <f t="shared" si="103"/>
        <v>0</v>
      </c>
      <c r="G316" s="168">
        <f>F316*D316</f>
        <v>0</v>
      </c>
      <c r="H316" s="169">
        <f>$M$13</f>
        <v>0.18</v>
      </c>
      <c r="I316" s="266">
        <f>'33'!$J$50</f>
        <v>0</v>
      </c>
      <c r="J316" s="170">
        <f>I316*D316</f>
        <v>0</v>
      </c>
      <c r="K316" s="171"/>
    </row>
    <row r="317" spans="2:11" ht="14.4" hidden="1" thickBot="1" x14ac:dyDescent="0.3">
      <c r="B317" s="44"/>
      <c r="C317" s="106"/>
      <c r="D317" s="94"/>
      <c r="E317" s="95"/>
      <c r="F317" s="107"/>
      <c r="G317" s="108"/>
      <c r="H317" s="101"/>
      <c r="I317" s="102"/>
      <c r="J317" s="109"/>
      <c r="K317" s="104"/>
    </row>
    <row r="318" spans="2:11" ht="28.2" thickBot="1" x14ac:dyDescent="0.3">
      <c r="B318" s="12">
        <v>34</v>
      </c>
      <c r="C318" s="197" t="str">
        <f>'Bid Summary'!F37</f>
        <v xml:space="preserve">Hydrostatic Pressure Testing (30-inch Lateral DE-1-A and Connections) </v>
      </c>
      <c r="D318" s="118" t="s">
        <v>92</v>
      </c>
      <c r="E318" s="118" t="s">
        <v>9</v>
      </c>
      <c r="F318" s="118" t="s">
        <v>93</v>
      </c>
      <c r="G318" s="119">
        <f>SUM(G319:G326)</f>
        <v>55900</v>
      </c>
      <c r="H318" s="120"/>
      <c r="I318" s="121"/>
      <c r="J318" s="148">
        <f>SUM(J319:J326)</f>
        <v>45085.3</v>
      </c>
      <c r="K318" s="122"/>
    </row>
    <row r="319" spans="2:11" ht="13.8" x14ac:dyDescent="0.25">
      <c r="B319" s="111"/>
      <c r="C319" s="71" t="s">
        <v>109</v>
      </c>
      <c r="D319" s="77">
        <v>1</v>
      </c>
      <c r="E319" s="72" t="s">
        <v>15</v>
      </c>
      <c r="F319" s="73">
        <f t="shared" ref="F319:F325" si="106">CEILING(I319/(1-H319),100)</f>
        <v>42900</v>
      </c>
      <c r="G319" s="100">
        <f t="shared" ref="G319:G323" si="107">F319*D319</f>
        <v>42900</v>
      </c>
      <c r="H319" s="123">
        <f>$M$9</f>
        <v>0.18</v>
      </c>
      <c r="I319" s="260">
        <f>'34'!$J$4</f>
        <v>35112.800000000003</v>
      </c>
      <c r="J319" s="103">
        <f t="shared" ref="J319:J323" si="108">I319*D319</f>
        <v>35112.800000000003</v>
      </c>
      <c r="K319" s="124"/>
    </row>
    <row r="320" spans="2:11" ht="13.8" x14ac:dyDescent="0.25">
      <c r="B320" s="4"/>
      <c r="C320" s="68" t="s">
        <v>112</v>
      </c>
      <c r="D320" s="77">
        <v>1</v>
      </c>
      <c r="E320" s="69" t="s">
        <v>15</v>
      </c>
      <c r="F320" s="271">
        <f t="shared" si="106"/>
        <v>6700</v>
      </c>
      <c r="G320" s="74">
        <f t="shared" si="107"/>
        <v>6700</v>
      </c>
      <c r="H320" s="91">
        <f>$M$10</f>
        <v>0.25</v>
      </c>
      <c r="I320" s="261">
        <f>'34'!$J$15</f>
        <v>5000</v>
      </c>
      <c r="J320" s="75">
        <f t="shared" si="108"/>
        <v>5000</v>
      </c>
      <c r="K320" s="70"/>
    </row>
    <row r="321" spans="2:11" ht="13.8" x14ac:dyDescent="0.25">
      <c r="B321" s="4"/>
      <c r="C321" s="179" t="s">
        <v>116</v>
      </c>
      <c r="D321" s="77">
        <v>1</v>
      </c>
      <c r="E321" s="180" t="s">
        <v>15</v>
      </c>
      <c r="F321" s="181">
        <f t="shared" si="106"/>
        <v>0</v>
      </c>
      <c r="G321" s="182">
        <f t="shared" si="107"/>
        <v>0</v>
      </c>
      <c r="H321" s="183">
        <f>$M$12</f>
        <v>0.18</v>
      </c>
      <c r="I321" s="262">
        <f>'34'!$J$22</f>
        <v>0</v>
      </c>
      <c r="J321" s="184">
        <f t="shared" si="108"/>
        <v>0</v>
      </c>
      <c r="K321" s="185"/>
    </row>
    <row r="322" spans="2:11" ht="13.8" x14ac:dyDescent="0.25">
      <c r="B322" s="4"/>
      <c r="C322" s="78" t="s">
        <v>136</v>
      </c>
      <c r="D322" s="77">
        <v>1</v>
      </c>
      <c r="E322" s="79" t="s">
        <v>15</v>
      </c>
      <c r="F322" s="151">
        <f t="shared" si="106"/>
        <v>0</v>
      </c>
      <c r="G322" s="152">
        <f t="shared" si="107"/>
        <v>0</v>
      </c>
      <c r="H322" s="92">
        <f>$M$11</f>
        <v>0.18</v>
      </c>
      <c r="I322" s="263">
        <f>'34'!$J$29</f>
        <v>0</v>
      </c>
      <c r="J322" s="150">
        <f t="shared" si="108"/>
        <v>0</v>
      </c>
      <c r="K322" s="80"/>
    </row>
    <row r="323" spans="2:11" ht="13.8" x14ac:dyDescent="0.25">
      <c r="B323" s="4"/>
      <c r="C323" s="172" t="s">
        <v>121</v>
      </c>
      <c r="D323" s="77">
        <v>1</v>
      </c>
      <c r="E323" s="173" t="s">
        <v>15</v>
      </c>
      <c r="F323" s="174">
        <f t="shared" si="106"/>
        <v>3900</v>
      </c>
      <c r="G323" s="175">
        <f t="shared" si="107"/>
        <v>3900</v>
      </c>
      <c r="H323" s="176">
        <f>$M$12</f>
        <v>0.18</v>
      </c>
      <c r="I323" s="264">
        <f>'34'!$J$36</f>
        <v>3172.5</v>
      </c>
      <c r="J323" s="177">
        <f t="shared" si="108"/>
        <v>3172.5</v>
      </c>
      <c r="K323" s="178"/>
    </row>
    <row r="324" spans="2:11" ht="13.8" x14ac:dyDescent="0.25">
      <c r="B324" s="62"/>
      <c r="C324" s="81" t="s">
        <v>123</v>
      </c>
      <c r="D324" s="82">
        <v>1</v>
      </c>
      <c r="E324" s="83" t="s">
        <v>15</v>
      </c>
      <c r="F324" s="73">
        <f t="shared" si="106"/>
        <v>2400</v>
      </c>
      <c r="G324" s="74">
        <f>F324*D324</f>
        <v>2400</v>
      </c>
      <c r="H324" s="110">
        <f>$M$10</f>
        <v>0.25</v>
      </c>
      <c r="I324" s="265">
        <f>'34'!$J$43</f>
        <v>1800</v>
      </c>
      <c r="J324" s="75">
        <f>I324*D324</f>
        <v>1800</v>
      </c>
      <c r="K324" s="84"/>
    </row>
    <row r="325" spans="2:11" ht="14.4" thickBot="1" x14ac:dyDescent="0.3">
      <c r="B325" s="62"/>
      <c r="C325" s="165" t="s">
        <v>120</v>
      </c>
      <c r="D325" s="85">
        <v>1</v>
      </c>
      <c r="E325" s="166" t="s">
        <v>15</v>
      </c>
      <c r="F325" s="167">
        <f t="shared" si="106"/>
        <v>0</v>
      </c>
      <c r="G325" s="168">
        <f>F325*D325</f>
        <v>0</v>
      </c>
      <c r="H325" s="169">
        <f>$M$13</f>
        <v>0.18</v>
      </c>
      <c r="I325" s="266">
        <f>'34'!$J$50</f>
        <v>0</v>
      </c>
      <c r="J325" s="170">
        <f>I325*D325</f>
        <v>0</v>
      </c>
      <c r="K325" s="171"/>
    </row>
    <row r="326" spans="2:11" ht="14.4" hidden="1" thickBot="1" x14ac:dyDescent="0.3">
      <c r="B326" s="105"/>
      <c r="C326" s="106"/>
      <c r="D326" s="94"/>
      <c r="E326" s="95"/>
      <c r="F326" s="107"/>
      <c r="G326" s="108"/>
      <c r="H326" s="101"/>
      <c r="I326" s="102"/>
      <c r="J326" s="109"/>
      <c r="K326" s="104"/>
    </row>
    <row r="327" spans="2:11" ht="14.4" thickBot="1" x14ac:dyDescent="0.3">
      <c r="B327" s="12">
        <v>35</v>
      </c>
      <c r="C327" s="197" t="str">
        <f>'Bid Summary'!F38</f>
        <v xml:space="preserve">Hydrostatic Pressure Testing (36-inch Lateral DE-1 and Connections) </v>
      </c>
      <c r="D327" s="118" t="s">
        <v>92</v>
      </c>
      <c r="E327" s="118" t="s">
        <v>9</v>
      </c>
      <c r="F327" s="118" t="s">
        <v>93</v>
      </c>
      <c r="G327" s="119">
        <f>SUM(G328:G335)</f>
        <v>48800</v>
      </c>
      <c r="H327" s="120"/>
      <c r="I327" s="121"/>
      <c r="J327" s="148">
        <f>SUM(J328:J335)</f>
        <v>39290.1</v>
      </c>
      <c r="K327" s="122"/>
    </row>
    <row r="328" spans="2:11" ht="13.8" x14ac:dyDescent="0.25">
      <c r="B328" s="111"/>
      <c r="C328" s="71" t="s">
        <v>109</v>
      </c>
      <c r="D328" s="77">
        <v>1</v>
      </c>
      <c r="E328" s="72" t="s">
        <v>15</v>
      </c>
      <c r="F328" s="73">
        <f t="shared" ref="F328:F334" si="109">CEILING(I328/(1-H328),100)</f>
        <v>35800</v>
      </c>
      <c r="G328" s="100">
        <f t="shared" ref="G328:G332" si="110">F328*D328</f>
        <v>35800</v>
      </c>
      <c r="H328" s="123">
        <f>$M$9</f>
        <v>0.18</v>
      </c>
      <c r="I328" s="260">
        <f>'35'!$J$4</f>
        <v>29317.599999999999</v>
      </c>
      <c r="J328" s="103">
        <f t="shared" ref="J328:J332" si="111">I328*D328</f>
        <v>29317.599999999999</v>
      </c>
      <c r="K328" s="124"/>
    </row>
    <row r="329" spans="2:11" ht="13.8" x14ac:dyDescent="0.25">
      <c r="B329" s="4"/>
      <c r="C329" s="68" t="s">
        <v>112</v>
      </c>
      <c r="D329" s="77">
        <v>1</v>
      </c>
      <c r="E329" s="69" t="s">
        <v>15</v>
      </c>
      <c r="F329" s="271">
        <f t="shared" si="109"/>
        <v>6700</v>
      </c>
      <c r="G329" s="74">
        <f t="shared" si="110"/>
        <v>6700</v>
      </c>
      <c r="H329" s="91">
        <f>$M$10</f>
        <v>0.25</v>
      </c>
      <c r="I329" s="261">
        <f>'35'!$J$15</f>
        <v>5000</v>
      </c>
      <c r="J329" s="75">
        <f t="shared" si="111"/>
        <v>5000</v>
      </c>
      <c r="K329" s="70"/>
    </row>
    <row r="330" spans="2:11" ht="13.8" x14ac:dyDescent="0.25">
      <c r="B330" s="4"/>
      <c r="C330" s="179" t="s">
        <v>116</v>
      </c>
      <c r="D330" s="77">
        <v>1</v>
      </c>
      <c r="E330" s="180" t="s">
        <v>15</v>
      </c>
      <c r="F330" s="181">
        <f t="shared" si="109"/>
        <v>0</v>
      </c>
      <c r="G330" s="182">
        <f t="shared" si="110"/>
        <v>0</v>
      </c>
      <c r="H330" s="183">
        <f>$M$12</f>
        <v>0.18</v>
      </c>
      <c r="I330" s="262">
        <f>'35'!$J$22</f>
        <v>0</v>
      </c>
      <c r="J330" s="184">
        <f t="shared" si="111"/>
        <v>0</v>
      </c>
      <c r="K330" s="185"/>
    </row>
    <row r="331" spans="2:11" ht="13.8" x14ac:dyDescent="0.25">
      <c r="B331" s="4"/>
      <c r="C331" s="78" t="s">
        <v>136</v>
      </c>
      <c r="D331" s="77">
        <v>1</v>
      </c>
      <c r="E331" s="79" t="s">
        <v>15</v>
      </c>
      <c r="F331" s="151">
        <f t="shared" si="109"/>
        <v>0</v>
      </c>
      <c r="G331" s="152">
        <f t="shared" si="110"/>
        <v>0</v>
      </c>
      <c r="H331" s="92">
        <f>$M$11</f>
        <v>0.18</v>
      </c>
      <c r="I331" s="263">
        <f>'35'!$J$29</f>
        <v>0</v>
      </c>
      <c r="J331" s="150">
        <f t="shared" si="111"/>
        <v>0</v>
      </c>
      <c r="K331" s="80"/>
    </row>
    <row r="332" spans="2:11" ht="13.8" x14ac:dyDescent="0.25">
      <c r="B332" s="4"/>
      <c r="C332" s="172" t="s">
        <v>121</v>
      </c>
      <c r="D332" s="77">
        <v>1</v>
      </c>
      <c r="E332" s="173" t="s">
        <v>15</v>
      </c>
      <c r="F332" s="174">
        <f t="shared" si="109"/>
        <v>3900</v>
      </c>
      <c r="G332" s="175">
        <f t="shared" si="110"/>
        <v>3900</v>
      </c>
      <c r="H332" s="176">
        <f>$M$12</f>
        <v>0.18</v>
      </c>
      <c r="I332" s="264">
        <f>'35'!$J$36</f>
        <v>3172.5</v>
      </c>
      <c r="J332" s="177">
        <f t="shared" si="111"/>
        <v>3172.5</v>
      </c>
      <c r="K332" s="178"/>
    </row>
    <row r="333" spans="2:11" ht="13.8" x14ac:dyDescent="0.25">
      <c r="B333" s="62"/>
      <c r="C333" s="81" t="s">
        <v>123</v>
      </c>
      <c r="D333" s="82">
        <v>1</v>
      </c>
      <c r="E333" s="83" t="s">
        <v>15</v>
      </c>
      <c r="F333" s="73">
        <f t="shared" si="109"/>
        <v>2400</v>
      </c>
      <c r="G333" s="74">
        <f>F333*D333</f>
        <v>2400</v>
      </c>
      <c r="H333" s="110">
        <f>$M$10</f>
        <v>0.25</v>
      </c>
      <c r="I333" s="265">
        <f>'35'!$J$43</f>
        <v>1800</v>
      </c>
      <c r="J333" s="75">
        <f>I333*D333</f>
        <v>1800</v>
      </c>
      <c r="K333" s="84"/>
    </row>
    <row r="334" spans="2:11" ht="14.4" thickBot="1" x14ac:dyDescent="0.3">
      <c r="B334" s="44"/>
      <c r="C334" s="165" t="s">
        <v>120</v>
      </c>
      <c r="D334" s="85">
        <v>1</v>
      </c>
      <c r="E334" s="166" t="s">
        <v>15</v>
      </c>
      <c r="F334" s="167">
        <f t="shared" si="109"/>
        <v>0</v>
      </c>
      <c r="G334" s="168">
        <f>F334*D334</f>
        <v>0</v>
      </c>
      <c r="H334" s="169">
        <f>$M$13</f>
        <v>0.18</v>
      </c>
      <c r="I334" s="266">
        <f>'35'!$J$50</f>
        <v>0</v>
      </c>
      <c r="J334" s="170">
        <f>I334*D334</f>
        <v>0</v>
      </c>
      <c r="K334" s="171"/>
    </row>
    <row r="335" spans="2:11" ht="14.4" hidden="1" thickBot="1" x14ac:dyDescent="0.3">
      <c r="B335" s="37"/>
      <c r="C335" s="106"/>
      <c r="D335" s="94"/>
      <c r="E335" s="95"/>
      <c r="F335" s="107"/>
      <c r="G335" s="108"/>
      <c r="H335" s="101"/>
      <c r="I335" s="102"/>
      <c r="J335" s="109"/>
      <c r="K335" s="104"/>
    </row>
    <row r="336" spans="2:11" ht="14.4" thickBot="1" x14ac:dyDescent="0.3">
      <c r="B336" s="12">
        <v>36</v>
      </c>
      <c r="C336" s="197" t="str">
        <f>'Bid Summary'!F39</f>
        <v xml:space="preserve">Hydrostatic Pressure Testing (42-inch Lateral DE and Connections) </v>
      </c>
      <c r="D336" s="118" t="s">
        <v>92</v>
      </c>
      <c r="E336" s="118" t="s">
        <v>9</v>
      </c>
      <c r="F336" s="118" t="s">
        <v>93</v>
      </c>
      <c r="G336" s="119">
        <f>SUM(G337:G344)</f>
        <v>79700</v>
      </c>
      <c r="H336" s="120"/>
      <c r="I336" s="121"/>
      <c r="J336" s="148">
        <f>SUM(J337:J344)</f>
        <v>63921.399999999994</v>
      </c>
      <c r="K336" s="122"/>
    </row>
    <row r="337" spans="2:11" ht="13.8" x14ac:dyDescent="0.25">
      <c r="B337" s="111"/>
      <c r="C337" s="71" t="s">
        <v>109</v>
      </c>
      <c r="D337" s="77">
        <v>1</v>
      </c>
      <c r="E337" s="72" t="s">
        <v>15</v>
      </c>
      <c r="F337" s="73">
        <f t="shared" ref="F337:F343" si="112">CEILING(I337/(1-H337),100)</f>
        <v>53700</v>
      </c>
      <c r="G337" s="100">
        <f t="shared" ref="G337:G341" si="113">F337*D337</f>
        <v>53700</v>
      </c>
      <c r="H337" s="123">
        <f>$M$9</f>
        <v>0.18</v>
      </c>
      <c r="I337" s="260">
        <f>'36'!$J$4</f>
        <v>43976.399999999994</v>
      </c>
      <c r="J337" s="103">
        <f t="shared" ref="J337:J341" si="114">I337*D337</f>
        <v>43976.399999999994</v>
      </c>
      <c r="K337" s="124"/>
    </row>
    <row r="338" spans="2:11" ht="13.8" x14ac:dyDescent="0.25">
      <c r="B338" s="4"/>
      <c r="C338" s="68" t="s">
        <v>112</v>
      </c>
      <c r="D338" s="77">
        <v>1</v>
      </c>
      <c r="E338" s="69" t="s">
        <v>15</v>
      </c>
      <c r="F338" s="271">
        <f t="shared" si="112"/>
        <v>13400</v>
      </c>
      <c r="G338" s="74">
        <f t="shared" si="113"/>
        <v>13400</v>
      </c>
      <c r="H338" s="91">
        <f>$M$10</f>
        <v>0.25</v>
      </c>
      <c r="I338" s="261">
        <f>'36'!$J$15</f>
        <v>10000</v>
      </c>
      <c r="J338" s="75">
        <f t="shared" si="114"/>
        <v>10000</v>
      </c>
      <c r="K338" s="70"/>
    </row>
    <row r="339" spans="2:11" ht="13.8" x14ac:dyDescent="0.25">
      <c r="B339" s="4"/>
      <c r="C339" s="179" t="s">
        <v>116</v>
      </c>
      <c r="D339" s="77">
        <v>1</v>
      </c>
      <c r="E339" s="180" t="s">
        <v>15</v>
      </c>
      <c r="F339" s="181">
        <f t="shared" si="112"/>
        <v>0</v>
      </c>
      <c r="G339" s="182">
        <f t="shared" si="113"/>
        <v>0</v>
      </c>
      <c r="H339" s="183">
        <f>$M$12</f>
        <v>0.18</v>
      </c>
      <c r="I339" s="262">
        <f>'36'!$J$22</f>
        <v>0</v>
      </c>
      <c r="J339" s="184">
        <f t="shared" si="114"/>
        <v>0</v>
      </c>
      <c r="K339" s="185"/>
    </row>
    <row r="340" spans="2:11" ht="13.8" x14ac:dyDescent="0.25">
      <c r="B340" s="4"/>
      <c r="C340" s="78" t="s">
        <v>136</v>
      </c>
      <c r="D340" s="77">
        <v>1</v>
      </c>
      <c r="E340" s="79" t="s">
        <v>15</v>
      </c>
      <c r="F340" s="151">
        <f t="shared" si="112"/>
        <v>0</v>
      </c>
      <c r="G340" s="152">
        <f t="shared" si="113"/>
        <v>0</v>
      </c>
      <c r="H340" s="92">
        <f>$M$11</f>
        <v>0.18</v>
      </c>
      <c r="I340" s="263">
        <f>'36'!$J$29</f>
        <v>0</v>
      </c>
      <c r="J340" s="150">
        <f t="shared" si="114"/>
        <v>0</v>
      </c>
      <c r="K340" s="80"/>
    </row>
    <row r="341" spans="2:11" ht="13.8" x14ac:dyDescent="0.25">
      <c r="B341" s="4"/>
      <c r="C341" s="172" t="s">
        <v>121</v>
      </c>
      <c r="D341" s="77">
        <v>1</v>
      </c>
      <c r="E341" s="173" t="s">
        <v>15</v>
      </c>
      <c r="F341" s="174">
        <f t="shared" si="112"/>
        <v>7800</v>
      </c>
      <c r="G341" s="175">
        <f t="shared" si="113"/>
        <v>7800</v>
      </c>
      <c r="H341" s="176">
        <f>$M$12</f>
        <v>0.18</v>
      </c>
      <c r="I341" s="264">
        <f>'36'!$J$36</f>
        <v>6345</v>
      </c>
      <c r="J341" s="177">
        <f t="shared" si="114"/>
        <v>6345</v>
      </c>
      <c r="K341" s="178"/>
    </row>
    <row r="342" spans="2:11" ht="13.8" x14ac:dyDescent="0.25">
      <c r="B342" s="62"/>
      <c r="C342" s="81" t="s">
        <v>123</v>
      </c>
      <c r="D342" s="82">
        <v>1</v>
      </c>
      <c r="E342" s="83" t="s">
        <v>15</v>
      </c>
      <c r="F342" s="73">
        <f t="shared" si="112"/>
        <v>4800</v>
      </c>
      <c r="G342" s="74">
        <f>F342*D342</f>
        <v>4800</v>
      </c>
      <c r="H342" s="110">
        <f>$M$10</f>
        <v>0.25</v>
      </c>
      <c r="I342" s="265">
        <f>'36'!$J$43</f>
        <v>3600</v>
      </c>
      <c r="J342" s="75">
        <f>I342*D342</f>
        <v>3600</v>
      </c>
      <c r="K342" s="84"/>
    </row>
    <row r="343" spans="2:11" ht="14.4" thickBot="1" x14ac:dyDescent="0.3">
      <c r="B343" s="44"/>
      <c r="C343" s="165" t="s">
        <v>120</v>
      </c>
      <c r="D343" s="85">
        <v>1</v>
      </c>
      <c r="E343" s="166" t="s">
        <v>15</v>
      </c>
      <c r="F343" s="167">
        <f t="shared" si="112"/>
        <v>0</v>
      </c>
      <c r="G343" s="168">
        <f>F343*D343</f>
        <v>0</v>
      </c>
      <c r="H343" s="169">
        <f>$M$13</f>
        <v>0.18</v>
      </c>
      <c r="I343" s="266">
        <f>'36'!$J$50</f>
        <v>0</v>
      </c>
      <c r="J343" s="170">
        <f>I343*D343</f>
        <v>0</v>
      </c>
      <c r="K343" s="171"/>
    </row>
  </sheetData>
  <mergeCells count="1">
    <mergeCell ref="B7:K7"/>
  </mergeCells>
  <pageMargins left="0.7" right="0.7" top="0.75" bottom="0.75" header="0.3" footer="0.3"/>
  <pageSetup orientation="portrait" horizontalDpi="1200" verticalDpi="1200" r:id="rId1"/>
  <ignoredErrors>
    <ignoredError sqref="H25" formula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4AAD7-BEAD-437E-8CCE-9971DAB6D283}">
  <sheetPr>
    <tabColor rgb="FF92D050"/>
  </sheetPr>
  <dimension ref="A1:M57"/>
  <sheetViews>
    <sheetView zoomScale="90" zoomScaleNormal="90" workbookViewId="0">
      <selection activeCell="N17" sqref="N17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3.44140625" customWidth="1"/>
    <col min="7" max="7" width="13.77734375" customWidth="1"/>
    <col min="8" max="8" width="11.77734375" bestFit="1" customWidth="1"/>
    <col min="9" max="9" width="13.6640625" customWidth="1"/>
    <col min="10" max="10" width="15.44140625" customWidth="1"/>
    <col min="11" max="11" width="72.6640625" customWidth="1"/>
    <col min="12" max="12" width="10.109375" bestFit="1" customWidth="1"/>
  </cols>
  <sheetData>
    <row r="1" spans="1:13" ht="14.4" x14ac:dyDescent="0.3">
      <c r="I1" s="252" t="s">
        <v>147</v>
      </c>
      <c r="J1" s="253">
        <f>J4+J15+J22+J29+J36+J44+J51</f>
        <v>167240.6</v>
      </c>
      <c r="K1" t="s">
        <v>96</v>
      </c>
    </row>
    <row r="2" spans="1:13" ht="18" x14ac:dyDescent="0.3">
      <c r="B2" s="146" t="str">
        <f>'Bid Summary'!F29</f>
        <v xml:space="preserve">Magnolia Avenue Crossing – 58-inch Steel Casing Pipe/42-inch Steel Carrier Pipe (Open Cut Installation) 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148</v>
      </c>
      <c r="C3" s="49" t="s">
        <v>149</v>
      </c>
      <c r="D3" s="49" t="s">
        <v>8</v>
      </c>
      <c r="E3" s="49" t="s">
        <v>150</v>
      </c>
      <c r="F3" s="49" t="s">
        <v>151</v>
      </c>
      <c r="G3" s="49" t="s">
        <v>152</v>
      </c>
      <c r="H3" s="49" t="s">
        <v>175</v>
      </c>
      <c r="I3" s="49" t="s">
        <v>153</v>
      </c>
      <c r="J3" s="49" t="s">
        <v>94</v>
      </c>
      <c r="K3" s="49" t="s">
        <v>154</v>
      </c>
      <c r="L3" s="29"/>
      <c r="M3" s="29"/>
    </row>
    <row r="4" spans="1:13" ht="14.4" x14ac:dyDescent="0.3">
      <c r="A4" s="188"/>
      <c r="B4" s="52" t="s">
        <v>109</v>
      </c>
      <c r="C4" s="30"/>
      <c r="D4" s="30"/>
      <c r="E4" s="30"/>
      <c r="F4" s="30"/>
      <c r="G4" s="30"/>
      <c r="H4" s="30"/>
      <c r="I4" s="30"/>
      <c r="J4" s="56">
        <f>SUM(J5:J14)</f>
        <v>62985.600000000006</v>
      </c>
      <c r="K4" s="30"/>
      <c r="L4" s="29"/>
      <c r="M4" s="29"/>
    </row>
    <row r="5" spans="1:13" ht="14.4" x14ac:dyDescent="0.3">
      <c r="A5" s="53">
        <v>1</v>
      </c>
      <c r="B5" s="255" t="str">
        <f>'Prevailing Wage'!C14</f>
        <v>Labor Lead</v>
      </c>
      <c r="C5" s="31"/>
      <c r="D5" s="60">
        <v>120</v>
      </c>
      <c r="E5" s="31" t="s">
        <v>118</v>
      </c>
      <c r="F5" s="256">
        <f>'Prevailing Wage'!D14</f>
        <v>74.69</v>
      </c>
      <c r="G5" s="31"/>
      <c r="H5" s="31"/>
      <c r="I5" s="31"/>
      <c r="J5" s="50">
        <f>D5*F5</f>
        <v>8962.7999999999993</v>
      </c>
      <c r="K5" s="31" t="s">
        <v>158</v>
      </c>
      <c r="L5" s="29"/>
      <c r="M5" s="29"/>
    </row>
    <row r="6" spans="1:13" ht="14.4" x14ac:dyDescent="0.3">
      <c r="A6" s="53">
        <v>2</v>
      </c>
      <c r="B6" s="255" t="str">
        <f>'Prevailing Wage'!C15</f>
        <v>Laborer</v>
      </c>
      <c r="C6" s="31"/>
      <c r="D6" s="225">
        <f>D5*'Bid Schedule'!$N$3</f>
        <v>360</v>
      </c>
      <c r="E6" s="31" t="s">
        <v>118</v>
      </c>
      <c r="F6" s="256">
        <f>'Prevailing Wage'!D15</f>
        <v>71.69</v>
      </c>
      <c r="G6" s="31"/>
      <c r="H6" s="31"/>
      <c r="I6" s="31"/>
      <c r="J6" s="50">
        <f t="shared" ref="J6:J12" si="0">D6*F6</f>
        <v>25808.399999999998</v>
      </c>
      <c r="K6" s="225" t="s">
        <v>159</v>
      </c>
      <c r="L6" s="29"/>
      <c r="M6" s="29"/>
    </row>
    <row r="7" spans="1:13" ht="14.4" x14ac:dyDescent="0.3">
      <c r="A7" s="53">
        <v>3</v>
      </c>
      <c r="B7" s="255" t="str">
        <f>'Prevailing Wage'!C16</f>
        <v>Operator</v>
      </c>
      <c r="C7" s="31"/>
      <c r="D7" s="60">
        <v>120</v>
      </c>
      <c r="E7" s="31" t="s">
        <v>118</v>
      </c>
      <c r="F7" s="256">
        <f>'Prevailing Wage'!D16</f>
        <v>96.29</v>
      </c>
      <c r="G7" s="31"/>
      <c r="H7" s="31"/>
      <c r="I7" s="31"/>
      <c r="J7" s="50">
        <f t="shared" si="0"/>
        <v>11554.800000000001</v>
      </c>
      <c r="K7" s="31"/>
      <c r="L7" s="29"/>
      <c r="M7" s="29"/>
    </row>
    <row r="8" spans="1:13" ht="14.4" x14ac:dyDescent="0.3">
      <c r="A8" s="53">
        <v>4</v>
      </c>
      <c r="B8" s="255" t="str">
        <f>'Prevailing Wage'!C17</f>
        <v>Driver</v>
      </c>
      <c r="C8" s="31"/>
      <c r="D8" s="60">
        <f>8*10</f>
        <v>80</v>
      </c>
      <c r="E8" s="31" t="s">
        <v>118</v>
      </c>
      <c r="F8" s="256">
        <f>'Prevailing Wage'!D17</f>
        <v>76.709999999999994</v>
      </c>
      <c r="G8" s="31"/>
      <c r="H8" s="31"/>
      <c r="I8" s="31"/>
      <c r="J8" s="50">
        <f t="shared" si="0"/>
        <v>6136.7999999999993</v>
      </c>
      <c r="K8" s="31"/>
      <c r="L8" s="29"/>
      <c r="M8" s="29"/>
    </row>
    <row r="9" spans="1:13" ht="14.4" x14ac:dyDescent="0.3">
      <c r="A9" s="53">
        <v>5</v>
      </c>
      <c r="B9" s="255" t="str">
        <f>'Prevailing Wage'!C18</f>
        <v>Landscaper</v>
      </c>
      <c r="C9" s="31"/>
      <c r="D9" s="60"/>
      <c r="E9" s="31" t="s">
        <v>118</v>
      </c>
      <c r="F9" s="256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5" t="str">
        <f>'Prevailing Wage'!C19</f>
        <v>Pipefitter</v>
      </c>
      <c r="C10" s="31"/>
      <c r="D10" s="60">
        <v>120</v>
      </c>
      <c r="E10" s="31" t="s">
        <v>118</v>
      </c>
      <c r="F10" s="256">
        <f>'Prevailing Wage'!D19</f>
        <v>87.69</v>
      </c>
      <c r="G10" s="31"/>
      <c r="H10" s="31"/>
      <c r="I10" s="31"/>
      <c r="J10" s="50">
        <f t="shared" si="0"/>
        <v>10522.8</v>
      </c>
      <c r="K10" s="31"/>
      <c r="L10" s="29"/>
      <c r="M10" s="29"/>
    </row>
    <row r="11" spans="1:13" ht="14.4" x14ac:dyDescent="0.3">
      <c r="A11" s="53">
        <v>7</v>
      </c>
      <c r="B11" s="255" t="str">
        <f>'Prevailing Wage'!C20</f>
        <v>Etc</v>
      </c>
      <c r="C11" s="31"/>
      <c r="D11" s="60"/>
      <c r="E11" s="31" t="s">
        <v>118</v>
      </c>
      <c r="F11" s="256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5" t="str">
        <f>'Prevailing Wage'!C21</f>
        <v>Etc</v>
      </c>
      <c r="C12" s="31"/>
      <c r="D12" s="60"/>
      <c r="E12" s="31" t="s">
        <v>118</v>
      </c>
      <c r="F12" s="256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157</v>
      </c>
      <c r="B13" s="58"/>
      <c r="C13" s="31"/>
      <c r="D13" s="60"/>
      <c r="E13" s="31" t="s">
        <v>118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112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157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162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116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9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157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162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136</v>
      </c>
      <c r="C29" s="30"/>
      <c r="D29" s="30"/>
      <c r="E29" s="30"/>
      <c r="F29" s="30"/>
      <c r="G29" s="30"/>
      <c r="H29" s="30"/>
      <c r="I29" s="30"/>
      <c r="J29" s="56">
        <f>SUM(J30:J35)</f>
        <v>45000</v>
      </c>
      <c r="K29" s="30"/>
    </row>
    <row r="30" spans="1:13" ht="14.4" x14ac:dyDescent="0.3">
      <c r="A30" s="53">
        <v>1</v>
      </c>
      <c r="B30" s="57" t="s">
        <v>299</v>
      </c>
      <c r="C30" s="31"/>
      <c r="D30" s="60">
        <v>1</v>
      </c>
      <c r="E30" s="31" t="s">
        <v>160</v>
      </c>
      <c r="F30" s="59">
        <v>45000</v>
      </c>
      <c r="G30" s="31"/>
      <c r="H30" s="31"/>
      <c r="I30" s="31"/>
      <c r="J30" s="50">
        <f>D30*F30</f>
        <v>45000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157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162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121</v>
      </c>
      <c r="C36" s="30"/>
      <c r="D36" s="30"/>
      <c r="E36" s="30"/>
      <c r="F36" s="30"/>
      <c r="G36" s="30"/>
      <c r="H36" s="30"/>
      <c r="I36" s="30"/>
      <c r="J36" s="56">
        <f>SUM(J37:J43)</f>
        <v>44855</v>
      </c>
      <c r="K36" s="30"/>
    </row>
    <row r="37" spans="1:11" ht="14.4" x14ac:dyDescent="0.3">
      <c r="A37" s="53">
        <v>1</v>
      </c>
      <c r="B37" s="57" t="s">
        <v>215</v>
      </c>
      <c r="C37" s="31"/>
      <c r="D37" s="60">
        <v>0.5</v>
      </c>
      <c r="E37" s="31" t="s">
        <v>165</v>
      </c>
      <c r="F37" s="59">
        <v>13100</v>
      </c>
      <c r="G37" s="31"/>
      <c r="H37" s="31"/>
      <c r="I37" s="31"/>
      <c r="J37" s="50">
        <f>D37*F37</f>
        <v>6550</v>
      </c>
      <c r="K37" s="31" t="s">
        <v>166</v>
      </c>
    </row>
    <row r="38" spans="1:11" ht="14.4" x14ac:dyDescent="0.3">
      <c r="A38" s="53">
        <v>2</v>
      </c>
      <c r="B38" s="57" t="s">
        <v>216</v>
      </c>
      <c r="C38" s="31"/>
      <c r="D38" s="60">
        <v>0.5</v>
      </c>
      <c r="E38" s="31" t="s">
        <v>165</v>
      </c>
      <c r="F38" s="59">
        <v>6055</v>
      </c>
      <c r="G38" s="31"/>
      <c r="H38" s="31"/>
      <c r="I38" s="31"/>
      <c r="J38" s="50">
        <f t="shared" ref="J38:J43" si="5">D38*F38</f>
        <v>3027.5</v>
      </c>
      <c r="K38" s="239" t="s">
        <v>168</v>
      </c>
    </row>
    <row r="39" spans="1:11" ht="14.4" x14ac:dyDescent="0.3">
      <c r="A39" s="53">
        <v>3</v>
      </c>
      <c r="B39" s="58" t="s">
        <v>167</v>
      </c>
      <c r="C39" s="31"/>
      <c r="D39" s="60">
        <v>0.5</v>
      </c>
      <c r="E39" s="31" t="s">
        <v>165</v>
      </c>
      <c r="F39" s="59">
        <v>4345</v>
      </c>
      <c r="G39" s="31"/>
      <c r="H39" s="31"/>
      <c r="I39" s="31"/>
      <c r="J39" s="50">
        <f t="shared" si="5"/>
        <v>2172.5</v>
      </c>
      <c r="K39" s="31"/>
    </row>
    <row r="40" spans="1:11" ht="14.4" x14ac:dyDescent="0.3">
      <c r="A40" s="53">
        <v>4</v>
      </c>
      <c r="B40" s="58" t="s">
        <v>169</v>
      </c>
      <c r="C40" s="31"/>
      <c r="D40" s="270">
        <v>1</v>
      </c>
      <c r="E40" s="31" t="s">
        <v>165</v>
      </c>
      <c r="F40" s="59">
        <v>605</v>
      </c>
      <c r="G40" s="31"/>
      <c r="H40" s="31"/>
      <c r="I40" s="31"/>
      <c r="J40" s="50">
        <f t="shared" si="5"/>
        <v>605</v>
      </c>
      <c r="K40" s="31"/>
    </row>
    <row r="41" spans="1:11" ht="14.4" x14ac:dyDescent="0.3">
      <c r="A41" s="53"/>
      <c r="B41" s="58" t="s">
        <v>217</v>
      </c>
      <c r="C41" s="31"/>
      <c r="D41" s="270">
        <v>0.5</v>
      </c>
      <c r="E41" s="31" t="s">
        <v>165</v>
      </c>
      <c r="F41" s="59">
        <v>50000</v>
      </c>
      <c r="G41" s="31"/>
      <c r="H41" s="31"/>
      <c r="I41" s="31"/>
      <c r="J41" s="50">
        <f t="shared" si="5"/>
        <v>25000</v>
      </c>
      <c r="K41" s="31"/>
    </row>
    <row r="42" spans="1:11" ht="14.4" x14ac:dyDescent="0.3">
      <c r="A42" s="53" t="s">
        <v>157</v>
      </c>
      <c r="B42" s="58" t="s">
        <v>225</v>
      </c>
      <c r="C42" s="31"/>
      <c r="D42" s="60">
        <v>0.5</v>
      </c>
      <c r="E42" s="31" t="s">
        <v>165</v>
      </c>
      <c r="F42" s="59">
        <v>15000</v>
      </c>
      <c r="G42" s="31"/>
      <c r="H42" s="31"/>
      <c r="I42" s="31"/>
      <c r="J42" s="50">
        <f t="shared" si="5"/>
        <v>7500</v>
      </c>
      <c r="K42" s="31"/>
    </row>
    <row r="43" spans="1:11" ht="14.4" hidden="1" x14ac:dyDescent="0.3">
      <c r="A43" s="54" t="s">
        <v>162</v>
      </c>
      <c r="B43" s="58"/>
      <c r="C43" s="31"/>
      <c r="D43" s="60"/>
      <c r="E43" s="31"/>
      <c r="F43" s="59"/>
      <c r="G43" s="31"/>
      <c r="H43" s="31"/>
      <c r="I43" s="31"/>
      <c r="J43" s="50">
        <f t="shared" si="5"/>
        <v>0</v>
      </c>
      <c r="K43" s="31"/>
    </row>
    <row r="44" spans="1:11" ht="14.4" x14ac:dyDescent="0.3">
      <c r="A44" s="188"/>
      <c r="B44" s="52" t="s">
        <v>123</v>
      </c>
      <c r="C44" s="30"/>
      <c r="D44" s="30"/>
      <c r="E44" s="30"/>
      <c r="F44" s="30"/>
      <c r="G44" s="30"/>
      <c r="H44" s="30"/>
      <c r="I44" s="30"/>
      <c r="J44" s="56">
        <f>SUM(J45:J50)</f>
        <v>14400</v>
      </c>
      <c r="K44" s="30"/>
    </row>
    <row r="45" spans="1:11" ht="14.4" x14ac:dyDescent="0.3">
      <c r="A45" s="53">
        <v>1</v>
      </c>
      <c r="B45" s="57" t="s">
        <v>170</v>
      </c>
      <c r="C45" s="31"/>
      <c r="D45" s="60">
        <f>D7*20</f>
        <v>2400</v>
      </c>
      <c r="E45" s="31" t="s">
        <v>171</v>
      </c>
      <c r="F45" s="59">
        <v>6</v>
      </c>
      <c r="G45" s="31"/>
      <c r="H45" s="31"/>
      <c r="I45" s="31"/>
      <c r="J45" s="50">
        <f>D45*F45</f>
        <v>14400</v>
      </c>
      <c r="K45" s="31"/>
    </row>
    <row r="46" spans="1:11" ht="14.4" x14ac:dyDescent="0.3">
      <c r="A46" s="53">
        <v>2</v>
      </c>
      <c r="B46" s="58" t="s">
        <v>172</v>
      </c>
      <c r="C46" s="31"/>
      <c r="D46" s="60"/>
      <c r="E46" s="31"/>
      <c r="F46" s="59"/>
      <c r="G46" s="31"/>
      <c r="H46" s="31"/>
      <c r="I46" s="31"/>
      <c r="J46" s="50">
        <f t="shared" ref="J46:J50" si="6">D46*F46</f>
        <v>0</v>
      </c>
      <c r="K46" s="31"/>
    </row>
    <row r="47" spans="1:11" ht="14.4" x14ac:dyDescent="0.3">
      <c r="A47" s="53">
        <v>3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>
        <v>4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x14ac:dyDescent="0.3">
      <c r="A49" s="53" t="s">
        <v>157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hidden="1" x14ac:dyDescent="0.3">
      <c r="A50" s="54" t="s">
        <v>162</v>
      </c>
      <c r="B50" s="58"/>
      <c r="C50" s="31"/>
      <c r="D50" s="60"/>
      <c r="E50" s="31"/>
      <c r="F50" s="59"/>
      <c r="G50" s="31"/>
      <c r="H50" s="31"/>
      <c r="I50" s="31"/>
      <c r="J50" s="50">
        <f t="shared" si="6"/>
        <v>0</v>
      </c>
      <c r="K50" s="31"/>
    </row>
    <row r="51" spans="1:11" ht="14.4" x14ac:dyDescent="0.3">
      <c r="A51" s="188"/>
      <c r="B51" s="52" t="s">
        <v>120</v>
      </c>
      <c r="C51" s="30"/>
      <c r="D51" s="30"/>
      <c r="E51" s="30"/>
      <c r="F51" s="30"/>
      <c r="G51" s="30"/>
      <c r="H51" s="30"/>
      <c r="I51" s="30"/>
      <c r="J51" s="56">
        <f>SUM(J52:J57)</f>
        <v>0</v>
      </c>
      <c r="K51" s="30"/>
    </row>
    <row r="52" spans="1:11" ht="14.4" x14ac:dyDescent="0.3">
      <c r="A52" s="53">
        <v>1</v>
      </c>
      <c r="B52" s="57"/>
      <c r="C52" s="31"/>
      <c r="D52" s="60"/>
      <c r="E52" s="31"/>
      <c r="F52" s="59"/>
      <c r="G52" s="31"/>
      <c r="H52" s="31"/>
      <c r="I52" s="31"/>
      <c r="J52" s="50">
        <f>D52*F52</f>
        <v>0</v>
      </c>
      <c r="K52" s="31"/>
    </row>
    <row r="53" spans="1:11" ht="14.4" x14ac:dyDescent="0.3">
      <c r="A53" s="53">
        <v>2</v>
      </c>
      <c r="B53" s="58"/>
      <c r="C53" s="31"/>
      <c r="D53" s="60"/>
      <c r="E53" s="31"/>
      <c r="F53" s="59"/>
      <c r="G53" s="31"/>
      <c r="H53" s="31"/>
      <c r="I53" s="31"/>
      <c r="J53" s="50">
        <f t="shared" ref="J53:J57" si="7">D53*F53</f>
        <v>0</v>
      </c>
      <c r="K53" s="31"/>
    </row>
    <row r="54" spans="1:11" ht="14.4" x14ac:dyDescent="0.3">
      <c r="A54" s="53">
        <v>3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>
        <v>4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x14ac:dyDescent="0.3">
      <c r="A56" s="53" t="s">
        <v>157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  <row r="57" spans="1:11" ht="14.4" hidden="1" x14ac:dyDescent="0.3">
      <c r="A57" s="54" t="s">
        <v>162</v>
      </c>
      <c r="B57" s="58"/>
      <c r="C57" s="31"/>
      <c r="D57" s="60"/>
      <c r="E57" s="31"/>
      <c r="F57" s="59"/>
      <c r="G57" s="31"/>
      <c r="H57" s="31"/>
      <c r="I57" s="31"/>
      <c r="J57" s="50">
        <f t="shared" si="7"/>
        <v>0</v>
      </c>
      <c r="K57" s="31"/>
    </row>
  </sheetData>
  <hyperlinks>
    <hyperlink ref="K38" r:id="rId1" xr:uid="{E39355D6-BDAA-47CB-BC46-1E217E7B1B14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B5DE9-D2EA-4E5B-A1ED-F9C308812BDD}">
  <sheetPr>
    <tabColor rgb="FF92D050"/>
  </sheetPr>
  <dimension ref="A1:M56"/>
  <sheetViews>
    <sheetView zoomScale="90" zoomScaleNormal="90" workbookViewId="0">
      <selection activeCell="B37" sqref="B37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3.44140625" bestFit="1" customWidth="1"/>
    <col min="7" max="7" width="13.77734375" customWidth="1"/>
    <col min="8" max="8" width="11.77734375" bestFit="1" customWidth="1"/>
    <col min="9" max="9" width="13.6640625" customWidth="1"/>
    <col min="10" max="10" width="18" customWidth="1"/>
    <col min="11" max="11" width="72.6640625" customWidth="1"/>
    <col min="12" max="12" width="10.109375" bestFit="1" customWidth="1"/>
  </cols>
  <sheetData>
    <row r="1" spans="1:13" ht="14.4" x14ac:dyDescent="0.3">
      <c r="I1" s="252" t="s">
        <v>147</v>
      </c>
      <c r="J1" s="253">
        <f>J4+J15+J22+J29+J36+J43+J50</f>
        <v>68000</v>
      </c>
      <c r="K1" t="s">
        <v>96</v>
      </c>
    </row>
    <row r="2" spans="1:13" ht="18" x14ac:dyDescent="0.3">
      <c r="B2" s="146" t="str">
        <f>'Bid Summary'!F30</f>
        <v xml:space="preserve">Magnolia Avenue Crossing – 58-inch Steel Casing Pipe/42-inch Steel Carrier Pipe (Annular Space Backfill) 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148</v>
      </c>
      <c r="C3" s="49" t="s">
        <v>149</v>
      </c>
      <c r="D3" s="49" t="s">
        <v>8</v>
      </c>
      <c r="E3" s="49" t="s">
        <v>150</v>
      </c>
      <c r="F3" s="49" t="s">
        <v>151</v>
      </c>
      <c r="G3" s="49" t="s">
        <v>152</v>
      </c>
      <c r="H3" s="49" t="s">
        <v>175</v>
      </c>
      <c r="I3" s="49" t="s">
        <v>153</v>
      </c>
      <c r="J3" s="49" t="s">
        <v>94</v>
      </c>
      <c r="K3" s="49" t="s">
        <v>154</v>
      </c>
      <c r="L3" s="29"/>
      <c r="M3" s="29"/>
    </row>
    <row r="4" spans="1:13" ht="14.4" x14ac:dyDescent="0.3">
      <c r="A4" s="188"/>
      <c r="B4" s="52" t="s">
        <v>109</v>
      </c>
      <c r="C4" s="30"/>
      <c r="D4" s="30"/>
      <c r="E4" s="30"/>
      <c r="F4" s="30"/>
      <c r="G4" s="30"/>
      <c r="H4" s="30"/>
      <c r="I4" s="30"/>
      <c r="J4" s="56">
        <f>SUM(J5:J14)</f>
        <v>0</v>
      </c>
      <c r="K4" s="30"/>
      <c r="L4" s="29"/>
      <c r="M4" s="29"/>
    </row>
    <row r="5" spans="1:13" ht="14.4" x14ac:dyDescent="0.3">
      <c r="A5" s="53">
        <v>1</v>
      </c>
      <c r="B5" s="255" t="str">
        <f>'Prevailing Wage'!C14</f>
        <v>Labor Lead</v>
      </c>
      <c r="C5" s="31"/>
      <c r="D5" s="60"/>
      <c r="E5" s="31" t="s">
        <v>118</v>
      </c>
      <c r="F5" s="256">
        <f>'Prevailing Wage'!D14</f>
        <v>74.69</v>
      </c>
      <c r="G5" s="31"/>
      <c r="H5" s="31"/>
      <c r="I5" s="31"/>
      <c r="J5" s="50">
        <f>D5*F5</f>
        <v>0</v>
      </c>
      <c r="K5" s="31" t="s">
        <v>158</v>
      </c>
      <c r="L5" s="29"/>
      <c r="M5" s="29"/>
    </row>
    <row r="6" spans="1:13" ht="14.4" x14ac:dyDescent="0.3">
      <c r="A6" s="53">
        <v>2</v>
      </c>
      <c r="B6" s="255" t="str">
        <f>'Prevailing Wage'!C15</f>
        <v>Laborer</v>
      </c>
      <c r="C6" s="31"/>
      <c r="D6" s="225">
        <f>D5*'Bid Schedule'!$N$3</f>
        <v>0</v>
      </c>
      <c r="E6" s="31" t="s">
        <v>118</v>
      </c>
      <c r="F6" s="256">
        <f>'Prevailing Wage'!D15</f>
        <v>71.69</v>
      </c>
      <c r="G6" s="31"/>
      <c r="H6" s="31"/>
      <c r="I6" s="31"/>
      <c r="J6" s="50">
        <f t="shared" ref="J6:J12" si="0">D6*F6</f>
        <v>0</v>
      </c>
      <c r="K6" s="225" t="s">
        <v>159</v>
      </c>
      <c r="L6" s="29"/>
      <c r="M6" s="29"/>
    </row>
    <row r="7" spans="1:13" ht="14.4" x14ac:dyDescent="0.3">
      <c r="A7" s="53">
        <v>3</v>
      </c>
      <c r="B7" s="255" t="str">
        <f>'Prevailing Wage'!C16</f>
        <v>Operator</v>
      </c>
      <c r="C7" s="31"/>
      <c r="D7" s="60"/>
      <c r="E7" s="31" t="s">
        <v>118</v>
      </c>
      <c r="F7" s="256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5" t="str">
        <f>'Prevailing Wage'!C17</f>
        <v>Driver</v>
      </c>
      <c r="C8" s="31"/>
      <c r="D8" s="60"/>
      <c r="E8" s="31" t="s">
        <v>118</v>
      </c>
      <c r="F8" s="256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5" t="str">
        <f>'Prevailing Wage'!C18</f>
        <v>Landscaper</v>
      </c>
      <c r="C9" s="31"/>
      <c r="D9" s="60"/>
      <c r="E9" s="31" t="s">
        <v>118</v>
      </c>
      <c r="F9" s="256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5" t="str">
        <f>'Prevailing Wage'!C19</f>
        <v>Pipefitter</v>
      </c>
      <c r="C10" s="31"/>
      <c r="D10" s="60"/>
      <c r="E10" s="31" t="s">
        <v>118</v>
      </c>
      <c r="F10" s="256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5" t="str">
        <f>'Prevailing Wage'!C20</f>
        <v>Etc</v>
      </c>
      <c r="C11" s="31"/>
      <c r="D11" s="60"/>
      <c r="E11" s="31" t="s">
        <v>118</v>
      </c>
      <c r="F11" s="256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5" t="str">
        <f>'Prevailing Wage'!C21</f>
        <v>Etc</v>
      </c>
      <c r="C12" s="31"/>
      <c r="D12" s="60"/>
      <c r="E12" s="31" t="s">
        <v>118</v>
      </c>
      <c r="F12" s="256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157</v>
      </c>
      <c r="B13" s="58"/>
      <c r="C13" s="31"/>
      <c r="D13" s="60"/>
      <c r="E13" s="31" t="s">
        <v>118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112</v>
      </c>
      <c r="C15" s="30"/>
      <c r="D15" s="30"/>
      <c r="E15" s="30"/>
      <c r="F15" s="30"/>
      <c r="G15" s="30"/>
      <c r="H15" s="30"/>
      <c r="I15" s="30"/>
      <c r="J15" s="56">
        <f>SUM(J16:J21)</f>
        <v>0</v>
      </c>
      <c r="K15" s="30"/>
      <c r="L15" s="29"/>
      <c r="M15" s="29"/>
    </row>
    <row r="16" spans="1:13" ht="14.4" x14ac:dyDescent="0.3">
      <c r="A16" s="53">
        <v>1</v>
      </c>
      <c r="B16" s="57"/>
      <c r="C16" s="31"/>
      <c r="D16" s="60"/>
      <c r="E16" s="31"/>
      <c r="F16" s="59"/>
      <c r="G16" s="31"/>
      <c r="H16" s="31"/>
      <c r="I16" s="31"/>
      <c r="J16" s="50">
        <f>D16*F16</f>
        <v>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157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162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116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9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157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162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136</v>
      </c>
      <c r="C29" s="30"/>
      <c r="D29" s="30"/>
      <c r="E29" s="30"/>
      <c r="F29" s="30"/>
      <c r="G29" s="30"/>
      <c r="H29" s="30"/>
      <c r="I29" s="30"/>
      <c r="J29" s="56">
        <f>SUM(J30:J35)</f>
        <v>68000</v>
      </c>
      <c r="K29" s="30"/>
    </row>
    <row r="30" spans="1:13" ht="14.4" x14ac:dyDescent="0.3">
      <c r="A30" s="53">
        <v>1</v>
      </c>
      <c r="B30" s="57" t="s">
        <v>300</v>
      </c>
      <c r="C30" s="31"/>
      <c r="D30" s="60">
        <v>1</v>
      </c>
      <c r="E30" s="31" t="s">
        <v>107</v>
      </c>
      <c r="F30" s="59">
        <v>68000</v>
      </c>
      <c r="G30" s="31"/>
      <c r="H30" s="31"/>
      <c r="I30" s="31"/>
      <c r="J30" s="50">
        <f>D30*F30</f>
        <v>68000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157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162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121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166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39" t="s">
        <v>168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157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162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123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170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172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157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162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120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157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162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31197208-2840-4BF0-941C-E6803334DB42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4A342-EB00-40D1-A4A3-3C12FD33A7F3}">
  <sheetPr>
    <tabColor rgb="FF92D050"/>
  </sheetPr>
  <dimension ref="A1:M56"/>
  <sheetViews>
    <sheetView zoomScale="90" zoomScaleNormal="90" workbookViewId="0">
      <selection activeCell="F24" sqref="F24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3.109375" customWidth="1"/>
    <col min="7" max="7" width="13.77734375" customWidth="1"/>
    <col min="8" max="8" width="11.77734375" bestFit="1" customWidth="1"/>
    <col min="9" max="9" width="13.6640625" customWidth="1"/>
    <col min="10" max="10" width="15.44140625" customWidth="1"/>
    <col min="11" max="11" width="72.6640625" customWidth="1"/>
    <col min="12" max="12" width="10.109375" bestFit="1" customWidth="1"/>
  </cols>
  <sheetData>
    <row r="1" spans="1:13" ht="14.4" x14ac:dyDescent="0.3">
      <c r="I1" s="252" t="s">
        <v>147</v>
      </c>
      <c r="J1" s="253">
        <f>J4+J15+J22+J29+J36+J43+J50</f>
        <v>34329.599999999999</v>
      </c>
      <c r="K1" t="s">
        <v>96</v>
      </c>
    </row>
    <row r="2" spans="1:13" ht="18" x14ac:dyDescent="0.3">
      <c r="B2" s="146" t="str">
        <f>'Bid Summary'!F31</f>
        <v xml:space="preserve">Magnolia Avenue Crossing – 58-inch Steel Casing Pipe/42-inch Steel Carrier Pipe (Cathodic Protection System) 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148</v>
      </c>
      <c r="C3" s="49" t="s">
        <v>149</v>
      </c>
      <c r="D3" s="49" t="s">
        <v>8</v>
      </c>
      <c r="E3" s="49" t="s">
        <v>150</v>
      </c>
      <c r="F3" s="49" t="s">
        <v>151</v>
      </c>
      <c r="G3" s="49" t="s">
        <v>152</v>
      </c>
      <c r="H3" s="49" t="s">
        <v>175</v>
      </c>
      <c r="I3" s="49" t="s">
        <v>153</v>
      </c>
      <c r="J3" s="49" t="s">
        <v>94</v>
      </c>
      <c r="K3" s="49" t="s">
        <v>154</v>
      </c>
      <c r="L3" s="29"/>
      <c r="M3" s="29"/>
    </row>
    <row r="4" spans="1:13" ht="14.4" x14ac:dyDescent="0.3">
      <c r="A4" s="188"/>
      <c r="B4" s="52" t="s">
        <v>109</v>
      </c>
      <c r="C4" s="30"/>
      <c r="D4" s="30"/>
      <c r="E4" s="30"/>
      <c r="F4" s="30"/>
      <c r="G4" s="30"/>
      <c r="H4" s="30"/>
      <c r="I4" s="30"/>
      <c r="J4" s="56">
        <f>SUM(J5:J14)</f>
        <v>14479.1</v>
      </c>
      <c r="K4" s="30"/>
      <c r="L4" s="29"/>
      <c r="M4" s="29"/>
    </row>
    <row r="5" spans="1:13" ht="14.4" x14ac:dyDescent="0.3">
      <c r="A5" s="53">
        <v>1</v>
      </c>
      <c r="B5" s="255" t="str">
        <f>'Prevailing Wage'!C14</f>
        <v>Labor Lead</v>
      </c>
      <c r="C5" s="31"/>
      <c r="D5" s="60">
        <v>40</v>
      </c>
      <c r="E5" s="31" t="s">
        <v>118</v>
      </c>
      <c r="F5" s="256">
        <f>'Prevailing Wage'!D14</f>
        <v>74.69</v>
      </c>
      <c r="G5" s="31"/>
      <c r="H5" s="31"/>
      <c r="I5" s="31"/>
      <c r="J5" s="50">
        <f>D5*F5</f>
        <v>2987.6</v>
      </c>
      <c r="K5" s="31" t="s">
        <v>158</v>
      </c>
      <c r="L5" s="29"/>
      <c r="M5" s="29"/>
    </row>
    <row r="6" spans="1:13" ht="14.4" x14ac:dyDescent="0.3">
      <c r="A6" s="53">
        <v>2</v>
      </c>
      <c r="B6" s="255" t="str">
        <f>'Prevailing Wage'!C15</f>
        <v>Laborer</v>
      </c>
      <c r="C6" s="31"/>
      <c r="D6" s="225">
        <f>D5*'Bid Schedule'!$N$3</f>
        <v>120</v>
      </c>
      <c r="E6" s="31" t="s">
        <v>118</v>
      </c>
      <c r="F6" s="256">
        <f>'Prevailing Wage'!D15</f>
        <v>71.69</v>
      </c>
      <c r="G6" s="31"/>
      <c r="H6" s="31"/>
      <c r="I6" s="31"/>
      <c r="J6" s="50">
        <f t="shared" ref="J6:J12" si="0">D6*F6</f>
        <v>8602.7999999999993</v>
      </c>
      <c r="K6" s="225" t="s">
        <v>159</v>
      </c>
      <c r="L6" s="29"/>
      <c r="M6" s="29"/>
    </row>
    <row r="7" spans="1:13" ht="14.4" x14ac:dyDescent="0.3">
      <c r="A7" s="53">
        <v>3</v>
      </c>
      <c r="B7" s="255" t="str">
        <f>'Prevailing Wage'!C16</f>
        <v>Operator</v>
      </c>
      <c r="C7" s="31"/>
      <c r="D7" s="60">
        <v>30</v>
      </c>
      <c r="E7" s="31" t="s">
        <v>118</v>
      </c>
      <c r="F7" s="256">
        <f>'Prevailing Wage'!D16</f>
        <v>96.29</v>
      </c>
      <c r="G7" s="31"/>
      <c r="H7" s="31"/>
      <c r="I7" s="31"/>
      <c r="J7" s="50">
        <f t="shared" si="0"/>
        <v>2888.7000000000003</v>
      </c>
      <c r="K7" s="31"/>
      <c r="L7" s="29"/>
      <c r="M7" s="29"/>
    </row>
    <row r="8" spans="1:13" ht="14.4" x14ac:dyDescent="0.3">
      <c r="A8" s="53">
        <v>4</v>
      </c>
      <c r="B8" s="255" t="str">
        <f>'Prevailing Wage'!C17</f>
        <v>Driver</v>
      </c>
      <c r="C8" s="31"/>
      <c r="D8" s="60"/>
      <c r="E8" s="31" t="s">
        <v>118</v>
      </c>
      <c r="F8" s="256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5" t="str">
        <f>'Prevailing Wage'!C18</f>
        <v>Landscaper</v>
      </c>
      <c r="C9" s="31"/>
      <c r="D9" s="60"/>
      <c r="E9" s="31" t="s">
        <v>118</v>
      </c>
      <c r="F9" s="256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5" t="str">
        <f>'Prevailing Wage'!C19</f>
        <v>Pipefitter</v>
      </c>
      <c r="C10" s="31"/>
      <c r="D10" s="60"/>
      <c r="E10" s="31" t="s">
        <v>118</v>
      </c>
      <c r="F10" s="256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5" t="str">
        <f>'Prevailing Wage'!C20</f>
        <v>Etc</v>
      </c>
      <c r="C11" s="31"/>
      <c r="D11" s="60"/>
      <c r="E11" s="31" t="s">
        <v>118</v>
      </c>
      <c r="F11" s="256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5" t="str">
        <f>'Prevailing Wage'!C21</f>
        <v>Etc</v>
      </c>
      <c r="C12" s="31"/>
      <c r="D12" s="60"/>
      <c r="E12" s="31" t="s">
        <v>118</v>
      </c>
      <c r="F12" s="256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157</v>
      </c>
      <c r="B13" s="58"/>
      <c r="C13" s="31"/>
      <c r="D13" s="60"/>
      <c r="E13" s="31" t="s">
        <v>118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112</v>
      </c>
      <c r="C15" s="30"/>
      <c r="D15" s="30"/>
      <c r="E15" s="30"/>
      <c r="F15" s="30"/>
      <c r="G15" s="30"/>
      <c r="H15" s="30"/>
      <c r="I15" s="30"/>
      <c r="J15" s="56">
        <f>SUM(J16:J21)</f>
        <v>12900</v>
      </c>
      <c r="K15" s="30"/>
      <c r="L15" s="29"/>
      <c r="M15" s="29"/>
    </row>
    <row r="16" spans="1:13" ht="14.4" x14ac:dyDescent="0.3">
      <c r="A16" s="53">
        <v>1</v>
      </c>
      <c r="B16" s="57" t="s">
        <v>301</v>
      </c>
      <c r="C16" s="31"/>
      <c r="D16" s="60">
        <v>4</v>
      </c>
      <c r="E16" s="31"/>
      <c r="F16" s="59">
        <v>1500</v>
      </c>
      <c r="G16" s="31"/>
      <c r="H16" s="31"/>
      <c r="I16" s="31"/>
      <c r="J16" s="50">
        <f>D16*F16</f>
        <v>6000</v>
      </c>
      <c r="K16" s="31"/>
      <c r="L16" s="29"/>
      <c r="M16" s="29"/>
    </row>
    <row r="17" spans="1:13" ht="14.4" x14ac:dyDescent="0.3">
      <c r="A17" s="53">
        <v>2</v>
      </c>
      <c r="B17" s="58" t="s">
        <v>302</v>
      </c>
      <c r="C17" s="31"/>
      <c r="D17" s="60">
        <v>1</v>
      </c>
      <c r="E17" s="31" t="s">
        <v>107</v>
      </c>
      <c r="F17" s="59">
        <v>6500</v>
      </c>
      <c r="G17" s="31"/>
      <c r="H17" s="31"/>
      <c r="I17" s="31"/>
      <c r="J17" s="50">
        <f t="shared" ref="J17:J21" si="2">D17*F17</f>
        <v>6500</v>
      </c>
      <c r="K17" s="31"/>
      <c r="L17" s="29"/>
      <c r="M17" s="29"/>
    </row>
    <row r="18" spans="1:13" ht="14.4" x14ac:dyDescent="0.3">
      <c r="A18" s="53">
        <v>3</v>
      </c>
      <c r="B18" s="58" t="s">
        <v>303</v>
      </c>
      <c r="C18" s="31"/>
      <c r="D18" s="60">
        <v>2</v>
      </c>
      <c r="E18" s="31" t="s">
        <v>107</v>
      </c>
      <c r="F18" s="59">
        <v>200</v>
      </c>
      <c r="G18" s="31"/>
      <c r="H18" s="31"/>
      <c r="I18" s="31"/>
      <c r="J18" s="50">
        <f t="shared" si="2"/>
        <v>400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157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162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116</v>
      </c>
      <c r="C22" s="30"/>
      <c r="D22" s="30"/>
      <c r="E22" s="30"/>
      <c r="F22" s="30"/>
      <c r="G22" s="30"/>
      <c r="H22" s="30"/>
      <c r="I22" s="30"/>
      <c r="J22" s="56">
        <f>SUM(J23:J28)</f>
        <v>1800</v>
      </c>
      <c r="K22" s="30"/>
    </row>
    <row r="23" spans="1:13" ht="14.4" x14ac:dyDescent="0.3">
      <c r="A23" s="53">
        <v>1</v>
      </c>
      <c r="B23" s="57" t="s">
        <v>304</v>
      </c>
      <c r="C23" s="31"/>
      <c r="D23" s="60">
        <v>30</v>
      </c>
      <c r="E23" s="31" t="s">
        <v>118</v>
      </c>
      <c r="F23" s="59">
        <v>60</v>
      </c>
      <c r="G23" s="31"/>
      <c r="H23" s="31"/>
      <c r="I23" s="31"/>
      <c r="J23" s="50">
        <f>D23*F23</f>
        <v>1800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9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157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162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136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157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162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121</v>
      </c>
      <c r="C36" s="30"/>
      <c r="D36" s="30"/>
      <c r="E36" s="30"/>
      <c r="F36" s="30"/>
      <c r="G36" s="30"/>
      <c r="H36" s="30"/>
      <c r="I36" s="30"/>
      <c r="J36" s="56">
        <f>SUM(J37:J42)</f>
        <v>3350.5</v>
      </c>
      <c r="K36" s="30"/>
    </row>
    <row r="37" spans="1:11" ht="14.4" x14ac:dyDescent="0.3">
      <c r="A37" s="53">
        <v>1</v>
      </c>
      <c r="B37" s="57" t="s">
        <v>215</v>
      </c>
      <c r="C37" s="31"/>
      <c r="D37" s="270">
        <v>0</v>
      </c>
      <c r="E37" s="31" t="s">
        <v>165</v>
      </c>
      <c r="F37" s="59">
        <v>13100</v>
      </c>
      <c r="G37" s="31"/>
      <c r="H37" s="31"/>
      <c r="I37" s="31"/>
      <c r="J37" s="50">
        <f>D37*F37</f>
        <v>0</v>
      </c>
      <c r="K37" s="31" t="s">
        <v>166</v>
      </c>
    </row>
    <row r="38" spans="1:11" ht="14.4" x14ac:dyDescent="0.3">
      <c r="A38" s="53">
        <v>2</v>
      </c>
      <c r="B38" s="57" t="s">
        <v>216</v>
      </c>
      <c r="C38" s="31"/>
      <c r="D38" s="269">
        <f>2/20</f>
        <v>0.1</v>
      </c>
      <c r="E38" s="31" t="s">
        <v>165</v>
      </c>
      <c r="F38" s="59">
        <v>6055</v>
      </c>
      <c r="G38" s="31"/>
      <c r="H38" s="31"/>
      <c r="I38" s="31"/>
      <c r="J38" s="50">
        <f t="shared" ref="J38:J42" si="5">D38*F38</f>
        <v>605.5</v>
      </c>
      <c r="K38" s="239" t="s">
        <v>168</v>
      </c>
    </row>
    <row r="39" spans="1:11" ht="14.4" x14ac:dyDescent="0.3">
      <c r="A39" s="53">
        <v>3</v>
      </c>
      <c r="B39" s="58" t="s">
        <v>167</v>
      </c>
      <c r="C39" s="31"/>
      <c r="D39" s="269">
        <f t="shared" ref="D39:D40" si="6">2/20</f>
        <v>0.1</v>
      </c>
      <c r="E39" s="31" t="s">
        <v>165</v>
      </c>
      <c r="F39" s="59">
        <v>4345</v>
      </c>
      <c r="G39" s="31"/>
      <c r="H39" s="31"/>
      <c r="I39" s="31"/>
      <c r="J39" s="50">
        <f t="shared" si="5"/>
        <v>434.5</v>
      </c>
      <c r="K39" s="31"/>
    </row>
    <row r="40" spans="1:11" ht="14.4" x14ac:dyDescent="0.3">
      <c r="A40" s="53">
        <v>4</v>
      </c>
      <c r="B40" s="58" t="s">
        <v>169</v>
      </c>
      <c r="C40" s="31"/>
      <c r="D40" s="269">
        <f t="shared" si="6"/>
        <v>0.1</v>
      </c>
      <c r="E40" s="31" t="s">
        <v>165</v>
      </c>
      <c r="F40" s="59">
        <v>605</v>
      </c>
      <c r="G40" s="31"/>
      <c r="H40" s="31"/>
      <c r="I40" s="31"/>
      <c r="J40" s="50">
        <f t="shared" si="5"/>
        <v>60.5</v>
      </c>
      <c r="K40" s="31"/>
    </row>
    <row r="41" spans="1:11" ht="14.4" x14ac:dyDescent="0.3">
      <c r="A41" s="53" t="s">
        <v>157</v>
      </c>
      <c r="B41" s="58" t="s">
        <v>217</v>
      </c>
      <c r="C41" s="31"/>
      <c r="D41" s="270">
        <v>0</v>
      </c>
      <c r="E41" s="31" t="s">
        <v>165</v>
      </c>
      <c r="F41" s="59">
        <v>50000</v>
      </c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162</v>
      </c>
      <c r="B42" s="58" t="s">
        <v>225</v>
      </c>
      <c r="C42" s="31"/>
      <c r="D42" s="60">
        <v>0.5</v>
      </c>
      <c r="E42" s="31" t="s">
        <v>165</v>
      </c>
      <c r="F42" s="59">
        <v>4500</v>
      </c>
      <c r="G42" s="31"/>
      <c r="H42" s="31"/>
      <c r="I42" s="31"/>
      <c r="J42" s="50">
        <f t="shared" si="5"/>
        <v>2250</v>
      </c>
      <c r="K42" s="31"/>
    </row>
    <row r="43" spans="1:11" ht="14.4" x14ac:dyDescent="0.3">
      <c r="A43" s="188"/>
      <c r="B43" s="58"/>
      <c r="C43" s="31"/>
      <c r="D43" s="60"/>
      <c r="E43" s="31"/>
      <c r="F43" s="59"/>
      <c r="G43" s="30"/>
      <c r="H43" s="30"/>
      <c r="I43" s="30"/>
      <c r="J43" s="56">
        <f>SUM(J44:J49)</f>
        <v>1800</v>
      </c>
      <c r="K43" s="30"/>
    </row>
    <row r="44" spans="1:11" ht="14.4" x14ac:dyDescent="0.3">
      <c r="A44" s="53">
        <v>1</v>
      </c>
      <c r="B44" s="52" t="s">
        <v>123</v>
      </c>
      <c r="C44" s="30"/>
      <c r="D44" s="30"/>
      <c r="E44" s="30"/>
      <c r="F44" s="30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7" t="s">
        <v>170</v>
      </c>
      <c r="C45" s="31"/>
      <c r="D45" s="60">
        <f>D7*10</f>
        <v>300</v>
      </c>
      <c r="E45" s="31" t="s">
        <v>171</v>
      </c>
      <c r="F45" s="59">
        <v>6</v>
      </c>
      <c r="G45" s="31"/>
      <c r="H45" s="31"/>
      <c r="I45" s="31"/>
      <c r="J45" s="50">
        <f t="shared" ref="J45:J49" si="7">D45*F45</f>
        <v>1800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7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7"/>
        <v>0</v>
      </c>
      <c r="K47" s="31"/>
    </row>
    <row r="48" spans="1:11" ht="14.4" x14ac:dyDescent="0.3">
      <c r="A48" s="53" t="s">
        <v>157</v>
      </c>
      <c r="B48" s="58"/>
      <c r="C48" s="31"/>
      <c r="D48" s="60"/>
      <c r="E48" s="31"/>
      <c r="F48" s="59"/>
      <c r="G48" s="31"/>
      <c r="H48" s="31"/>
      <c r="I48" s="31"/>
      <c r="J48" s="50">
        <f t="shared" si="7"/>
        <v>0</v>
      </c>
      <c r="K48" s="31"/>
    </row>
    <row r="49" spans="1:11" ht="14.4" hidden="1" x14ac:dyDescent="0.3">
      <c r="A49" s="54" t="s">
        <v>162</v>
      </c>
      <c r="B49" s="58"/>
      <c r="C49" s="31"/>
      <c r="D49" s="60"/>
      <c r="E49" s="31"/>
      <c r="F49" s="59"/>
      <c r="G49" s="31"/>
      <c r="H49" s="31"/>
      <c r="I49" s="31"/>
      <c r="J49" s="50">
        <f t="shared" si="7"/>
        <v>0</v>
      </c>
      <c r="K49" s="31"/>
    </row>
    <row r="50" spans="1:11" ht="14.4" x14ac:dyDescent="0.3">
      <c r="A50" s="188"/>
      <c r="B50" s="52" t="s">
        <v>120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8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8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8"/>
        <v>0</v>
      </c>
      <c r="K54" s="31"/>
    </row>
    <row r="55" spans="1:11" ht="14.4" x14ac:dyDescent="0.3">
      <c r="A55" s="53" t="s">
        <v>157</v>
      </c>
      <c r="B55" s="58"/>
      <c r="C55" s="31"/>
      <c r="D55" s="60"/>
      <c r="E55" s="31"/>
      <c r="F55" s="59"/>
      <c r="G55" s="31"/>
      <c r="H55" s="31"/>
      <c r="I55" s="31"/>
      <c r="J55" s="50">
        <f t="shared" si="8"/>
        <v>0</v>
      </c>
      <c r="K55" s="31"/>
    </row>
    <row r="56" spans="1:11" ht="14.4" hidden="1" x14ac:dyDescent="0.3">
      <c r="A56" s="54" t="s">
        <v>162</v>
      </c>
      <c r="B56" s="58"/>
      <c r="C56" s="31"/>
      <c r="D56" s="60"/>
      <c r="E56" s="31"/>
      <c r="F56" s="59"/>
      <c r="G56" s="31"/>
      <c r="H56" s="31"/>
      <c r="I56" s="31"/>
      <c r="J56" s="50">
        <f t="shared" si="8"/>
        <v>0</v>
      </c>
      <c r="K56" s="31"/>
    </row>
  </sheetData>
  <hyperlinks>
    <hyperlink ref="K38" r:id="rId1" xr:uid="{2B77717F-5543-4D07-B271-D7BCE6B026E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61795-2300-4436-95E8-ECA03994B965}">
  <sheetPr>
    <tabColor rgb="FF92D050"/>
  </sheetPr>
  <dimension ref="A1:M56"/>
  <sheetViews>
    <sheetView zoomScale="90" zoomScaleNormal="90" workbookViewId="0">
      <selection activeCell="F24" sqref="F24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4.109375" customWidth="1"/>
    <col min="11" max="11" width="72.6640625" customWidth="1"/>
    <col min="12" max="12" width="10.109375" bestFit="1" customWidth="1"/>
  </cols>
  <sheetData>
    <row r="1" spans="1:13" ht="14.4" x14ac:dyDescent="0.3">
      <c r="I1" s="252" t="s">
        <v>147</v>
      </c>
      <c r="J1" s="253">
        <f>J4+J15+J22+J29+J36+J43+J50</f>
        <v>28113.8</v>
      </c>
      <c r="K1" t="s">
        <v>96</v>
      </c>
    </row>
    <row r="2" spans="1:13" ht="18" x14ac:dyDescent="0.3">
      <c r="B2" s="146" t="str">
        <f>'Bid Summary'!F32</f>
        <v xml:space="preserve">Valve Cathodic Protection (Lat DE) 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148</v>
      </c>
      <c r="C3" s="49" t="s">
        <v>149</v>
      </c>
      <c r="D3" s="49" t="s">
        <v>8</v>
      </c>
      <c r="E3" s="49" t="s">
        <v>150</v>
      </c>
      <c r="F3" s="49" t="s">
        <v>151</v>
      </c>
      <c r="G3" s="49" t="s">
        <v>152</v>
      </c>
      <c r="H3" s="49" t="s">
        <v>175</v>
      </c>
      <c r="I3" s="49" t="s">
        <v>153</v>
      </c>
      <c r="J3" s="49" t="s">
        <v>94</v>
      </c>
      <c r="K3" s="49" t="s">
        <v>154</v>
      </c>
      <c r="L3" s="29"/>
      <c r="M3" s="29"/>
    </row>
    <row r="4" spans="1:13" ht="14.4" x14ac:dyDescent="0.3">
      <c r="A4" s="188"/>
      <c r="B4" s="52" t="s">
        <v>109</v>
      </c>
      <c r="C4" s="30"/>
      <c r="D4" s="30"/>
      <c r="E4" s="30"/>
      <c r="F4" s="30"/>
      <c r="G4" s="30"/>
      <c r="H4" s="30"/>
      <c r="I4" s="30"/>
      <c r="J4" s="56">
        <f>SUM(J5:J14)</f>
        <v>16413.8</v>
      </c>
      <c r="K4" s="30"/>
      <c r="L4" s="29"/>
      <c r="M4" s="29"/>
    </row>
    <row r="5" spans="1:13" ht="14.4" x14ac:dyDescent="0.3">
      <c r="A5" s="53">
        <v>1</v>
      </c>
      <c r="B5" s="255" t="str">
        <f>'Prevailing Wage'!C14</f>
        <v>Labor Lead</v>
      </c>
      <c r="C5" s="31"/>
      <c r="D5" s="60">
        <v>50</v>
      </c>
      <c r="E5" s="31" t="s">
        <v>118</v>
      </c>
      <c r="F5" s="256">
        <f>'Prevailing Wage'!D14</f>
        <v>74.69</v>
      </c>
      <c r="G5" s="31"/>
      <c r="H5" s="31"/>
      <c r="I5" s="31"/>
      <c r="J5" s="50">
        <f>D5*F5</f>
        <v>3734.5</v>
      </c>
      <c r="K5" s="31" t="s">
        <v>158</v>
      </c>
      <c r="L5" s="29"/>
      <c r="M5" s="29"/>
    </row>
    <row r="6" spans="1:13" ht="14.4" x14ac:dyDescent="0.3">
      <c r="A6" s="53">
        <v>2</v>
      </c>
      <c r="B6" s="255" t="str">
        <f>'Prevailing Wage'!C15</f>
        <v>Laborer</v>
      </c>
      <c r="C6" s="31"/>
      <c r="D6" s="225">
        <f>D5*'Bid Schedule'!$N$3</f>
        <v>150</v>
      </c>
      <c r="E6" s="31" t="s">
        <v>118</v>
      </c>
      <c r="F6" s="256">
        <f>'Prevailing Wage'!D15</f>
        <v>71.69</v>
      </c>
      <c r="G6" s="31"/>
      <c r="H6" s="31"/>
      <c r="I6" s="31"/>
      <c r="J6" s="50">
        <f t="shared" ref="J6:J12" si="0">D6*F6</f>
        <v>10753.5</v>
      </c>
      <c r="K6" s="225" t="s">
        <v>159</v>
      </c>
      <c r="L6" s="29"/>
      <c r="M6" s="29"/>
    </row>
    <row r="7" spans="1:13" ht="14.4" x14ac:dyDescent="0.3">
      <c r="A7" s="53">
        <v>3</v>
      </c>
      <c r="B7" s="255" t="str">
        <f>'Prevailing Wage'!C16</f>
        <v>Operator</v>
      </c>
      <c r="C7" s="31"/>
      <c r="D7" s="60">
        <v>20</v>
      </c>
      <c r="E7" s="31" t="s">
        <v>118</v>
      </c>
      <c r="F7" s="256">
        <f>'Prevailing Wage'!D16</f>
        <v>96.29</v>
      </c>
      <c r="G7" s="31"/>
      <c r="H7" s="31"/>
      <c r="I7" s="31"/>
      <c r="J7" s="50">
        <f t="shared" si="0"/>
        <v>1925.8000000000002</v>
      </c>
      <c r="K7" s="31"/>
      <c r="L7" s="29"/>
      <c r="M7" s="29"/>
    </row>
    <row r="8" spans="1:13" ht="14.4" x14ac:dyDescent="0.3">
      <c r="A8" s="53">
        <v>4</v>
      </c>
      <c r="B8" s="255" t="str">
        <f>'Prevailing Wage'!C17</f>
        <v>Driver</v>
      </c>
      <c r="C8" s="31"/>
      <c r="D8" s="60"/>
      <c r="E8" s="31" t="s">
        <v>118</v>
      </c>
      <c r="F8" s="256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5" t="str">
        <f>'Prevailing Wage'!C18</f>
        <v>Landscaper</v>
      </c>
      <c r="C9" s="31"/>
      <c r="D9" s="60"/>
      <c r="E9" s="31" t="s">
        <v>118</v>
      </c>
      <c r="F9" s="256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5" t="str">
        <f>'Prevailing Wage'!C19</f>
        <v>Pipefitter</v>
      </c>
      <c r="C10" s="31"/>
      <c r="D10" s="60"/>
      <c r="E10" s="31" t="s">
        <v>118</v>
      </c>
      <c r="F10" s="256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5" t="str">
        <f>'Prevailing Wage'!C20</f>
        <v>Etc</v>
      </c>
      <c r="C11" s="31"/>
      <c r="D11" s="60"/>
      <c r="E11" s="31" t="s">
        <v>118</v>
      </c>
      <c r="F11" s="256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5" t="str">
        <f>'Prevailing Wage'!C21</f>
        <v>Etc</v>
      </c>
      <c r="C12" s="31"/>
      <c r="D12" s="60"/>
      <c r="E12" s="31" t="s">
        <v>118</v>
      </c>
      <c r="F12" s="256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157</v>
      </c>
      <c r="B13" s="58"/>
      <c r="C13" s="31"/>
      <c r="D13" s="60"/>
      <c r="E13" s="31" t="s">
        <v>118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112</v>
      </c>
      <c r="C15" s="30"/>
      <c r="D15" s="30"/>
      <c r="E15" s="30"/>
      <c r="F15" s="30"/>
      <c r="G15" s="30"/>
      <c r="H15" s="30"/>
      <c r="I15" s="30"/>
      <c r="J15" s="56">
        <f>SUM(J16:J21)</f>
        <v>10500</v>
      </c>
      <c r="K15" s="30"/>
      <c r="L15" s="29"/>
      <c r="M15" s="29"/>
    </row>
    <row r="16" spans="1:13" ht="14.4" x14ac:dyDescent="0.3">
      <c r="A16" s="53">
        <v>1</v>
      </c>
      <c r="B16" s="57" t="s">
        <v>301</v>
      </c>
      <c r="C16" s="31"/>
      <c r="D16" s="60">
        <v>3</v>
      </c>
      <c r="E16" s="31" t="s">
        <v>107</v>
      </c>
      <c r="F16" s="59">
        <v>1000</v>
      </c>
      <c r="G16" s="31"/>
      <c r="H16" s="31"/>
      <c r="I16" s="31"/>
      <c r="J16" s="50">
        <f>D16*F16</f>
        <v>3000</v>
      </c>
      <c r="K16" s="31"/>
      <c r="L16" s="29"/>
      <c r="M16" s="29"/>
    </row>
    <row r="17" spans="1:13" ht="14.4" x14ac:dyDescent="0.3">
      <c r="A17" s="53">
        <v>2</v>
      </c>
      <c r="B17" s="58" t="s">
        <v>302</v>
      </c>
      <c r="C17" s="31"/>
      <c r="D17" s="60">
        <v>3</v>
      </c>
      <c r="E17" s="31" t="s">
        <v>107</v>
      </c>
      <c r="F17" s="59">
        <v>1500</v>
      </c>
      <c r="G17" s="31"/>
      <c r="H17" s="31"/>
      <c r="I17" s="31"/>
      <c r="J17" s="50">
        <f t="shared" ref="J17:J21" si="2">D17*F17</f>
        <v>4500</v>
      </c>
      <c r="K17" s="31"/>
      <c r="L17" s="29"/>
      <c r="M17" s="29"/>
    </row>
    <row r="18" spans="1:13" ht="14.4" x14ac:dyDescent="0.3">
      <c r="A18" s="53">
        <v>3</v>
      </c>
      <c r="B18" s="58" t="s">
        <v>305</v>
      </c>
      <c r="C18" s="31"/>
      <c r="D18" s="60">
        <v>1</v>
      </c>
      <c r="E18" s="31" t="s">
        <v>107</v>
      </c>
      <c r="F18" s="59">
        <v>3000</v>
      </c>
      <c r="G18" s="31"/>
      <c r="H18" s="31"/>
      <c r="I18" s="31"/>
      <c r="J18" s="50">
        <f t="shared" si="2"/>
        <v>3000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157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162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116</v>
      </c>
      <c r="C22" s="30"/>
      <c r="D22" s="30"/>
      <c r="E22" s="30"/>
      <c r="F22" s="30"/>
      <c r="G22" s="30"/>
      <c r="H22" s="30"/>
      <c r="I22" s="30"/>
      <c r="J22" s="56">
        <f>SUM(J23:J28)</f>
        <v>1200</v>
      </c>
      <c r="K22" s="30"/>
    </row>
    <row r="23" spans="1:13" ht="14.4" x14ac:dyDescent="0.3">
      <c r="A23" s="53">
        <v>1</v>
      </c>
      <c r="B23" s="57" t="s">
        <v>304</v>
      </c>
      <c r="C23" s="31"/>
      <c r="D23" s="60">
        <v>20</v>
      </c>
      <c r="E23" s="31" t="s">
        <v>118</v>
      </c>
      <c r="F23" s="59">
        <v>60</v>
      </c>
      <c r="G23" s="31"/>
      <c r="H23" s="31"/>
      <c r="I23" s="31"/>
      <c r="J23" s="50">
        <f>D23*F23</f>
        <v>1200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9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157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162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136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157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162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121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166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39" t="s">
        <v>168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157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162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123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170</v>
      </c>
      <c r="C44" s="31"/>
      <c r="D44" s="60"/>
      <c r="E44" s="31" t="s">
        <v>241</v>
      </c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172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157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162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120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157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162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01FB0725-AC5D-4930-B927-AD67921DCA64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62758-AB23-46D8-B905-C26CA223968A}">
  <sheetPr>
    <tabColor rgb="FF92D050"/>
  </sheetPr>
  <dimension ref="A1:M56"/>
  <sheetViews>
    <sheetView zoomScale="90" zoomScaleNormal="90" workbookViewId="0">
      <selection activeCell="D19" sqref="D19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5.44140625" customWidth="1"/>
    <col min="11" max="11" width="72.6640625" customWidth="1"/>
    <col min="12" max="12" width="10.109375" bestFit="1" customWidth="1"/>
  </cols>
  <sheetData>
    <row r="1" spans="1:13" ht="14.4" x14ac:dyDescent="0.3">
      <c r="I1" s="252" t="s">
        <v>147</v>
      </c>
      <c r="J1" s="253">
        <f>J4+J15+J22+J29+J36+J43+J50</f>
        <v>33913.800000000003</v>
      </c>
      <c r="K1" t="s">
        <v>96</v>
      </c>
    </row>
    <row r="2" spans="1:13" ht="18" x14ac:dyDescent="0.3">
      <c r="B2" s="146" t="str">
        <f>'Bid Summary'!F33</f>
        <v xml:space="preserve">Valve Cathodic Protection Test Station (Lat DE) 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148</v>
      </c>
      <c r="C3" s="49" t="s">
        <v>149</v>
      </c>
      <c r="D3" s="49" t="s">
        <v>8</v>
      </c>
      <c r="E3" s="49" t="s">
        <v>150</v>
      </c>
      <c r="F3" s="49" t="s">
        <v>151</v>
      </c>
      <c r="G3" s="49" t="s">
        <v>152</v>
      </c>
      <c r="H3" s="49" t="s">
        <v>175</v>
      </c>
      <c r="I3" s="49" t="s">
        <v>153</v>
      </c>
      <c r="J3" s="49" t="s">
        <v>94</v>
      </c>
      <c r="K3" s="49" t="s">
        <v>154</v>
      </c>
      <c r="L3" s="29"/>
      <c r="M3" s="29"/>
    </row>
    <row r="4" spans="1:13" ht="14.4" x14ac:dyDescent="0.3">
      <c r="A4" s="188"/>
      <c r="B4" s="52" t="s">
        <v>109</v>
      </c>
      <c r="C4" s="30"/>
      <c r="D4" s="30"/>
      <c r="E4" s="30"/>
      <c r="F4" s="30"/>
      <c r="G4" s="30"/>
      <c r="H4" s="30"/>
      <c r="I4" s="30"/>
      <c r="J4" s="56">
        <f>SUM(J5:J14)</f>
        <v>16413.8</v>
      </c>
      <c r="K4" s="30"/>
      <c r="L4" s="29"/>
      <c r="M4" s="29"/>
    </row>
    <row r="5" spans="1:13" ht="14.4" x14ac:dyDescent="0.3">
      <c r="A5" s="53">
        <v>1</v>
      </c>
      <c r="B5" s="255" t="str">
        <f>'Prevailing Wage'!C14</f>
        <v>Labor Lead</v>
      </c>
      <c r="C5" s="31"/>
      <c r="D5" s="60">
        <v>50</v>
      </c>
      <c r="E5" s="31" t="s">
        <v>118</v>
      </c>
      <c r="F5" s="256">
        <f>'Prevailing Wage'!D14</f>
        <v>74.69</v>
      </c>
      <c r="G5" s="31"/>
      <c r="H5" s="31"/>
      <c r="I5" s="31"/>
      <c r="J5" s="50">
        <f>D5*F5</f>
        <v>3734.5</v>
      </c>
      <c r="K5" s="31" t="s">
        <v>158</v>
      </c>
      <c r="L5" s="29"/>
      <c r="M5" s="29"/>
    </row>
    <row r="6" spans="1:13" ht="14.4" x14ac:dyDescent="0.3">
      <c r="A6" s="53">
        <v>2</v>
      </c>
      <c r="B6" s="255" t="str">
        <f>'Prevailing Wage'!C15</f>
        <v>Laborer</v>
      </c>
      <c r="C6" s="31"/>
      <c r="D6" s="225">
        <f>D5*'Bid Schedule'!$N$3</f>
        <v>150</v>
      </c>
      <c r="E6" s="31" t="s">
        <v>118</v>
      </c>
      <c r="F6" s="256">
        <f>'Prevailing Wage'!D15</f>
        <v>71.69</v>
      </c>
      <c r="G6" s="31"/>
      <c r="H6" s="31"/>
      <c r="I6" s="31"/>
      <c r="J6" s="50">
        <f t="shared" ref="J6:J12" si="0">D6*F6</f>
        <v>10753.5</v>
      </c>
      <c r="K6" s="225" t="s">
        <v>159</v>
      </c>
      <c r="L6" s="29"/>
      <c r="M6" s="29"/>
    </row>
    <row r="7" spans="1:13" ht="14.4" x14ac:dyDescent="0.3">
      <c r="A7" s="53">
        <v>3</v>
      </c>
      <c r="B7" s="255" t="str">
        <f>'Prevailing Wage'!C16</f>
        <v>Operator</v>
      </c>
      <c r="C7" s="31"/>
      <c r="D7" s="60">
        <v>20</v>
      </c>
      <c r="E7" s="31" t="s">
        <v>118</v>
      </c>
      <c r="F7" s="256">
        <f>'Prevailing Wage'!D16</f>
        <v>96.29</v>
      </c>
      <c r="G7" s="31"/>
      <c r="H7" s="31"/>
      <c r="I7" s="31"/>
      <c r="J7" s="50">
        <f t="shared" si="0"/>
        <v>1925.8000000000002</v>
      </c>
      <c r="K7" s="31"/>
      <c r="L7" s="29"/>
      <c r="M7" s="29"/>
    </row>
    <row r="8" spans="1:13" ht="14.4" x14ac:dyDescent="0.3">
      <c r="A8" s="53">
        <v>4</v>
      </c>
      <c r="B8" s="255" t="str">
        <f>'Prevailing Wage'!C17</f>
        <v>Driver</v>
      </c>
      <c r="C8" s="31"/>
      <c r="D8" s="60"/>
      <c r="E8" s="31" t="s">
        <v>118</v>
      </c>
      <c r="F8" s="256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5" t="str">
        <f>'Prevailing Wage'!C18</f>
        <v>Landscaper</v>
      </c>
      <c r="C9" s="31"/>
      <c r="D9" s="60"/>
      <c r="E9" s="31" t="s">
        <v>118</v>
      </c>
      <c r="F9" s="256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5" t="str">
        <f>'Prevailing Wage'!C19</f>
        <v>Pipefitter</v>
      </c>
      <c r="C10" s="31"/>
      <c r="D10" s="60"/>
      <c r="E10" s="31" t="s">
        <v>118</v>
      </c>
      <c r="F10" s="256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5" t="str">
        <f>'Prevailing Wage'!C20</f>
        <v>Etc</v>
      </c>
      <c r="C11" s="31"/>
      <c r="D11" s="60"/>
      <c r="E11" s="31" t="s">
        <v>118</v>
      </c>
      <c r="F11" s="256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5" t="str">
        <f>'Prevailing Wage'!C21</f>
        <v>Etc</v>
      </c>
      <c r="C12" s="31"/>
      <c r="D12" s="60"/>
      <c r="E12" s="31" t="s">
        <v>118</v>
      </c>
      <c r="F12" s="256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157</v>
      </c>
      <c r="B13" s="58"/>
      <c r="C13" s="31"/>
      <c r="D13" s="60"/>
      <c r="E13" s="31" t="s">
        <v>118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112</v>
      </c>
      <c r="C15" s="30"/>
      <c r="D15" s="30"/>
      <c r="E15" s="30"/>
      <c r="F15" s="30"/>
      <c r="G15" s="30"/>
      <c r="H15" s="30"/>
      <c r="I15" s="30"/>
      <c r="J15" s="56">
        <f>SUM(J16:J21)</f>
        <v>13600</v>
      </c>
      <c r="K15" s="30"/>
      <c r="L15" s="29"/>
      <c r="M15" s="29"/>
    </row>
    <row r="16" spans="1:13" ht="14.4" x14ac:dyDescent="0.3">
      <c r="A16" s="53">
        <v>1</v>
      </c>
      <c r="B16" s="57" t="s">
        <v>302</v>
      </c>
      <c r="C16" s="31"/>
      <c r="D16" s="60">
        <v>3</v>
      </c>
      <c r="E16" s="31" t="s">
        <v>107</v>
      </c>
      <c r="F16" s="59">
        <v>2500</v>
      </c>
      <c r="G16" s="31"/>
      <c r="H16" s="31"/>
      <c r="I16" s="31"/>
      <c r="J16" s="50">
        <f>D16*F16</f>
        <v>7500</v>
      </c>
      <c r="K16" s="31"/>
      <c r="L16" s="29"/>
      <c r="M16" s="29"/>
    </row>
    <row r="17" spans="1:13" ht="14.4" x14ac:dyDescent="0.3">
      <c r="A17" s="53">
        <v>2</v>
      </c>
      <c r="B17" s="58" t="s">
        <v>303</v>
      </c>
      <c r="C17" s="31"/>
      <c r="D17" s="60">
        <v>3</v>
      </c>
      <c r="E17" s="31" t="s">
        <v>107</v>
      </c>
      <c r="F17" s="59">
        <v>200</v>
      </c>
      <c r="G17" s="31"/>
      <c r="H17" s="31"/>
      <c r="I17" s="31"/>
      <c r="J17" s="50">
        <f t="shared" ref="J17:J21" si="2">D17*F17</f>
        <v>600</v>
      </c>
      <c r="K17" s="31"/>
      <c r="L17" s="29"/>
      <c r="M17" s="29"/>
    </row>
    <row r="18" spans="1:13" ht="14.4" x14ac:dyDescent="0.3">
      <c r="A18" s="53">
        <v>3</v>
      </c>
      <c r="B18" s="58" t="s">
        <v>306</v>
      </c>
      <c r="C18" s="31"/>
      <c r="D18" s="60">
        <v>1</v>
      </c>
      <c r="E18" s="31" t="s">
        <v>160</v>
      </c>
      <c r="F18" s="59">
        <v>5500</v>
      </c>
      <c r="G18" s="31"/>
      <c r="H18" s="31"/>
      <c r="I18" s="31"/>
      <c r="J18" s="50">
        <f t="shared" si="2"/>
        <v>5500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157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162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116</v>
      </c>
      <c r="C22" s="30"/>
      <c r="D22" s="30"/>
      <c r="E22" s="30"/>
      <c r="F22" s="30"/>
      <c r="G22" s="30"/>
      <c r="H22" s="30"/>
      <c r="I22" s="30"/>
      <c r="J22" s="56">
        <f>SUM(J23:J28)</f>
        <v>3000</v>
      </c>
      <c r="K22" s="30"/>
    </row>
    <row r="23" spans="1:13" ht="14.4" x14ac:dyDescent="0.3">
      <c r="A23" s="53">
        <v>1</v>
      </c>
      <c r="B23" s="57" t="s">
        <v>304</v>
      </c>
      <c r="C23" s="31"/>
      <c r="D23" s="60">
        <v>50</v>
      </c>
      <c r="E23" s="31" t="s">
        <v>118</v>
      </c>
      <c r="F23" s="59">
        <v>60</v>
      </c>
      <c r="G23" s="31"/>
      <c r="H23" s="31"/>
      <c r="I23" s="31"/>
      <c r="J23" s="50">
        <f>D23*F23</f>
        <v>3000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9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157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162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136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157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162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121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166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39" t="s">
        <v>168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157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162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123</v>
      </c>
      <c r="C43" s="30"/>
      <c r="D43" s="30"/>
      <c r="E43" s="30"/>
      <c r="F43" s="30"/>
      <c r="G43" s="30"/>
      <c r="H43" s="30"/>
      <c r="I43" s="30"/>
      <c r="J43" s="56">
        <f>SUM(J44:J49)</f>
        <v>900</v>
      </c>
      <c r="K43" s="30"/>
    </row>
    <row r="44" spans="1:11" ht="14.4" x14ac:dyDescent="0.3">
      <c r="A44" s="53">
        <v>1</v>
      </c>
      <c r="B44" s="57" t="s">
        <v>170</v>
      </c>
      <c r="C44" s="31"/>
      <c r="D44" s="60">
        <v>150</v>
      </c>
      <c r="E44" s="31" t="s">
        <v>241</v>
      </c>
      <c r="F44" s="59">
        <v>6</v>
      </c>
      <c r="G44" s="31"/>
      <c r="H44" s="31"/>
      <c r="I44" s="31"/>
      <c r="J44" s="50">
        <f>D44*F44</f>
        <v>900</v>
      </c>
      <c r="K44" s="31"/>
    </row>
    <row r="45" spans="1:11" ht="14.4" x14ac:dyDescent="0.3">
      <c r="A45" s="53">
        <v>2</v>
      </c>
      <c r="B45" s="58" t="s">
        <v>172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157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162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120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157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162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6241F04C-E9D5-4D77-B384-41FFDA9AA0F7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76E84-C505-4469-B5CB-E3F5A6E2658E}">
  <sheetPr>
    <tabColor rgb="FF92D050"/>
  </sheetPr>
  <dimension ref="A1:M56"/>
  <sheetViews>
    <sheetView zoomScale="90" zoomScaleNormal="90" workbookViewId="0">
      <selection activeCell="F18" sqref="F18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4.44140625" customWidth="1"/>
    <col min="11" max="11" width="72.6640625" customWidth="1"/>
    <col min="12" max="12" width="10.109375" bestFit="1" customWidth="1"/>
  </cols>
  <sheetData>
    <row r="1" spans="1:13" ht="14.4" x14ac:dyDescent="0.3">
      <c r="I1" s="252" t="s">
        <v>147</v>
      </c>
      <c r="J1" s="253">
        <f>J4+J15+J22+J29+J36+J43+J50</f>
        <v>13460.5</v>
      </c>
      <c r="K1" t="s">
        <v>96</v>
      </c>
    </row>
    <row r="2" spans="1:13" ht="18" x14ac:dyDescent="0.3">
      <c r="B2" s="146" t="str">
        <f>'Bid Summary'!F34</f>
        <v xml:space="preserve">Flange Insulation Kits (Lat DE and Lat DE-1) 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148</v>
      </c>
      <c r="C3" s="49" t="s">
        <v>149</v>
      </c>
      <c r="D3" s="49" t="s">
        <v>8</v>
      </c>
      <c r="E3" s="49" t="s">
        <v>150</v>
      </c>
      <c r="F3" s="49" t="s">
        <v>151</v>
      </c>
      <c r="G3" s="49" t="s">
        <v>152</v>
      </c>
      <c r="H3" s="49" t="s">
        <v>175</v>
      </c>
      <c r="I3" s="49" t="s">
        <v>153</v>
      </c>
      <c r="J3" s="49" t="s">
        <v>94</v>
      </c>
      <c r="K3" s="49" t="s">
        <v>154</v>
      </c>
      <c r="L3" s="29"/>
      <c r="M3" s="29"/>
    </row>
    <row r="4" spans="1:13" ht="14.4" x14ac:dyDescent="0.3">
      <c r="A4" s="188"/>
      <c r="B4" s="52" t="s">
        <v>109</v>
      </c>
      <c r="C4" s="30"/>
      <c r="D4" s="30"/>
      <c r="E4" s="30"/>
      <c r="F4" s="30"/>
      <c r="G4" s="30"/>
      <c r="H4" s="30"/>
      <c r="I4" s="30"/>
      <c r="J4" s="56">
        <f>SUM(J5:J14)</f>
        <v>3860.5</v>
      </c>
      <c r="K4" s="30"/>
      <c r="L4" s="29"/>
      <c r="M4" s="29"/>
    </row>
    <row r="5" spans="1:13" ht="14.4" x14ac:dyDescent="0.3">
      <c r="A5" s="53">
        <v>1</v>
      </c>
      <c r="B5" s="255" t="str">
        <f>'Prevailing Wage'!C14</f>
        <v>Labor Lead</v>
      </c>
      <c r="C5" s="31"/>
      <c r="D5" s="60">
        <v>10</v>
      </c>
      <c r="E5" s="31" t="s">
        <v>118</v>
      </c>
      <c r="F5" s="256">
        <f>'Prevailing Wage'!D14</f>
        <v>74.69</v>
      </c>
      <c r="G5" s="31"/>
      <c r="H5" s="31"/>
      <c r="I5" s="31"/>
      <c r="J5" s="50">
        <f>D5*F5</f>
        <v>746.9</v>
      </c>
      <c r="K5" s="31" t="s">
        <v>158</v>
      </c>
      <c r="L5" s="29"/>
      <c r="M5" s="29"/>
    </row>
    <row r="6" spans="1:13" ht="14.4" x14ac:dyDescent="0.3">
      <c r="A6" s="53">
        <v>2</v>
      </c>
      <c r="B6" s="255" t="str">
        <f>'Prevailing Wage'!C15</f>
        <v>Laborer</v>
      </c>
      <c r="C6" s="31"/>
      <c r="D6" s="225">
        <f>D5*'Bid Schedule'!$N$3</f>
        <v>30</v>
      </c>
      <c r="E6" s="31" t="s">
        <v>118</v>
      </c>
      <c r="F6" s="256">
        <f>'Prevailing Wage'!D15</f>
        <v>71.69</v>
      </c>
      <c r="G6" s="31"/>
      <c r="H6" s="31"/>
      <c r="I6" s="31"/>
      <c r="J6" s="50">
        <f t="shared" ref="J6:J12" si="0">D6*F6</f>
        <v>2150.6999999999998</v>
      </c>
      <c r="K6" s="225" t="s">
        <v>159</v>
      </c>
      <c r="L6" s="29"/>
      <c r="M6" s="29"/>
    </row>
    <row r="7" spans="1:13" ht="14.4" x14ac:dyDescent="0.3">
      <c r="A7" s="53">
        <v>3</v>
      </c>
      <c r="B7" s="255" t="str">
        <f>'Prevailing Wage'!C16</f>
        <v>Operator</v>
      </c>
      <c r="C7" s="31"/>
      <c r="D7" s="60">
        <v>10</v>
      </c>
      <c r="E7" s="31" t="s">
        <v>118</v>
      </c>
      <c r="F7" s="256">
        <f>'Prevailing Wage'!D16</f>
        <v>96.29</v>
      </c>
      <c r="G7" s="31"/>
      <c r="H7" s="31"/>
      <c r="I7" s="31"/>
      <c r="J7" s="50">
        <f t="shared" si="0"/>
        <v>962.90000000000009</v>
      </c>
      <c r="K7" s="31"/>
      <c r="L7" s="29"/>
      <c r="M7" s="29"/>
    </row>
    <row r="8" spans="1:13" ht="14.4" x14ac:dyDescent="0.3">
      <c r="A8" s="53">
        <v>4</v>
      </c>
      <c r="B8" s="255" t="str">
        <f>'Prevailing Wage'!C17</f>
        <v>Driver</v>
      </c>
      <c r="C8" s="31"/>
      <c r="D8" s="60"/>
      <c r="E8" s="31" t="s">
        <v>118</v>
      </c>
      <c r="F8" s="256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5" t="str">
        <f>'Prevailing Wage'!C18</f>
        <v>Landscaper</v>
      </c>
      <c r="C9" s="31"/>
      <c r="D9" s="60"/>
      <c r="E9" s="31" t="s">
        <v>118</v>
      </c>
      <c r="F9" s="256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5" t="str">
        <f>'Prevailing Wage'!C19</f>
        <v>Pipefitter</v>
      </c>
      <c r="C10" s="31"/>
      <c r="D10" s="60"/>
      <c r="E10" s="31" t="s">
        <v>118</v>
      </c>
      <c r="F10" s="256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5" t="str">
        <f>'Prevailing Wage'!C20</f>
        <v>Etc</v>
      </c>
      <c r="C11" s="31"/>
      <c r="D11" s="60"/>
      <c r="E11" s="31" t="s">
        <v>118</v>
      </c>
      <c r="F11" s="256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5" t="str">
        <f>'Prevailing Wage'!C21</f>
        <v>Etc</v>
      </c>
      <c r="C12" s="31"/>
      <c r="D12" s="60"/>
      <c r="E12" s="31" t="s">
        <v>118</v>
      </c>
      <c r="F12" s="256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157</v>
      </c>
      <c r="B13" s="58"/>
      <c r="C13" s="31"/>
      <c r="D13" s="60"/>
      <c r="E13" s="31" t="s">
        <v>118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112</v>
      </c>
      <c r="C15" s="30"/>
      <c r="D15" s="30"/>
      <c r="E15" s="30"/>
      <c r="F15" s="30"/>
      <c r="G15" s="30"/>
      <c r="H15" s="30"/>
      <c r="I15" s="30"/>
      <c r="J15" s="56">
        <f>SUM(J16:J21)</f>
        <v>9600</v>
      </c>
      <c r="K15" s="30"/>
      <c r="L15" s="29"/>
      <c r="M15" s="29"/>
    </row>
    <row r="16" spans="1:13" ht="14.4" x14ac:dyDescent="0.3">
      <c r="A16" s="53">
        <v>1</v>
      </c>
      <c r="B16" s="57" t="s">
        <v>307</v>
      </c>
      <c r="C16" s="31"/>
      <c r="D16" s="60">
        <v>16</v>
      </c>
      <c r="E16" s="31"/>
      <c r="F16" s="59">
        <v>100</v>
      </c>
      <c r="G16" s="31"/>
      <c r="H16" s="31"/>
      <c r="I16" s="31"/>
      <c r="J16" s="50">
        <f>D16*F16</f>
        <v>1600</v>
      </c>
      <c r="K16" s="31"/>
      <c r="L16" s="29"/>
      <c r="M16" s="29"/>
    </row>
    <row r="17" spans="1:13" ht="14.4" x14ac:dyDescent="0.3">
      <c r="A17" s="53">
        <v>2</v>
      </c>
      <c r="B17" s="58" t="s">
        <v>308</v>
      </c>
      <c r="C17" s="31"/>
      <c r="D17" s="60">
        <v>16</v>
      </c>
      <c r="E17" s="31" t="s">
        <v>107</v>
      </c>
      <c r="F17" s="59">
        <v>500</v>
      </c>
      <c r="G17" s="31"/>
      <c r="H17" s="31"/>
      <c r="I17" s="31"/>
      <c r="J17" s="50">
        <f t="shared" ref="J17:J21" si="2">D17*F17</f>
        <v>8000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157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162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116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9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157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162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136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157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162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121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166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39" t="s">
        <v>168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157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162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123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170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172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157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162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120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157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162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EB98A5D8-8B02-4FFF-B5BF-C479509FB3A8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936C7-B614-4662-A43D-27B8E8F8078F}">
  <sheetPr>
    <tabColor rgb="FF92D050"/>
  </sheetPr>
  <dimension ref="A1:M56"/>
  <sheetViews>
    <sheetView zoomScale="90" zoomScaleNormal="90" workbookViewId="0">
      <selection activeCell="D9" sqref="D9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6" customWidth="1"/>
    <col min="11" max="11" width="72.6640625" customWidth="1"/>
    <col min="12" max="12" width="10.109375" bestFit="1" customWidth="1"/>
  </cols>
  <sheetData>
    <row r="1" spans="1:13" ht="14.4" x14ac:dyDescent="0.3">
      <c r="I1" s="252" t="s">
        <v>147</v>
      </c>
      <c r="J1" s="253">
        <f>J4+J15+J22+J29+J36+J43+J50</f>
        <v>67896.959999999992</v>
      </c>
      <c r="K1" t="s">
        <v>96</v>
      </c>
    </row>
    <row r="2" spans="1:13" ht="18" x14ac:dyDescent="0.3">
      <c r="B2" s="146" t="str">
        <f>'Bid Summary'!F35</f>
        <v>Flange Insulation Cathodic Protection Test Station (Lat DE)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148</v>
      </c>
      <c r="C3" s="49" t="s">
        <v>149</v>
      </c>
      <c r="D3" s="49" t="s">
        <v>8</v>
      </c>
      <c r="E3" s="49" t="s">
        <v>150</v>
      </c>
      <c r="F3" s="49" t="s">
        <v>151</v>
      </c>
      <c r="G3" s="49" t="s">
        <v>152</v>
      </c>
      <c r="H3" s="49" t="s">
        <v>175</v>
      </c>
      <c r="I3" s="49" t="s">
        <v>153</v>
      </c>
      <c r="J3" s="49" t="s">
        <v>94</v>
      </c>
      <c r="K3" s="49" t="s">
        <v>154</v>
      </c>
      <c r="L3" s="29"/>
      <c r="M3" s="29"/>
    </row>
    <row r="4" spans="1:13" ht="14.4" x14ac:dyDescent="0.3">
      <c r="A4" s="188"/>
      <c r="B4" s="52" t="s">
        <v>109</v>
      </c>
      <c r="C4" s="30"/>
      <c r="D4" s="30"/>
      <c r="E4" s="30"/>
      <c r="F4" s="30"/>
      <c r="G4" s="30"/>
      <c r="H4" s="30"/>
      <c r="I4" s="30"/>
      <c r="J4" s="56">
        <f>SUM(J5:J14)</f>
        <v>27816.959999999999</v>
      </c>
      <c r="K4" s="30"/>
      <c r="L4" s="29"/>
      <c r="M4" s="29"/>
    </row>
    <row r="5" spans="1:13" ht="14.4" x14ac:dyDescent="0.3">
      <c r="A5" s="53">
        <v>1</v>
      </c>
      <c r="B5" s="255" t="str">
        <f>'Prevailing Wage'!C14</f>
        <v>Labor Lead</v>
      </c>
      <c r="C5" s="31"/>
      <c r="D5" s="60">
        <v>96</v>
      </c>
      <c r="E5" s="31" t="s">
        <v>118</v>
      </c>
      <c r="F5" s="256">
        <f>'Prevailing Wage'!D14</f>
        <v>74.69</v>
      </c>
      <c r="G5" s="31"/>
      <c r="H5" s="31"/>
      <c r="I5" s="31"/>
      <c r="J5" s="50">
        <f>D5*F5</f>
        <v>7170.24</v>
      </c>
      <c r="K5" s="31" t="s">
        <v>158</v>
      </c>
      <c r="L5" s="29"/>
      <c r="M5" s="29"/>
    </row>
    <row r="6" spans="1:13" ht="14.4" x14ac:dyDescent="0.3">
      <c r="A6" s="53">
        <v>2</v>
      </c>
      <c r="B6" s="255" t="str">
        <f>'Prevailing Wage'!C15</f>
        <v>Laborer</v>
      </c>
      <c r="C6" s="31"/>
      <c r="D6" s="225">
        <f>D5*'Bid Schedule'!$N$3</f>
        <v>288</v>
      </c>
      <c r="E6" s="31" t="s">
        <v>118</v>
      </c>
      <c r="F6" s="256">
        <f>'Prevailing Wage'!D15</f>
        <v>71.69</v>
      </c>
      <c r="G6" s="31"/>
      <c r="H6" s="31"/>
      <c r="I6" s="31"/>
      <c r="J6" s="50">
        <f t="shared" ref="J6:J12" si="0">D6*F6</f>
        <v>20646.72</v>
      </c>
      <c r="K6" s="225" t="s">
        <v>159</v>
      </c>
      <c r="L6" s="29"/>
      <c r="M6" s="29"/>
    </row>
    <row r="7" spans="1:13" ht="14.4" x14ac:dyDescent="0.3">
      <c r="A7" s="53">
        <v>3</v>
      </c>
      <c r="B7" s="255" t="str">
        <f>'Prevailing Wage'!C16</f>
        <v>Operator</v>
      </c>
      <c r="C7" s="31"/>
      <c r="D7" s="60"/>
      <c r="E7" s="31" t="s">
        <v>118</v>
      </c>
      <c r="F7" s="256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5" t="str">
        <f>'Prevailing Wage'!C17</f>
        <v>Driver</v>
      </c>
      <c r="C8" s="31"/>
      <c r="D8" s="60"/>
      <c r="E8" s="31" t="s">
        <v>118</v>
      </c>
      <c r="F8" s="256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5" t="str">
        <f>'Prevailing Wage'!C18</f>
        <v>Landscaper</v>
      </c>
      <c r="C9" s="31"/>
      <c r="D9" s="60"/>
      <c r="E9" s="31" t="s">
        <v>118</v>
      </c>
      <c r="F9" s="256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5" t="str">
        <f>'Prevailing Wage'!C19</f>
        <v>Pipefitter</v>
      </c>
      <c r="C10" s="31"/>
      <c r="D10" s="60"/>
      <c r="E10" s="31" t="s">
        <v>118</v>
      </c>
      <c r="F10" s="256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5" t="str">
        <f>'Prevailing Wage'!C20</f>
        <v>Etc</v>
      </c>
      <c r="C11" s="31"/>
      <c r="D11" s="60"/>
      <c r="E11" s="31" t="s">
        <v>118</v>
      </c>
      <c r="F11" s="256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5" t="str">
        <f>'Prevailing Wage'!C21</f>
        <v>Etc</v>
      </c>
      <c r="C12" s="31"/>
      <c r="D12" s="60"/>
      <c r="E12" s="31" t="s">
        <v>118</v>
      </c>
      <c r="F12" s="256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157</v>
      </c>
      <c r="B13" s="58"/>
      <c r="C13" s="31"/>
      <c r="D13" s="60"/>
      <c r="E13" s="31" t="s">
        <v>118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112</v>
      </c>
      <c r="C15" s="30"/>
      <c r="D15" s="30"/>
      <c r="E15" s="30"/>
      <c r="F15" s="30"/>
      <c r="G15" s="30"/>
      <c r="H15" s="30"/>
      <c r="I15" s="30"/>
      <c r="J15" s="56">
        <f>SUM(J16:J21)</f>
        <v>32400</v>
      </c>
      <c r="K15" s="30"/>
      <c r="L15" s="29"/>
      <c r="M15" s="29"/>
    </row>
    <row r="16" spans="1:13" ht="14.4" x14ac:dyDescent="0.3">
      <c r="A16" s="53">
        <v>1</v>
      </c>
      <c r="B16" s="57" t="s">
        <v>302</v>
      </c>
      <c r="C16" s="31"/>
      <c r="D16" s="60">
        <v>12</v>
      </c>
      <c r="E16" s="31" t="s">
        <v>107</v>
      </c>
      <c r="F16" s="59">
        <v>2500</v>
      </c>
      <c r="G16" s="31"/>
      <c r="H16" s="31"/>
      <c r="I16" s="31"/>
      <c r="J16" s="50">
        <f>D16*F16</f>
        <v>30000</v>
      </c>
      <c r="K16" s="31"/>
      <c r="L16" s="29"/>
      <c r="M16" s="29"/>
    </row>
    <row r="17" spans="1:13" ht="14.4" x14ac:dyDescent="0.3">
      <c r="A17" s="53">
        <v>2</v>
      </c>
      <c r="B17" s="58" t="s">
        <v>303</v>
      </c>
      <c r="C17" s="31"/>
      <c r="D17" s="60">
        <v>12</v>
      </c>
      <c r="E17" s="31" t="s">
        <v>107</v>
      </c>
      <c r="F17" s="59">
        <v>200</v>
      </c>
      <c r="G17" s="31"/>
      <c r="H17" s="31"/>
      <c r="I17" s="31"/>
      <c r="J17" s="50">
        <f t="shared" ref="J17:J21" si="2">D17*F17</f>
        <v>2400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157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162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116</v>
      </c>
      <c r="C22" s="30"/>
      <c r="D22" s="30"/>
      <c r="E22" s="30"/>
      <c r="F22" s="30"/>
      <c r="G22" s="30"/>
      <c r="H22" s="30"/>
      <c r="I22" s="30"/>
      <c r="J22" s="56">
        <f>SUM(J23:J28)</f>
        <v>7680</v>
      </c>
      <c r="K22" s="30"/>
    </row>
    <row r="23" spans="1:13" ht="14.4" x14ac:dyDescent="0.3">
      <c r="A23" s="53">
        <v>1</v>
      </c>
      <c r="B23" s="57" t="s">
        <v>304</v>
      </c>
      <c r="C23" s="31"/>
      <c r="D23" s="60">
        <v>96</v>
      </c>
      <c r="E23" s="31" t="s">
        <v>118</v>
      </c>
      <c r="F23" s="59">
        <v>80</v>
      </c>
      <c r="G23" s="31"/>
      <c r="H23" s="31"/>
      <c r="I23" s="31"/>
      <c r="J23" s="50">
        <f>D23*F23</f>
        <v>7680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9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157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162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136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157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162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121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166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39" t="s">
        <v>168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157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162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123</v>
      </c>
      <c r="C43" s="30"/>
      <c r="D43" s="30"/>
      <c r="E43" s="30"/>
      <c r="F43" s="30"/>
      <c r="G43" s="30"/>
      <c r="H43" s="30"/>
      <c r="I43" s="30"/>
      <c r="J43" s="56">
        <f>SUM(J44:J49)</f>
        <v>0</v>
      </c>
      <c r="K43" s="30"/>
    </row>
    <row r="44" spans="1:11" ht="14.4" x14ac:dyDescent="0.3">
      <c r="A44" s="53">
        <v>1</v>
      </c>
      <c r="B44" s="57" t="s">
        <v>170</v>
      </c>
      <c r="C44" s="31"/>
      <c r="D44" s="60"/>
      <c r="E44" s="31"/>
      <c r="F44" s="59"/>
      <c r="G44" s="31"/>
      <c r="H44" s="31"/>
      <c r="I44" s="31"/>
      <c r="J44" s="50">
        <f>D44*F44</f>
        <v>0</v>
      </c>
      <c r="K44" s="31"/>
    </row>
    <row r="45" spans="1:11" ht="14.4" x14ac:dyDescent="0.3">
      <c r="A45" s="53">
        <v>2</v>
      </c>
      <c r="B45" s="58" t="s">
        <v>172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157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162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120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157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162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2B4DD643-6118-42D9-B741-2C549F6A73F1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2D702-3DCF-4CD5-8C05-02242A1DBC75}">
  <sheetPr>
    <tabColor rgb="FF92D050"/>
  </sheetPr>
  <dimension ref="A1:M56"/>
  <sheetViews>
    <sheetView zoomScale="90" zoomScaleNormal="90" workbookViewId="0">
      <selection activeCell="F18" sqref="F18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5" bestFit="1" customWidth="1"/>
    <col min="7" max="7" width="13.77734375" customWidth="1"/>
    <col min="8" max="8" width="11.77734375" bestFit="1" customWidth="1"/>
    <col min="9" max="9" width="13.6640625" customWidth="1"/>
    <col min="10" max="10" width="15.6640625" customWidth="1"/>
    <col min="11" max="11" width="72.6640625" customWidth="1"/>
    <col min="12" max="12" width="10.109375" bestFit="1" customWidth="1"/>
  </cols>
  <sheetData>
    <row r="1" spans="1:13" ht="14.4" x14ac:dyDescent="0.3">
      <c r="I1" s="252" t="s">
        <v>147</v>
      </c>
      <c r="J1" s="253">
        <f>J4+J15+J22+J29+J36+J43+J50</f>
        <v>19966.64</v>
      </c>
      <c r="K1" t="s">
        <v>96</v>
      </c>
    </row>
    <row r="2" spans="1:13" ht="18" x14ac:dyDescent="0.3">
      <c r="B2" s="146" t="str">
        <f>'Bid Summary'!F36</f>
        <v xml:space="preserve">Color Coded Marker Posts 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148</v>
      </c>
      <c r="C3" s="49" t="s">
        <v>149</v>
      </c>
      <c r="D3" s="49" t="s">
        <v>8</v>
      </c>
      <c r="E3" s="49" t="s">
        <v>150</v>
      </c>
      <c r="F3" s="49" t="s">
        <v>151</v>
      </c>
      <c r="G3" s="49" t="s">
        <v>152</v>
      </c>
      <c r="H3" s="49" t="s">
        <v>175</v>
      </c>
      <c r="I3" s="49" t="s">
        <v>153</v>
      </c>
      <c r="J3" s="49" t="s">
        <v>94</v>
      </c>
      <c r="K3" s="49" t="s">
        <v>154</v>
      </c>
      <c r="L3" s="29"/>
      <c r="M3" s="29"/>
    </row>
    <row r="4" spans="1:13" ht="14.4" x14ac:dyDescent="0.3">
      <c r="A4" s="188"/>
      <c r="B4" s="52" t="s">
        <v>109</v>
      </c>
      <c r="C4" s="30"/>
      <c r="D4" s="30"/>
      <c r="E4" s="30"/>
      <c r="F4" s="30"/>
      <c r="G4" s="30"/>
      <c r="H4" s="30"/>
      <c r="I4" s="30"/>
      <c r="J4" s="56">
        <f>SUM(J5:J14)</f>
        <v>10558.44</v>
      </c>
      <c r="K4" s="30"/>
      <c r="L4" s="29"/>
      <c r="M4" s="29"/>
    </row>
    <row r="5" spans="1:13" ht="14.4" x14ac:dyDescent="0.3">
      <c r="A5" s="53">
        <v>1</v>
      </c>
      <c r="B5" s="255" t="str">
        <f>'Prevailing Wage'!C14</f>
        <v>Labor Lead</v>
      </c>
      <c r="C5" s="31"/>
      <c r="D5" s="60">
        <v>16.5</v>
      </c>
      <c r="E5" s="31" t="s">
        <v>118</v>
      </c>
      <c r="F5" s="256">
        <f>'Prevailing Wage'!D14</f>
        <v>74.69</v>
      </c>
      <c r="G5" s="31"/>
      <c r="H5" s="31"/>
      <c r="I5" s="31"/>
      <c r="J5" s="50">
        <f>D5*F5</f>
        <v>1232.385</v>
      </c>
      <c r="K5" s="31" t="s">
        <v>158</v>
      </c>
      <c r="L5" s="29"/>
      <c r="M5" s="29"/>
    </row>
    <row r="6" spans="1:13" ht="14.4" x14ac:dyDescent="0.3">
      <c r="A6" s="53">
        <v>2</v>
      </c>
      <c r="B6" s="255" t="str">
        <f>'Prevailing Wage'!C15</f>
        <v>Laborer</v>
      </c>
      <c r="C6" s="31"/>
      <c r="D6" s="225">
        <f>D5*'Bid Schedule'!$N$3</f>
        <v>49.5</v>
      </c>
      <c r="E6" s="31" t="s">
        <v>118</v>
      </c>
      <c r="F6" s="256">
        <f>'Prevailing Wage'!D15</f>
        <v>71.69</v>
      </c>
      <c r="G6" s="31"/>
      <c r="H6" s="31"/>
      <c r="I6" s="31"/>
      <c r="J6" s="50">
        <f t="shared" ref="J6:J12" si="0">D6*F6</f>
        <v>3548.6549999999997</v>
      </c>
      <c r="K6" s="225" t="s">
        <v>159</v>
      </c>
      <c r="L6" s="29"/>
      <c r="M6" s="29"/>
    </row>
    <row r="7" spans="1:13" ht="14.4" x14ac:dyDescent="0.3">
      <c r="A7" s="53">
        <v>3</v>
      </c>
      <c r="B7" s="255" t="str">
        <f>'Prevailing Wage'!C16</f>
        <v>Operator</v>
      </c>
      <c r="C7" s="31"/>
      <c r="D7" s="60">
        <v>60</v>
      </c>
      <c r="E7" s="31" t="s">
        <v>118</v>
      </c>
      <c r="F7" s="256">
        <f>'Prevailing Wage'!D16</f>
        <v>96.29</v>
      </c>
      <c r="G7" s="31"/>
      <c r="H7" s="31"/>
      <c r="I7" s="31"/>
      <c r="J7" s="50">
        <f t="shared" si="0"/>
        <v>5777.4000000000005</v>
      </c>
      <c r="K7" s="31"/>
      <c r="L7" s="29"/>
      <c r="M7" s="29"/>
    </row>
    <row r="8" spans="1:13" ht="14.4" x14ac:dyDescent="0.3">
      <c r="A8" s="53">
        <v>4</v>
      </c>
      <c r="B8" s="255" t="str">
        <f>'Prevailing Wage'!C17</f>
        <v>Driver</v>
      </c>
      <c r="C8" s="31"/>
      <c r="D8" s="60"/>
      <c r="E8" s="31" t="s">
        <v>118</v>
      </c>
      <c r="F8" s="256">
        <f>'Prevailing Wage'!D17</f>
        <v>76.709999999999994</v>
      </c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x14ac:dyDescent="0.3">
      <c r="A9" s="53">
        <v>5</v>
      </c>
      <c r="B9" s="255" t="str">
        <f>'Prevailing Wage'!C18</f>
        <v>Landscaper</v>
      </c>
      <c r="C9" s="31"/>
      <c r="D9" s="60"/>
      <c r="E9" s="31" t="s">
        <v>118</v>
      </c>
      <c r="F9" s="256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5" t="str">
        <f>'Prevailing Wage'!C19</f>
        <v>Pipefitter</v>
      </c>
      <c r="C10" s="31"/>
      <c r="D10" s="60"/>
      <c r="E10" s="31" t="s">
        <v>118</v>
      </c>
      <c r="F10" s="256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5" t="str">
        <f>'Prevailing Wage'!C20</f>
        <v>Etc</v>
      </c>
      <c r="C11" s="31"/>
      <c r="D11" s="60"/>
      <c r="E11" s="31" t="s">
        <v>118</v>
      </c>
      <c r="F11" s="256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5" t="str">
        <f>'Prevailing Wage'!C21</f>
        <v>Etc</v>
      </c>
      <c r="C12" s="31"/>
      <c r="D12" s="60"/>
      <c r="E12" s="31" t="s">
        <v>118</v>
      </c>
      <c r="F12" s="256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157</v>
      </c>
      <c r="B13" s="58"/>
      <c r="C13" s="31"/>
      <c r="D13" s="60"/>
      <c r="E13" s="31" t="s">
        <v>118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112</v>
      </c>
      <c r="C15" s="30"/>
      <c r="D15" s="30"/>
      <c r="E15" s="30"/>
      <c r="F15" s="30"/>
      <c r="G15" s="30"/>
      <c r="H15" s="30"/>
      <c r="I15" s="30"/>
      <c r="J15" s="56">
        <f>SUM(J16:J21)</f>
        <v>4908.2</v>
      </c>
      <c r="K15" s="30"/>
      <c r="L15" s="29"/>
      <c r="M15" s="29"/>
    </row>
    <row r="16" spans="1:13" ht="14.4" x14ac:dyDescent="0.3">
      <c r="A16" s="53">
        <v>1</v>
      </c>
      <c r="B16" s="57" t="s">
        <v>309</v>
      </c>
      <c r="C16" s="31"/>
      <c r="D16" s="60">
        <v>100</v>
      </c>
      <c r="E16" s="31" t="s">
        <v>196</v>
      </c>
      <c r="F16" s="59">
        <v>15</v>
      </c>
      <c r="G16" s="31"/>
      <c r="H16" s="31"/>
      <c r="I16" s="31"/>
      <c r="J16" s="50">
        <f>D16*F16</f>
        <v>1500</v>
      </c>
      <c r="K16" s="31"/>
      <c r="L16" s="29"/>
      <c r="M16" s="29"/>
    </row>
    <row r="17" spans="1:13" ht="14.4" x14ac:dyDescent="0.3">
      <c r="A17" s="53">
        <v>2</v>
      </c>
      <c r="B17" s="58" t="s">
        <v>186</v>
      </c>
      <c r="C17" s="31"/>
      <c r="D17" s="60">
        <v>1</v>
      </c>
      <c r="E17" s="31" t="s">
        <v>160</v>
      </c>
      <c r="F17" s="59">
        <v>3148.2</v>
      </c>
      <c r="G17" s="31"/>
      <c r="H17" s="31"/>
      <c r="I17" s="31"/>
      <c r="J17" s="50">
        <f t="shared" ref="J17:J21" si="2">D17*F17</f>
        <v>3148.2</v>
      </c>
      <c r="K17" s="31"/>
      <c r="L17" s="29"/>
      <c r="M17" s="29"/>
    </row>
    <row r="18" spans="1:13" ht="14.4" x14ac:dyDescent="0.3">
      <c r="A18" s="53">
        <v>3</v>
      </c>
      <c r="B18" s="58" t="s">
        <v>310</v>
      </c>
      <c r="C18" s="31"/>
      <c r="D18" s="60">
        <v>13</v>
      </c>
      <c r="E18" s="31"/>
      <c r="F18" s="59">
        <v>20</v>
      </c>
      <c r="G18" s="31"/>
      <c r="H18" s="31"/>
      <c r="I18" s="31"/>
      <c r="J18" s="50">
        <f t="shared" si="2"/>
        <v>260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157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162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116</v>
      </c>
      <c r="C22" s="30"/>
      <c r="D22" s="30"/>
      <c r="E22" s="30"/>
      <c r="F22" s="30"/>
      <c r="G22" s="30"/>
      <c r="H22" s="30"/>
      <c r="I22" s="30"/>
      <c r="J22" s="56">
        <f>SUM(J23:J28)</f>
        <v>3000</v>
      </c>
      <c r="K22" s="30"/>
    </row>
    <row r="23" spans="1:13" ht="14.4" x14ac:dyDescent="0.3">
      <c r="A23" s="53">
        <v>1</v>
      </c>
      <c r="B23" s="57" t="s">
        <v>239</v>
      </c>
      <c r="C23" s="31"/>
      <c r="D23" s="60">
        <v>50</v>
      </c>
      <c r="E23" s="31" t="s">
        <v>311</v>
      </c>
      <c r="F23" s="59">
        <v>60</v>
      </c>
      <c r="G23" s="31"/>
      <c r="H23" s="31"/>
      <c r="I23" s="31"/>
      <c r="J23" s="50">
        <f>D23*F23</f>
        <v>3000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9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157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162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136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157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162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121</v>
      </c>
      <c r="C36" s="30"/>
      <c r="D36" s="30"/>
      <c r="E36" s="30"/>
      <c r="F36" s="30"/>
      <c r="G36" s="30"/>
      <c r="H36" s="30"/>
      <c r="I36" s="30"/>
      <c r="J36" s="56">
        <f>SUM(J37:J42)</f>
        <v>0</v>
      </c>
      <c r="K36" s="30"/>
    </row>
    <row r="37" spans="1:11" ht="14.4" x14ac:dyDescent="0.3">
      <c r="A37" s="53">
        <v>1</v>
      </c>
      <c r="B37" s="57"/>
      <c r="C37" s="31"/>
      <c r="D37" s="60"/>
      <c r="E37" s="31"/>
      <c r="F37" s="59"/>
      <c r="G37" s="31"/>
      <c r="H37" s="31"/>
      <c r="I37" s="31"/>
      <c r="J37" s="50">
        <f>D37*F37</f>
        <v>0</v>
      </c>
      <c r="K37" s="31" t="s">
        <v>166</v>
      </c>
    </row>
    <row r="38" spans="1:11" ht="14.4" x14ac:dyDescent="0.3">
      <c r="A38" s="53">
        <v>2</v>
      </c>
      <c r="B38" s="58"/>
      <c r="C38" s="31"/>
      <c r="D38" s="60"/>
      <c r="E38" s="31"/>
      <c r="F38" s="59"/>
      <c r="G38" s="31"/>
      <c r="H38" s="31"/>
      <c r="I38" s="31"/>
      <c r="J38" s="50">
        <f t="shared" ref="J38:J42" si="5">D38*F38</f>
        <v>0</v>
      </c>
      <c r="K38" s="239" t="s">
        <v>168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157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162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123</v>
      </c>
      <c r="C43" s="30"/>
      <c r="D43" s="30"/>
      <c r="E43" s="30"/>
      <c r="F43" s="30"/>
      <c r="G43" s="30"/>
      <c r="H43" s="30"/>
      <c r="I43" s="30"/>
      <c r="J43" s="56">
        <f>SUM(J44:J49)</f>
        <v>1500</v>
      </c>
      <c r="K43" s="30"/>
    </row>
    <row r="44" spans="1:11" ht="14.4" x14ac:dyDescent="0.3">
      <c r="A44" s="53">
        <v>1</v>
      </c>
      <c r="B44" s="57" t="s">
        <v>170</v>
      </c>
      <c r="C44" s="31"/>
      <c r="D44" s="60">
        <f>5*D23</f>
        <v>250</v>
      </c>
      <c r="E44" s="31" t="s">
        <v>312</v>
      </c>
      <c r="F44" s="59">
        <v>6</v>
      </c>
      <c r="G44" s="31"/>
      <c r="H44" s="31"/>
      <c r="I44" s="31"/>
      <c r="J44" s="50">
        <f>D44*F44</f>
        <v>1500</v>
      </c>
      <c r="K44" s="31"/>
    </row>
    <row r="45" spans="1:11" ht="14.4" x14ac:dyDescent="0.3">
      <c r="A45" s="53">
        <v>2</v>
      </c>
      <c r="B45" s="58" t="s">
        <v>172</v>
      </c>
      <c r="C45" s="31"/>
      <c r="D45" s="60"/>
      <c r="E45" s="31"/>
      <c r="F45" s="59"/>
      <c r="G45" s="31"/>
      <c r="H45" s="31"/>
      <c r="I45" s="31"/>
      <c r="J45" s="50">
        <f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ref="J46:J49" si="6">D46*F46</f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157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162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120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157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162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A14E67CA-2108-46CF-ACA0-7A95EB09A8D5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E3E46-CB41-4676-9197-3095F9E58866}">
  <sheetPr>
    <tabColor rgb="FF92D050"/>
  </sheetPr>
  <dimension ref="A1:M56"/>
  <sheetViews>
    <sheetView zoomScale="90" zoomScaleNormal="90" workbookViewId="0">
      <selection activeCell="D8" sqref="D8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5.6640625" customWidth="1"/>
    <col min="11" max="11" width="72.6640625" customWidth="1"/>
    <col min="12" max="12" width="10.109375" bestFit="1" customWidth="1"/>
  </cols>
  <sheetData>
    <row r="1" spans="1:13" ht="14.4" x14ac:dyDescent="0.3">
      <c r="I1" s="252" t="s">
        <v>147</v>
      </c>
      <c r="J1" s="253">
        <f>J4+J15+J22+J29+J36+J43+J50</f>
        <v>45085.3</v>
      </c>
      <c r="K1" t="s">
        <v>96</v>
      </c>
    </row>
    <row r="2" spans="1:13" ht="18" x14ac:dyDescent="0.3">
      <c r="B2" s="146" t="str">
        <f>'Bid Summary'!F37</f>
        <v xml:space="preserve">Hydrostatic Pressure Testing (30-inch Lateral DE-1-A and Connections) 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148</v>
      </c>
      <c r="C3" s="49" t="s">
        <v>149</v>
      </c>
      <c r="D3" s="49" t="s">
        <v>8</v>
      </c>
      <c r="E3" s="49" t="s">
        <v>150</v>
      </c>
      <c r="F3" s="49" t="s">
        <v>151</v>
      </c>
      <c r="G3" s="49" t="s">
        <v>152</v>
      </c>
      <c r="H3" s="49" t="s">
        <v>175</v>
      </c>
      <c r="I3" s="49" t="s">
        <v>153</v>
      </c>
      <c r="J3" s="49" t="s">
        <v>94</v>
      </c>
      <c r="K3" s="49" t="s">
        <v>154</v>
      </c>
      <c r="L3" s="29"/>
      <c r="M3" s="29"/>
    </row>
    <row r="4" spans="1:13" ht="14.4" x14ac:dyDescent="0.3">
      <c r="A4" s="188"/>
      <c r="B4" s="52" t="s">
        <v>109</v>
      </c>
      <c r="C4" s="30"/>
      <c r="D4" s="30"/>
      <c r="E4" s="30"/>
      <c r="F4" s="30"/>
      <c r="G4" s="30"/>
      <c r="H4" s="30"/>
      <c r="I4" s="30"/>
      <c r="J4" s="56">
        <f>SUM(J5:J14)</f>
        <v>35112.800000000003</v>
      </c>
      <c r="K4" s="30"/>
      <c r="L4" s="29"/>
      <c r="M4" s="29"/>
    </row>
    <row r="5" spans="1:13" ht="14.4" x14ac:dyDescent="0.3">
      <c r="A5" s="53">
        <v>1</v>
      </c>
      <c r="B5" s="255" t="str">
        <f>'Prevailing Wage'!C14</f>
        <v>Labor Lead</v>
      </c>
      <c r="C5" s="31"/>
      <c r="D5" s="60">
        <v>100</v>
      </c>
      <c r="E5" s="31" t="s">
        <v>118</v>
      </c>
      <c r="F5" s="256">
        <f>'Prevailing Wage'!D14</f>
        <v>74.69</v>
      </c>
      <c r="G5" s="31"/>
      <c r="H5" s="31"/>
      <c r="I5" s="31"/>
      <c r="J5" s="50">
        <f>D5*F5</f>
        <v>7469</v>
      </c>
      <c r="K5" s="31" t="s">
        <v>158</v>
      </c>
      <c r="L5" s="29"/>
      <c r="M5" s="29"/>
    </row>
    <row r="6" spans="1:13" ht="14.4" x14ac:dyDescent="0.3">
      <c r="A6" s="53">
        <v>2</v>
      </c>
      <c r="B6" s="255" t="str">
        <f>'Prevailing Wage'!C15</f>
        <v>Laborer</v>
      </c>
      <c r="C6" s="31"/>
      <c r="D6" s="225">
        <f>D5*'Bid Schedule'!$N$3</f>
        <v>300</v>
      </c>
      <c r="E6" s="31" t="s">
        <v>118</v>
      </c>
      <c r="F6" s="256">
        <f>'Prevailing Wage'!D15</f>
        <v>71.69</v>
      </c>
      <c r="G6" s="31"/>
      <c r="H6" s="31"/>
      <c r="I6" s="31"/>
      <c r="J6" s="50">
        <f t="shared" ref="J6:J12" si="0">D6*F6</f>
        <v>21507</v>
      </c>
      <c r="K6" s="225" t="s">
        <v>159</v>
      </c>
      <c r="L6" s="29"/>
      <c r="M6" s="29"/>
    </row>
    <row r="7" spans="1:13" ht="14.4" x14ac:dyDescent="0.3">
      <c r="A7" s="53">
        <v>3</v>
      </c>
      <c r="B7" s="255" t="str">
        <f>'Prevailing Wage'!C16</f>
        <v>Operator</v>
      </c>
      <c r="C7" s="31"/>
      <c r="D7" s="60"/>
      <c r="E7" s="31" t="s">
        <v>118</v>
      </c>
      <c r="F7" s="256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5" t="str">
        <f>'Prevailing Wage'!C17</f>
        <v>Driver</v>
      </c>
      <c r="C8" s="31"/>
      <c r="D8" s="60">
        <v>80</v>
      </c>
      <c r="E8" s="31" t="s">
        <v>118</v>
      </c>
      <c r="F8" s="256">
        <f>'Prevailing Wage'!D17</f>
        <v>76.709999999999994</v>
      </c>
      <c r="G8" s="31"/>
      <c r="H8" s="31"/>
      <c r="I8" s="31"/>
      <c r="J8" s="50">
        <f t="shared" si="0"/>
        <v>6136.7999999999993</v>
      </c>
      <c r="K8" s="31"/>
      <c r="L8" s="29"/>
      <c r="M8" s="29"/>
    </row>
    <row r="9" spans="1:13" ht="14.4" x14ac:dyDescent="0.3">
      <c r="A9" s="53">
        <v>5</v>
      </c>
      <c r="B9" s="255" t="str">
        <f>'Prevailing Wage'!C18</f>
        <v>Landscaper</v>
      </c>
      <c r="C9" s="31"/>
      <c r="D9" s="60"/>
      <c r="E9" s="31" t="s">
        <v>118</v>
      </c>
      <c r="F9" s="256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5" t="str">
        <f>'Prevailing Wage'!C19</f>
        <v>Pipefitter</v>
      </c>
      <c r="C10" s="31"/>
      <c r="D10" s="60"/>
      <c r="E10" s="31" t="s">
        <v>118</v>
      </c>
      <c r="F10" s="256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5" t="str">
        <f>'Prevailing Wage'!C20</f>
        <v>Etc</v>
      </c>
      <c r="C11" s="31"/>
      <c r="D11" s="60"/>
      <c r="E11" s="31" t="s">
        <v>118</v>
      </c>
      <c r="F11" s="256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5" t="str">
        <f>'Prevailing Wage'!C21</f>
        <v>Etc</v>
      </c>
      <c r="C12" s="31"/>
      <c r="D12" s="60"/>
      <c r="E12" s="31" t="s">
        <v>118</v>
      </c>
      <c r="F12" s="256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157</v>
      </c>
      <c r="B13" s="58"/>
      <c r="C13" s="31"/>
      <c r="D13" s="60"/>
      <c r="E13" s="31" t="s">
        <v>118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112</v>
      </c>
      <c r="C15" s="30"/>
      <c r="D15" s="30"/>
      <c r="E15" s="30"/>
      <c r="F15" s="30"/>
      <c r="G15" s="30"/>
      <c r="H15" s="30"/>
      <c r="I15" s="30"/>
      <c r="J15" s="56">
        <f>SUM(J16:J21)</f>
        <v>5000</v>
      </c>
      <c r="K15" s="30"/>
      <c r="L15" s="29"/>
      <c r="M15" s="29"/>
    </row>
    <row r="16" spans="1:13" ht="14.4" x14ac:dyDescent="0.3">
      <c r="A16" s="53">
        <v>1</v>
      </c>
      <c r="B16" s="57" t="s">
        <v>313</v>
      </c>
      <c r="C16" s="31"/>
      <c r="D16" s="60">
        <v>10</v>
      </c>
      <c r="E16" s="31"/>
      <c r="F16" s="59">
        <v>500</v>
      </c>
      <c r="G16" s="31"/>
      <c r="H16" s="31"/>
      <c r="I16" s="31"/>
      <c r="J16" s="50">
        <f>D16*F16</f>
        <v>5000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157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162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116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9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157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162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136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157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162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121</v>
      </c>
      <c r="C36" s="30"/>
      <c r="D36" s="30"/>
      <c r="E36" s="30"/>
      <c r="F36" s="30"/>
      <c r="G36" s="30"/>
      <c r="H36" s="30"/>
      <c r="I36" s="30"/>
      <c r="J36" s="56">
        <f>SUM(J37:J42)</f>
        <v>3172.5</v>
      </c>
      <c r="K36" s="30"/>
    </row>
    <row r="37" spans="1:11" ht="14.4" x14ac:dyDescent="0.3">
      <c r="A37" s="53">
        <v>1</v>
      </c>
      <c r="B37" s="58" t="s">
        <v>167</v>
      </c>
      <c r="C37" s="31"/>
      <c r="D37" s="60">
        <f>15/30</f>
        <v>0.5</v>
      </c>
      <c r="E37" s="31" t="s">
        <v>165</v>
      </c>
      <c r="F37" s="59">
        <v>4345</v>
      </c>
      <c r="G37" s="31"/>
      <c r="H37" s="31"/>
      <c r="I37" s="31"/>
      <c r="J37" s="50">
        <f>D37*F37</f>
        <v>2172.5</v>
      </c>
      <c r="K37" s="31" t="s">
        <v>166</v>
      </c>
    </row>
    <row r="38" spans="1:11" ht="14.4" x14ac:dyDescent="0.3">
      <c r="A38" s="53">
        <v>2</v>
      </c>
      <c r="B38" s="58" t="s">
        <v>314</v>
      </c>
      <c r="C38" s="31"/>
      <c r="D38" s="60">
        <v>2</v>
      </c>
      <c r="E38" s="31" t="s">
        <v>315</v>
      </c>
      <c r="F38" s="59">
        <v>500</v>
      </c>
      <c r="G38" s="31"/>
      <c r="H38" s="31"/>
      <c r="I38" s="31"/>
      <c r="J38" s="50">
        <f t="shared" ref="J38:J42" si="5">D38*F38</f>
        <v>1000</v>
      </c>
      <c r="K38" s="239" t="s">
        <v>168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157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162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123</v>
      </c>
      <c r="C43" s="30"/>
      <c r="D43" s="30"/>
      <c r="E43" s="30"/>
      <c r="F43" s="30"/>
      <c r="G43" s="30"/>
      <c r="H43" s="30"/>
      <c r="I43" s="30"/>
      <c r="J43" s="56">
        <f>SUM(J44:J49)</f>
        <v>1800</v>
      </c>
      <c r="K43" s="30"/>
    </row>
    <row r="44" spans="1:11" ht="14.4" x14ac:dyDescent="0.3">
      <c r="A44" s="53">
        <v>1</v>
      </c>
      <c r="B44" s="57" t="s">
        <v>170</v>
      </c>
      <c r="C44" s="31"/>
      <c r="D44" s="60">
        <f>15*20</f>
        <v>300</v>
      </c>
      <c r="E44" s="31" t="s">
        <v>312</v>
      </c>
      <c r="F44" s="59">
        <v>6</v>
      </c>
      <c r="G44" s="31"/>
      <c r="H44" s="31"/>
      <c r="I44" s="31"/>
      <c r="J44" s="50">
        <f>D44*F44</f>
        <v>1800</v>
      </c>
      <c r="K44" s="31"/>
    </row>
    <row r="45" spans="1:11" ht="14.4" x14ac:dyDescent="0.3">
      <c r="A45" s="53">
        <v>2</v>
      </c>
      <c r="B45" s="58" t="s">
        <v>172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157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162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120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157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162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F4FDC587-0A44-459C-B919-CB3ACCC4D772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7140F-18DF-40FF-9228-ABE259DC6ED1}">
  <sheetPr>
    <tabColor rgb="FF92D050"/>
  </sheetPr>
  <dimension ref="A1:M56"/>
  <sheetViews>
    <sheetView zoomScale="90" zoomScaleNormal="90" workbookViewId="0">
      <selection activeCell="D9" sqref="D9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3.44140625" bestFit="1" customWidth="1"/>
    <col min="7" max="7" width="13.77734375" customWidth="1"/>
    <col min="8" max="8" width="11.77734375" bestFit="1" customWidth="1"/>
    <col min="9" max="9" width="13.6640625" customWidth="1"/>
    <col min="10" max="10" width="17.109375" customWidth="1"/>
    <col min="11" max="11" width="72.6640625" customWidth="1"/>
    <col min="12" max="12" width="10.109375" bestFit="1" customWidth="1"/>
  </cols>
  <sheetData>
    <row r="1" spans="1:13" ht="14.4" x14ac:dyDescent="0.3">
      <c r="I1" s="252" t="s">
        <v>147</v>
      </c>
      <c r="J1" s="253">
        <f>J4+J15+J22+J29+J36+J43+J50</f>
        <v>39290.1</v>
      </c>
      <c r="K1" t="s">
        <v>96</v>
      </c>
    </row>
    <row r="2" spans="1:13" ht="18" x14ac:dyDescent="0.3">
      <c r="B2" s="146" t="str">
        <f>'Bid Summary'!F38</f>
        <v xml:space="preserve">Hydrostatic Pressure Testing (36-inch Lateral DE-1 and Connections) 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148</v>
      </c>
      <c r="C3" s="49" t="s">
        <v>149</v>
      </c>
      <c r="D3" s="49" t="s">
        <v>8</v>
      </c>
      <c r="E3" s="49" t="s">
        <v>150</v>
      </c>
      <c r="F3" s="49" t="s">
        <v>151</v>
      </c>
      <c r="G3" s="49" t="s">
        <v>152</v>
      </c>
      <c r="H3" s="49" t="s">
        <v>175</v>
      </c>
      <c r="I3" s="49" t="s">
        <v>153</v>
      </c>
      <c r="J3" s="49" t="s">
        <v>94</v>
      </c>
      <c r="K3" s="49" t="s">
        <v>154</v>
      </c>
      <c r="L3" s="29"/>
      <c r="M3" s="29"/>
    </row>
    <row r="4" spans="1:13" ht="14.4" x14ac:dyDescent="0.3">
      <c r="A4" s="188"/>
      <c r="B4" s="52" t="s">
        <v>109</v>
      </c>
      <c r="C4" s="30"/>
      <c r="D4" s="30"/>
      <c r="E4" s="30"/>
      <c r="F4" s="30"/>
      <c r="G4" s="30"/>
      <c r="H4" s="30"/>
      <c r="I4" s="30"/>
      <c r="J4" s="56">
        <f>SUM(J5:J14)</f>
        <v>29317.599999999999</v>
      </c>
      <c r="K4" s="30"/>
      <c r="L4" s="29"/>
      <c r="M4" s="29"/>
    </row>
    <row r="5" spans="1:13" ht="14.4" x14ac:dyDescent="0.3">
      <c r="A5" s="53">
        <v>1</v>
      </c>
      <c r="B5" s="255" t="str">
        <f>'Prevailing Wage'!C14</f>
        <v>Labor Lead</v>
      </c>
      <c r="C5" s="31"/>
      <c r="D5" s="60">
        <v>80</v>
      </c>
      <c r="E5" s="31" t="s">
        <v>118</v>
      </c>
      <c r="F5" s="256">
        <f>'Prevailing Wage'!D14</f>
        <v>74.69</v>
      </c>
      <c r="G5" s="31"/>
      <c r="H5" s="31"/>
      <c r="I5" s="31"/>
      <c r="J5" s="50">
        <f>D5*F5</f>
        <v>5975.2</v>
      </c>
      <c r="K5" s="31" t="s">
        <v>158</v>
      </c>
      <c r="L5" s="29"/>
      <c r="M5" s="29"/>
    </row>
    <row r="6" spans="1:13" ht="14.4" x14ac:dyDescent="0.3">
      <c r="A6" s="53">
        <v>2</v>
      </c>
      <c r="B6" s="255" t="str">
        <f>'Prevailing Wage'!C15</f>
        <v>Laborer</v>
      </c>
      <c r="C6" s="31"/>
      <c r="D6" s="225">
        <f>D5*'Bid Schedule'!$N$3</f>
        <v>240</v>
      </c>
      <c r="E6" s="31" t="s">
        <v>118</v>
      </c>
      <c r="F6" s="256">
        <f>'Prevailing Wage'!D15</f>
        <v>71.69</v>
      </c>
      <c r="G6" s="31"/>
      <c r="H6" s="31"/>
      <c r="I6" s="31"/>
      <c r="J6" s="50">
        <f t="shared" ref="J6:J12" si="0">D6*F6</f>
        <v>17205.599999999999</v>
      </c>
      <c r="K6" s="225" t="s">
        <v>159</v>
      </c>
      <c r="L6" s="29"/>
      <c r="M6" s="29"/>
    </row>
    <row r="7" spans="1:13" ht="14.4" x14ac:dyDescent="0.3">
      <c r="A7" s="53">
        <v>3</v>
      </c>
      <c r="B7" s="255" t="str">
        <f>'Prevailing Wage'!C16</f>
        <v>Operator</v>
      </c>
      <c r="C7" s="31"/>
      <c r="D7" s="60"/>
      <c r="E7" s="31" t="s">
        <v>118</v>
      </c>
      <c r="F7" s="256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5" t="str">
        <f>'Prevailing Wage'!C17</f>
        <v>Driver</v>
      </c>
      <c r="C8" s="31"/>
      <c r="D8" s="60">
        <v>80</v>
      </c>
      <c r="E8" s="31" t="s">
        <v>118</v>
      </c>
      <c r="F8" s="256">
        <f>'Prevailing Wage'!D17</f>
        <v>76.709999999999994</v>
      </c>
      <c r="G8" s="31"/>
      <c r="H8" s="31"/>
      <c r="I8" s="31"/>
      <c r="J8" s="50">
        <f t="shared" si="0"/>
        <v>6136.7999999999993</v>
      </c>
      <c r="K8" s="31"/>
      <c r="L8" s="29"/>
      <c r="M8" s="29"/>
    </row>
    <row r="9" spans="1:13" ht="14.4" x14ac:dyDescent="0.3">
      <c r="A9" s="53">
        <v>5</v>
      </c>
      <c r="B9" s="255" t="str">
        <f>'Prevailing Wage'!C18</f>
        <v>Landscaper</v>
      </c>
      <c r="C9" s="31"/>
      <c r="D9" s="60"/>
      <c r="E9" s="31" t="s">
        <v>118</v>
      </c>
      <c r="F9" s="256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5" t="str">
        <f>'Prevailing Wage'!C19</f>
        <v>Pipefitter</v>
      </c>
      <c r="C10" s="31"/>
      <c r="D10" s="60"/>
      <c r="E10" s="31" t="s">
        <v>118</v>
      </c>
      <c r="F10" s="256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5" t="str">
        <f>'Prevailing Wage'!C20</f>
        <v>Etc</v>
      </c>
      <c r="C11" s="31"/>
      <c r="D11" s="60"/>
      <c r="E11" s="31" t="s">
        <v>118</v>
      </c>
      <c r="F11" s="256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5" t="str">
        <f>'Prevailing Wage'!C21</f>
        <v>Etc</v>
      </c>
      <c r="C12" s="31"/>
      <c r="D12" s="60"/>
      <c r="E12" s="31" t="s">
        <v>118</v>
      </c>
      <c r="F12" s="256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157</v>
      </c>
      <c r="B13" s="58"/>
      <c r="C13" s="31"/>
      <c r="D13" s="60"/>
      <c r="E13" s="31" t="s">
        <v>118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112</v>
      </c>
      <c r="C15" s="30"/>
      <c r="D15" s="30"/>
      <c r="E15" s="30"/>
      <c r="F15" s="30"/>
      <c r="G15" s="30"/>
      <c r="H15" s="30"/>
      <c r="I15" s="30"/>
      <c r="J15" s="56">
        <f>SUM(J16:J21)</f>
        <v>5000</v>
      </c>
      <c r="K15" s="30"/>
      <c r="L15" s="29"/>
      <c r="M15" s="29"/>
    </row>
    <row r="16" spans="1:13" ht="14.4" x14ac:dyDescent="0.3">
      <c r="A16" s="53">
        <v>1</v>
      </c>
      <c r="B16" s="57" t="s">
        <v>316</v>
      </c>
      <c r="C16" s="31"/>
      <c r="D16" s="60">
        <v>10</v>
      </c>
      <c r="E16" s="31" t="s">
        <v>160</v>
      </c>
      <c r="F16" s="59">
        <v>500</v>
      </c>
      <c r="G16" s="31"/>
      <c r="H16" s="31"/>
      <c r="I16" s="31"/>
      <c r="J16" s="50">
        <f>D16*F16</f>
        <v>5000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157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162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116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9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157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162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136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157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162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121</v>
      </c>
      <c r="C36" s="30"/>
      <c r="D36" s="30"/>
      <c r="E36" s="30"/>
      <c r="F36" s="30"/>
      <c r="G36" s="30"/>
      <c r="H36" s="30"/>
      <c r="I36" s="30"/>
      <c r="J36" s="56">
        <f>SUM(J37:J42)</f>
        <v>3172.5</v>
      </c>
      <c r="K36" s="30"/>
    </row>
    <row r="37" spans="1:11" ht="14.4" x14ac:dyDescent="0.3">
      <c r="A37" s="53">
        <v>1</v>
      </c>
      <c r="B37" s="58" t="s">
        <v>167</v>
      </c>
      <c r="C37" s="31"/>
      <c r="D37" s="60">
        <f>15/30</f>
        <v>0.5</v>
      </c>
      <c r="E37" s="31" t="s">
        <v>165</v>
      </c>
      <c r="F37" s="59">
        <v>4345</v>
      </c>
      <c r="G37" s="31"/>
      <c r="H37" s="31"/>
      <c r="I37" s="31"/>
      <c r="J37" s="50">
        <f>D37*F37</f>
        <v>2172.5</v>
      </c>
      <c r="K37" s="31" t="s">
        <v>166</v>
      </c>
    </row>
    <row r="38" spans="1:11" ht="14.4" x14ac:dyDescent="0.3">
      <c r="A38" s="53">
        <v>2</v>
      </c>
      <c r="B38" s="58" t="s">
        <v>314</v>
      </c>
      <c r="C38" s="31"/>
      <c r="D38" s="60">
        <v>2</v>
      </c>
      <c r="E38" s="31" t="s">
        <v>315</v>
      </c>
      <c r="F38" s="59">
        <v>500</v>
      </c>
      <c r="G38" s="31"/>
      <c r="H38" s="31"/>
      <c r="I38" s="31"/>
      <c r="J38" s="50">
        <f t="shared" ref="J38:J42" si="5">D38*F38</f>
        <v>1000</v>
      </c>
      <c r="K38" s="239" t="s">
        <v>168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157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162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123</v>
      </c>
      <c r="C43" s="30"/>
      <c r="D43" s="30"/>
      <c r="E43" s="30"/>
      <c r="F43" s="30"/>
      <c r="G43" s="30"/>
      <c r="H43" s="30"/>
      <c r="I43" s="30"/>
      <c r="J43" s="56">
        <f>SUM(J44:J49)</f>
        <v>1800</v>
      </c>
      <c r="K43" s="30"/>
    </row>
    <row r="44" spans="1:11" ht="14.4" x14ac:dyDescent="0.3">
      <c r="A44" s="53">
        <v>1</v>
      </c>
      <c r="B44" s="57" t="s">
        <v>170</v>
      </c>
      <c r="C44" s="31"/>
      <c r="D44" s="60">
        <f>15*20</f>
        <v>300</v>
      </c>
      <c r="E44" s="31" t="s">
        <v>312</v>
      </c>
      <c r="F44" s="59">
        <v>6</v>
      </c>
      <c r="G44" s="31"/>
      <c r="H44" s="31"/>
      <c r="I44" s="31"/>
      <c r="J44" s="50">
        <f>D44*F44</f>
        <v>1800</v>
      </c>
      <c r="K44" s="31"/>
    </row>
    <row r="45" spans="1:11" ht="14.4" x14ac:dyDescent="0.3">
      <c r="A45" s="53">
        <v>2</v>
      </c>
      <c r="B45" s="58" t="s">
        <v>172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157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162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120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157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162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82C87FFD-E09A-44BE-BC92-9218B2AC50E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7109-3FF8-4209-9661-73235E5C3461}">
  <dimension ref="B2:D19"/>
  <sheetViews>
    <sheetView zoomScaleNormal="100" workbookViewId="0">
      <selection activeCell="C18" sqref="C18"/>
    </sheetView>
  </sheetViews>
  <sheetFormatPr defaultRowHeight="13.2" x14ac:dyDescent="0.25"/>
  <cols>
    <col min="2" max="2" width="24" customWidth="1"/>
    <col min="3" max="3" width="24.44140625" customWidth="1"/>
  </cols>
  <sheetData>
    <row r="2" spans="2:4" x14ac:dyDescent="0.25">
      <c r="C2" s="233">
        <v>0.3</v>
      </c>
      <c r="D2" s="232" t="s">
        <v>138</v>
      </c>
    </row>
    <row r="3" spans="2:4" ht="13.8" thickBot="1" x14ac:dyDescent="0.3"/>
    <row r="4" spans="2:4" x14ac:dyDescent="0.25">
      <c r="B4" s="231" t="s">
        <v>139</v>
      </c>
      <c r="C4" s="143" t="s">
        <v>140</v>
      </c>
    </row>
    <row r="5" spans="2:4" x14ac:dyDescent="0.25">
      <c r="B5" s="135" t="s">
        <v>109</v>
      </c>
      <c r="C5" s="235">
        <f>'Bid Schedule'!Q9+(C2*'Bid Schedule'!Q9)</f>
        <v>892812.04999999981</v>
      </c>
    </row>
    <row r="6" spans="2:4" x14ac:dyDescent="0.25">
      <c r="B6" s="135" t="s">
        <v>141</v>
      </c>
      <c r="C6" s="235">
        <f>'Bid Schedule'!Q13+(C2*'Bid Schedule'!Q13)</f>
        <v>194902.88999999998</v>
      </c>
    </row>
    <row r="7" spans="2:4" x14ac:dyDescent="0.25">
      <c r="B7" s="135" t="s">
        <v>115</v>
      </c>
      <c r="C7" s="235">
        <f>'Bid Schedule'!Q12+(C2*'Bid Schedule'!Q12)</f>
        <v>328806.40000000002</v>
      </c>
    </row>
    <row r="8" spans="2:4" x14ac:dyDescent="0.25">
      <c r="B8" s="135" t="s">
        <v>111</v>
      </c>
      <c r="C8" s="235">
        <f>'Bid Schedule'!Q10+(C2*'Bid Schedule'!Q10)</f>
        <v>2947692.7870000005</v>
      </c>
    </row>
    <row r="9" spans="2:4" x14ac:dyDescent="0.25">
      <c r="B9" s="135" t="s">
        <v>6</v>
      </c>
      <c r="C9" s="235">
        <f>'Bid Schedule'!Q7+(C2*'Bid Schedule'!Q7)</f>
        <v>459204.87274999992</v>
      </c>
    </row>
    <row r="10" spans="2:4" x14ac:dyDescent="0.25">
      <c r="B10" s="135" t="s">
        <v>142</v>
      </c>
      <c r="C10" s="235">
        <f>'Bid Schedule'!R17-'Bid Schedule'!Q17+(C2*('Bid Schedule'!R17-'Bid Schedule'!Q17))</f>
        <v>1520753.2502499998</v>
      </c>
    </row>
    <row r="11" spans="2:4" x14ac:dyDescent="0.25">
      <c r="B11" s="135" t="s">
        <v>120</v>
      </c>
      <c r="C11" s="235">
        <f>'Bid Schedule'!Q15+'Bid Schedule'!Q14+'Bid Schedule'!Q11+'Bid Schedule'!Q8+(C2*('Bid Schedule'!Q15+'Bid Schedule'!Q14+'Bid Schedule'!Q11+'Bid Schedule'!Q8))</f>
        <v>249761.85</v>
      </c>
    </row>
    <row r="12" spans="2:4" ht="13.8" thickBot="1" x14ac:dyDescent="0.3">
      <c r="B12" s="137" t="s">
        <v>143</v>
      </c>
      <c r="C12" s="236">
        <f>SUM(C5:C11)</f>
        <v>6593934.0999999996</v>
      </c>
    </row>
    <row r="15" spans="2:4" x14ac:dyDescent="0.25">
      <c r="C15" s="130">
        <v>5092935</v>
      </c>
      <c r="D15" s="13" t="s">
        <v>144</v>
      </c>
    </row>
    <row r="16" spans="2:4" x14ac:dyDescent="0.25">
      <c r="C16" s="131">
        <v>0.1</v>
      </c>
      <c r="D16" s="13" t="s">
        <v>145</v>
      </c>
    </row>
    <row r="17" spans="3:4" x14ac:dyDescent="0.25">
      <c r="C17" s="281">
        <v>3.0499999999999999E-2</v>
      </c>
      <c r="D17" s="13" t="s">
        <v>146</v>
      </c>
    </row>
    <row r="19" spans="3:4" x14ac:dyDescent="0.25">
      <c r="C19" s="280">
        <f>'Bid Schedule'!I9/'Bid Summary'!I1</f>
        <v>3.0624314777965879E-2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4DF53-1A6B-4A08-8F03-0FB26D3F4E6D}">
  <sheetPr>
    <tabColor rgb="FF92D050"/>
  </sheetPr>
  <dimension ref="A1:M56"/>
  <sheetViews>
    <sheetView zoomScale="90" zoomScaleNormal="90" workbookViewId="0">
      <selection activeCell="N34" sqref="N34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1.77734375" bestFit="1" customWidth="1"/>
    <col min="7" max="7" width="13.77734375" customWidth="1"/>
    <col min="8" max="8" width="11.77734375" bestFit="1" customWidth="1"/>
    <col min="9" max="9" width="13.6640625" customWidth="1"/>
    <col min="10" max="10" width="14.44140625" customWidth="1"/>
    <col min="11" max="11" width="72.6640625" customWidth="1"/>
    <col min="12" max="12" width="10.109375" bestFit="1" customWidth="1"/>
  </cols>
  <sheetData>
    <row r="1" spans="1:13" ht="14.4" x14ac:dyDescent="0.3">
      <c r="I1" s="252" t="s">
        <v>147</v>
      </c>
      <c r="J1" s="253">
        <f>J4+J15+J22+J29+J36+J43+J50</f>
        <v>63921.399999999994</v>
      </c>
      <c r="K1" t="s">
        <v>96</v>
      </c>
    </row>
    <row r="2" spans="1:13" ht="18" x14ac:dyDescent="0.3">
      <c r="B2" s="146" t="str">
        <f>'Bid Summary'!F39</f>
        <v xml:space="preserve">Hydrostatic Pressure Testing (42-inch Lateral DE and Connections) 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148</v>
      </c>
      <c r="C3" s="49" t="s">
        <v>149</v>
      </c>
      <c r="D3" s="49" t="s">
        <v>8</v>
      </c>
      <c r="E3" s="49" t="s">
        <v>150</v>
      </c>
      <c r="F3" s="49" t="s">
        <v>151</v>
      </c>
      <c r="G3" s="49" t="s">
        <v>152</v>
      </c>
      <c r="H3" s="49" t="s">
        <v>175</v>
      </c>
      <c r="I3" s="49" t="s">
        <v>153</v>
      </c>
      <c r="J3" s="49" t="s">
        <v>94</v>
      </c>
      <c r="K3" s="49" t="s">
        <v>154</v>
      </c>
      <c r="L3" s="29"/>
      <c r="M3" s="29"/>
    </row>
    <row r="4" spans="1:13" ht="14.4" x14ac:dyDescent="0.3">
      <c r="A4" s="188"/>
      <c r="B4" s="52" t="s">
        <v>109</v>
      </c>
      <c r="C4" s="30"/>
      <c r="D4" s="30"/>
      <c r="E4" s="30"/>
      <c r="F4" s="30"/>
      <c r="G4" s="30"/>
      <c r="H4" s="30"/>
      <c r="I4" s="30"/>
      <c r="J4" s="56">
        <f>SUM(J5:J14)</f>
        <v>43976.399999999994</v>
      </c>
      <c r="K4" s="30"/>
      <c r="L4" s="29"/>
      <c r="M4" s="29"/>
    </row>
    <row r="5" spans="1:13" ht="14.4" x14ac:dyDescent="0.3">
      <c r="A5" s="53">
        <v>1</v>
      </c>
      <c r="B5" s="255" t="str">
        <f>'Prevailing Wage'!C14</f>
        <v>Labor Lead</v>
      </c>
      <c r="C5" s="31"/>
      <c r="D5" s="60">
        <v>120</v>
      </c>
      <c r="E5" s="31" t="s">
        <v>118</v>
      </c>
      <c r="F5" s="256">
        <f>'Prevailing Wage'!D14</f>
        <v>74.69</v>
      </c>
      <c r="G5" s="31"/>
      <c r="H5" s="31"/>
      <c r="I5" s="31"/>
      <c r="J5" s="50">
        <f>D5*F5</f>
        <v>8962.7999999999993</v>
      </c>
      <c r="K5" s="31" t="s">
        <v>158</v>
      </c>
      <c r="L5" s="29"/>
      <c r="M5" s="29"/>
    </row>
    <row r="6" spans="1:13" ht="14.4" x14ac:dyDescent="0.3">
      <c r="A6" s="53">
        <v>2</v>
      </c>
      <c r="B6" s="255" t="str">
        <f>'Prevailing Wage'!C15</f>
        <v>Laborer</v>
      </c>
      <c r="C6" s="31"/>
      <c r="D6" s="225">
        <f>D5*'Bid Schedule'!$N$3</f>
        <v>360</v>
      </c>
      <c r="E6" s="31" t="s">
        <v>118</v>
      </c>
      <c r="F6" s="256">
        <f>'Prevailing Wage'!D15</f>
        <v>71.69</v>
      </c>
      <c r="G6" s="31"/>
      <c r="H6" s="31"/>
      <c r="I6" s="31"/>
      <c r="J6" s="50">
        <f t="shared" ref="J6:J12" si="0">D6*F6</f>
        <v>25808.399999999998</v>
      </c>
      <c r="K6" s="225" t="s">
        <v>159</v>
      </c>
      <c r="L6" s="29"/>
      <c r="M6" s="29"/>
    </row>
    <row r="7" spans="1:13" ht="14.4" x14ac:dyDescent="0.3">
      <c r="A7" s="53">
        <v>3</v>
      </c>
      <c r="B7" s="255" t="str">
        <f>'Prevailing Wage'!C16</f>
        <v>Operator</v>
      </c>
      <c r="C7" s="31"/>
      <c r="D7" s="60">
        <v>0</v>
      </c>
      <c r="E7" s="31" t="s">
        <v>118</v>
      </c>
      <c r="F7" s="256">
        <f>'Prevailing Wage'!D16</f>
        <v>96.29</v>
      </c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3">
        <v>4</v>
      </c>
      <c r="B8" s="255" t="str">
        <f>'Prevailing Wage'!C17</f>
        <v>Driver</v>
      </c>
      <c r="C8" s="31"/>
      <c r="D8" s="60">
        <v>120</v>
      </c>
      <c r="E8" s="31" t="s">
        <v>118</v>
      </c>
      <c r="F8" s="256">
        <f>'Prevailing Wage'!D17</f>
        <v>76.709999999999994</v>
      </c>
      <c r="G8" s="31"/>
      <c r="H8" s="31"/>
      <c r="I8" s="31"/>
      <c r="J8" s="50">
        <f t="shared" si="0"/>
        <v>9205.1999999999989</v>
      </c>
      <c r="K8" s="31"/>
      <c r="L8" s="29"/>
      <c r="M8" s="29"/>
    </row>
    <row r="9" spans="1:13" ht="14.4" x14ac:dyDescent="0.3">
      <c r="A9" s="53">
        <v>5</v>
      </c>
      <c r="B9" s="255" t="str">
        <f>'Prevailing Wage'!C18</f>
        <v>Landscaper</v>
      </c>
      <c r="C9" s="31"/>
      <c r="D9" s="60"/>
      <c r="E9" s="31" t="s">
        <v>118</v>
      </c>
      <c r="F9" s="256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5" t="str">
        <f>'Prevailing Wage'!C19</f>
        <v>Pipefitter</v>
      </c>
      <c r="C10" s="31"/>
      <c r="D10" s="60"/>
      <c r="E10" s="31" t="s">
        <v>118</v>
      </c>
      <c r="F10" s="256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5" t="str">
        <f>'Prevailing Wage'!C20</f>
        <v>Etc</v>
      </c>
      <c r="C11" s="31"/>
      <c r="D11" s="60"/>
      <c r="E11" s="31" t="s">
        <v>118</v>
      </c>
      <c r="F11" s="256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5" t="str">
        <f>'Prevailing Wage'!C21</f>
        <v>Etc</v>
      </c>
      <c r="C12" s="31"/>
      <c r="D12" s="60"/>
      <c r="E12" s="31" t="s">
        <v>118</v>
      </c>
      <c r="F12" s="256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157</v>
      </c>
      <c r="B13" s="58"/>
      <c r="C13" s="31"/>
      <c r="D13" s="60"/>
      <c r="E13" s="31" t="s">
        <v>118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112</v>
      </c>
      <c r="C15" s="30"/>
      <c r="D15" s="30"/>
      <c r="E15" s="30"/>
      <c r="F15" s="30"/>
      <c r="G15" s="30"/>
      <c r="H15" s="30"/>
      <c r="I15" s="30"/>
      <c r="J15" s="56">
        <f>SUM(J16:J21)</f>
        <v>10000</v>
      </c>
      <c r="K15" s="30"/>
      <c r="L15" s="29"/>
      <c r="M15" s="29"/>
    </row>
    <row r="16" spans="1:13" ht="14.4" x14ac:dyDescent="0.3">
      <c r="A16" s="53">
        <v>1</v>
      </c>
      <c r="B16" s="57" t="s">
        <v>316</v>
      </c>
      <c r="C16" s="31"/>
      <c r="D16" s="60">
        <v>20</v>
      </c>
      <c r="E16" s="31" t="s">
        <v>160</v>
      </c>
      <c r="F16" s="59">
        <v>500</v>
      </c>
      <c r="G16" s="31"/>
      <c r="H16" s="31"/>
      <c r="I16" s="31"/>
      <c r="J16" s="50">
        <f>D16*F16</f>
        <v>10000</v>
      </c>
      <c r="K16" s="31"/>
      <c r="L16" s="29"/>
      <c r="M16" s="29"/>
    </row>
    <row r="17" spans="1:13" ht="14.4" x14ac:dyDescent="0.3">
      <c r="A17" s="53">
        <v>2</v>
      </c>
      <c r="B17" s="58"/>
      <c r="C17" s="31"/>
      <c r="D17" s="60"/>
      <c r="E17" s="31"/>
      <c r="F17" s="59"/>
      <c r="G17" s="31"/>
      <c r="H17" s="31"/>
      <c r="I17" s="31"/>
      <c r="J17" s="50">
        <f t="shared" ref="J17:J21" si="2">D17*F17</f>
        <v>0</v>
      </c>
      <c r="K17" s="31"/>
      <c r="L17" s="29"/>
      <c r="M17" s="29"/>
    </row>
    <row r="18" spans="1:13" ht="14.4" x14ac:dyDescent="0.3">
      <c r="A18" s="53">
        <v>3</v>
      </c>
      <c r="B18" s="58"/>
      <c r="C18" s="31"/>
      <c r="D18" s="60"/>
      <c r="E18" s="31"/>
      <c r="F18" s="59"/>
      <c r="G18" s="31"/>
      <c r="H18" s="31"/>
      <c r="I18" s="31"/>
      <c r="J18" s="50">
        <f t="shared" si="2"/>
        <v>0</v>
      </c>
      <c r="K18" s="31"/>
      <c r="L18" s="29"/>
      <c r="M18" s="29"/>
    </row>
    <row r="19" spans="1:13" ht="14.4" x14ac:dyDescent="0.3">
      <c r="A19" s="53">
        <v>4</v>
      </c>
      <c r="B19" s="58"/>
      <c r="C19" s="31"/>
      <c r="D19" s="60"/>
      <c r="E19" s="31"/>
      <c r="F19" s="59"/>
      <c r="G19" s="31"/>
      <c r="H19" s="31"/>
      <c r="I19" s="31"/>
      <c r="J19" s="50">
        <f t="shared" si="2"/>
        <v>0</v>
      </c>
      <c r="K19" s="31"/>
      <c r="L19" s="29"/>
      <c r="M19" s="29"/>
    </row>
    <row r="20" spans="1:13" ht="14.4" x14ac:dyDescent="0.3">
      <c r="A20" s="53" t="s">
        <v>157</v>
      </c>
      <c r="B20" s="58"/>
      <c r="C20" s="31"/>
      <c r="D20" s="60"/>
      <c r="E20" s="31"/>
      <c r="F20" s="59"/>
      <c r="G20" s="31"/>
      <c r="H20" s="31"/>
      <c r="I20" s="31"/>
      <c r="J20" s="50">
        <f t="shared" si="2"/>
        <v>0</v>
      </c>
      <c r="K20" s="31"/>
      <c r="L20" s="29"/>
      <c r="M20" s="29"/>
    </row>
    <row r="21" spans="1:13" ht="14.4" hidden="1" customHeight="1" x14ac:dyDescent="0.3">
      <c r="A21" s="54" t="s">
        <v>162</v>
      </c>
      <c r="B21" s="58"/>
      <c r="C21" s="31"/>
      <c r="D21" s="60"/>
      <c r="E21" s="31"/>
      <c r="F21" s="59"/>
      <c r="G21" s="31"/>
      <c r="H21" s="31"/>
      <c r="I21" s="31"/>
      <c r="J21" s="50">
        <f t="shared" si="2"/>
        <v>0</v>
      </c>
      <c r="K21" s="31"/>
      <c r="L21" s="29"/>
      <c r="M21" s="29"/>
    </row>
    <row r="22" spans="1:13" ht="14.4" x14ac:dyDescent="0.3">
      <c r="A22" s="188"/>
      <c r="B22" s="52" t="s">
        <v>116</v>
      </c>
      <c r="C22" s="30"/>
      <c r="D22" s="30"/>
      <c r="E22" s="30"/>
      <c r="F22" s="30"/>
      <c r="G22" s="30"/>
      <c r="H22" s="30"/>
      <c r="I22" s="30"/>
      <c r="J22" s="56">
        <f>SUM(J23:J28)</f>
        <v>0</v>
      </c>
      <c r="K22" s="30"/>
    </row>
    <row r="23" spans="1:13" ht="14.4" x14ac:dyDescent="0.3">
      <c r="A23" s="53">
        <v>1</v>
      </c>
      <c r="B23" s="57"/>
      <c r="C23" s="31"/>
      <c r="D23" s="60"/>
      <c r="E23" s="31"/>
      <c r="F23" s="59"/>
      <c r="G23" s="31"/>
      <c r="H23" s="31"/>
      <c r="I23" s="31"/>
      <c r="J23" s="50">
        <f>D23*F23</f>
        <v>0</v>
      </c>
      <c r="K23" s="31"/>
    </row>
    <row r="24" spans="1:13" ht="14.4" x14ac:dyDescent="0.3">
      <c r="A24" s="53">
        <v>2</v>
      </c>
      <c r="B24" s="58"/>
      <c r="C24" s="31"/>
      <c r="D24" s="60"/>
      <c r="E24" s="31"/>
      <c r="F24" s="59"/>
      <c r="G24" s="31"/>
      <c r="H24" s="31"/>
      <c r="I24" s="31"/>
      <c r="J24" s="50">
        <f t="shared" ref="J24:J28" si="3">D24*F24</f>
        <v>0</v>
      </c>
      <c r="K24" s="239"/>
    </row>
    <row r="25" spans="1:13" ht="14.4" x14ac:dyDescent="0.3">
      <c r="A25" s="53">
        <v>3</v>
      </c>
      <c r="B25" s="58"/>
      <c r="C25" s="31"/>
      <c r="D25" s="60"/>
      <c r="E25" s="31"/>
      <c r="F25" s="59"/>
      <c r="G25" s="31"/>
      <c r="H25" s="31"/>
      <c r="I25" s="31"/>
      <c r="J25" s="50">
        <f t="shared" si="3"/>
        <v>0</v>
      </c>
      <c r="K25" s="31"/>
    </row>
    <row r="26" spans="1:13" ht="14.4" x14ac:dyDescent="0.3">
      <c r="A26" s="53">
        <v>4</v>
      </c>
      <c r="B26" s="58"/>
      <c r="C26" s="31"/>
      <c r="D26" s="60"/>
      <c r="E26" s="31"/>
      <c r="F26" s="59"/>
      <c r="G26" s="31"/>
      <c r="H26" s="31"/>
      <c r="I26" s="31"/>
      <c r="J26" s="50">
        <f t="shared" si="3"/>
        <v>0</v>
      </c>
      <c r="K26" s="31"/>
    </row>
    <row r="27" spans="1:13" ht="14.4" x14ac:dyDescent="0.3">
      <c r="A27" s="53" t="s">
        <v>157</v>
      </c>
      <c r="B27" s="58"/>
      <c r="C27" s="31"/>
      <c r="D27" s="60"/>
      <c r="E27" s="31"/>
      <c r="F27" s="59"/>
      <c r="G27" s="31"/>
      <c r="H27" s="31"/>
      <c r="I27" s="31"/>
      <c r="J27" s="50">
        <f t="shared" si="3"/>
        <v>0</v>
      </c>
      <c r="K27" s="31"/>
    </row>
    <row r="28" spans="1:13" ht="14.4" hidden="1" x14ac:dyDescent="0.3">
      <c r="A28" s="54" t="s">
        <v>162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188"/>
      <c r="B29" s="52" t="s">
        <v>136</v>
      </c>
      <c r="C29" s="30"/>
      <c r="D29" s="30"/>
      <c r="E29" s="30"/>
      <c r="F29" s="30"/>
      <c r="G29" s="30"/>
      <c r="H29" s="30"/>
      <c r="I29" s="30"/>
      <c r="J29" s="56">
        <f>SUM(J30:J35)</f>
        <v>0</v>
      </c>
      <c r="K29" s="30"/>
    </row>
    <row r="30" spans="1:13" ht="14.4" x14ac:dyDescent="0.3">
      <c r="A30" s="53">
        <v>1</v>
      </c>
      <c r="B30" s="57"/>
      <c r="C30" s="31"/>
      <c r="D30" s="60"/>
      <c r="E30" s="31"/>
      <c r="F30" s="59"/>
      <c r="G30" s="31"/>
      <c r="H30" s="31"/>
      <c r="I30" s="31"/>
      <c r="J30" s="50">
        <f>D30*F30</f>
        <v>0</v>
      </c>
      <c r="K30" s="31"/>
    </row>
    <row r="31" spans="1:13" ht="14.4" x14ac:dyDescent="0.3">
      <c r="A31" s="53">
        <v>2</v>
      </c>
      <c r="B31" s="58"/>
      <c r="C31" s="31"/>
      <c r="D31" s="60"/>
      <c r="E31" s="31"/>
      <c r="F31" s="59"/>
      <c r="G31" s="31"/>
      <c r="H31" s="31"/>
      <c r="I31" s="31"/>
      <c r="J31" s="50">
        <f t="shared" ref="J31:J35" si="4">D31*F31</f>
        <v>0</v>
      </c>
      <c r="K31" s="31"/>
    </row>
    <row r="32" spans="1:13" ht="14.4" x14ac:dyDescent="0.3">
      <c r="A32" s="53">
        <v>3</v>
      </c>
      <c r="B32" s="58"/>
      <c r="C32" s="31"/>
      <c r="D32" s="60"/>
      <c r="E32" s="31"/>
      <c r="F32" s="59"/>
      <c r="G32" s="31"/>
      <c r="H32" s="31"/>
      <c r="I32" s="31"/>
      <c r="J32" s="50">
        <f t="shared" si="4"/>
        <v>0</v>
      </c>
      <c r="K32" s="31"/>
    </row>
    <row r="33" spans="1:11" ht="14.4" x14ac:dyDescent="0.3">
      <c r="A33" s="53">
        <v>4</v>
      </c>
      <c r="B33" s="58"/>
      <c r="C33" s="31"/>
      <c r="D33" s="60"/>
      <c r="E33" s="31"/>
      <c r="F33" s="59"/>
      <c r="G33" s="31"/>
      <c r="H33" s="31"/>
      <c r="I33" s="31"/>
      <c r="J33" s="50">
        <f t="shared" si="4"/>
        <v>0</v>
      </c>
      <c r="K33" s="31"/>
    </row>
    <row r="34" spans="1:11" ht="14.4" x14ac:dyDescent="0.3">
      <c r="A34" s="53" t="s">
        <v>157</v>
      </c>
      <c r="B34" s="58"/>
      <c r="C34" s="31"/>
      <c r="D34" s="60"/>
      <c r="E34" s="31"/>
      <c r="F34" s="59"/>
      <c r="G34" s="31"/>
      <c r="H34" s="31"/>
      <c r="I34" s="31"/>
      <c r="J34" s="50">
        <f t="shared" si="4"/>
        <v>0</v>
      </c>
      <c r="K34" s="31"/>
    </row>
    <row r="35" spans="1:11" ht="14.4" hidden="1" x14ac:dyDescent="0.3">
      <c r="A35" s="54" t="s">
        <v>162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188"/>
      <c r="B36" s="52" t="s">
        <v>121</v>
      </c>
      <c r="C36" s="30"/>
      <c r="D36" s="30"/>
      <c r="E36" s="30"/>
      <c r="F36" s="30"/>
      <c r="G36" s="30"/>
      <c r="H36" s="30"/>
      <c r="I36" s="30"/>
      <c r="J36" s="56">
        <f>SUM(J37:J42)</f>
        <v>6345</v>
      </c>
      <c r="K36" s="30"/>
    </row>
    <row r="37" spans="1:11" ht="14.4" x14ac:dyDescent="0.3">
      <c r="A37" s="53">
        <v>1</v>
      </c>
      <c r="B37" s="58" t="s">
        <v>167</v>
      </c>
      <c r="C37" s="31"/>
      <c r="D37" s="60">
        <v>1</v>
      </c>
      <c r="E37" s="31" t="s">
        <v>165</v>
      </c>
      <c r="F37" s="59">
        <v>4345</v>
      </c>
      <c r="G37" s="31"/>
      <c r="H37" s="31"/>
      <c r="I37" s="31"/>
      <c r="J37" s="50">
        <f>D37*F37</f>
        <v>4345</v>
      </c>
      <c r="K37" s="31" t="s">
        <v>166</v>
      </c>
    </row>
    <row r="38" spans="1:11" ht="14.4" x14ac:dyDescent="0.3">
      <c r="A38" s="53">
        <v>2</v>
      </c>
      <c r="B38" s="58" t="s">
        <v>314</v>
      </c>
      <c r="C38" s="31"/>
      <c r="D38" s="60">
        <v>4</v>
      </c>
      <c r="E38" s="31" t="s">
        <v>315</v>
      </c>
      <c r="F38" s="59">
        <v>500</v>
      </c>
      <c r="G38" s="31"/>
      <c r="H38" s="31"/>
      <c r="I38" s="31"/>
      <c r="J38" s="50">
        <f t="shared" ref="J38:J42" si="5">D38*F38</f>
        <v>2000</v>
      </c>
      <c r="K38" s="239" t="s">
        <v>168</v>
      </c>
    </row>
    <row r="39" spans="1:11" ht="14.4" x14ac:dyDescent="0.3">
      <c r="A39" s="53">
        <v>3</v>
      </c>
      <c r="B39" s="58"/>
      <c r="C39" s="31"/>
      <c r="D39" s="60"/>
      <c r="E39" s="31"/>
      <c r="F39" s="59"/>
      <c r="G39" s="31"/>
      <c r="H39" s="31"/>
      <c r="I39" s="31"/>
      <c r="J39" s="50">
        <f t="shared" si="5"/>
        <v>0</v>
      </c>
      <c r="K39" s="31"/>
    </row>
    <row r="40" spans="1:11" ht="14.4" x14ac:dyDescent="0.3">
      <c r="A40" s="53">
        <v>4</v>
      </c>
      <c r="B40" s="58"/>
      <c r="C40" s="31"/>
      <c r="D40" s="60"/>
      <c r="E40" s="31"/>
      <c r="F40" s="59"/>
      <c r="G40" s="31"/>
      <c r="H40" s="31"/>
      <c r="I40" s="31"/>
      <c r="J40" s="50">
        <f t="shared" si="5"/>
        <v>0</v>
      </c>
      <c r="K40" s="31"/>
    </row>
    <row r="41" spans="1:11" ht="14.4" x14ac:dyDescent="0.3">
      <c r="A41" s="53" t="s">
        <v>157</v>
      </c>
      <c r="B41" s="58"/>
      <c r="C41" s="31"/>
      <c r="D41" s="60"/>
      <c r="E41" s="31"/>
      <c r="F41" s="59"/>
      <c r="G41" s="31"/>
      <c r="H41" s="31"/>
      <c r="I41" s="31"/>
      <c r="J41" s="50">
        <f t="shared" si="5"/>
        <v>0</v>
      </c>
      <c r="K41" s="31"/>
    </row>
    <row r="42" spans="1:11" ht="14.4" hidden="1" x14ac:dyDescent="0.3">
      <c r="A42" s="54" t="s">
        <v>162</v>
      </c>
      <c r="B42" s="58"/>
      <c r="C42" s="31"/>
      <c r="D42" s="60"/>
      <c r="E42" s="31"/>
      <c r="F42" s="59"/>
      <c r="G42" s="31"/>
      <c r="H42" s="31"/>
      <c r="I42" s="31"/>
      <c r="J42" s="50">
        <f t="shared" si="5"/>
        <v>0</v>
      </c>
      <c r="K42" s="31"/>
    </row>
    <row r="43" spans="1:11" ht="14.4" x14ac:dyDescent="0.3">
      <c r="A43" s="188"/>
      <c r="B43" s="52" t="s">
        <v>123</v>
      </c>
      <c r="C43" s="30"/>
      <c r="D43" s="30"/>
      <c r="E43" s="30"/>
      <c r="F43" s="30"/>
      <c r="G43" s="30"/>
      <c r="H43" s="30"/>
      <c r="I43" s="30"/>
      <c r="J43" s="56">
        <f>SUM(J44:J49)</f>
        <v>3600</v>
      </c>
      <c r="K43" s="30"/>
    </row>
    <row r="44" spans="1:11" ht="14.4" x14ac:dyDescent="0.3">
      <c r="A44" s="53">
        <v>1</v>
      </c>
      <c r="B44" s="57" t="s">
        <v>170</v>
      </c>
      <c r="C44" s="31"/>
      <c r="D44" s="60">
        <v>600</v>
      </c>
      <c r="E44" s="31" t="s">
        <v>312</v>
      </c>
      <c r="F44" s="59">
        <v>6</v>
      </c>
      <c r="G44" s="31"/>
      <c r="H44" s="31"/>
      <c r="I44" s="31"/>
      <c r="J44" s="50">
        <f>D44*F44</f>
        <v>3600</v>
      </c>
      <c r="K44" s="31"/>
    </row>
    <row r="45" spans="1:11" ht="14.4" x14ac:dyDescent="0.3">
      <c r="A45" s="53">
        <v>2</v>
      </c>
      <c r="B45" s="58" t="s">
        <v>172</v>
      </c>
      <c r="C45" s="31"/>
      <c r="D45" s="60"/>
      <c r="E45" s="31"/>
      <c r="F45" s="59"/>
      <c r="G45" s="31"/>
      <c r="H45" s="31"/>
      <c r="I45" s="31"/>
      <c r="J45" s="50">
        <f t="shared" ref="J45:J49" si="6">D45*F45</f>
        <v>0</v>
      </c>
      <c r="K45" s="31"/>
    </row>
    <row r="46" spans="1:11" ht="14.4" x14ac:dyDescent="0.3">
      <c r="A46" s="53">
        <v>3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53">
        <v>4</v>
      </c>
      <c r="B47" s="58"/>
      <c r="C47" s="31"/>
      <c r="D47" s="60"/>
      <c r="E47" s="31"/>
      <c r="F47" s="59"/>
      <c r="G47" s="31"/>
      <c r="H47" s="31"/>
      <c r="I47" s="31"/>
      <c r="J47" s="50">
        <f t="shared" si="6"/>
        <v>0</v>
      </c>
      <c r="K47" s="31"/>
    </row>
    <row r="48" spans="1:11" ht="14.4" x14ac:dyDescent="0.3">
      <c r="A48" s="53" t="s">
        <v>157</v>
      </c>
      <c r="B48" s="58"/>
      <c r="C48" s="31"/>
      <c r="D48" s="60"/>
      <c r="E48" s="31"/>
      <c r="F48" s="59"/>
      <c r="G48" s="31"/>
      <c r="H48" s="31"/>
      <c r="I48" s="31"/>
      <c r="J48" s="50">
        <f t="shared" si="6"/>
        <v>0</v>
      </c>
      <c r="K48" s="31"/>
    </row>
    <row r="49" spans="1:11" ht="14.4" hidden="1" x14ac:dyDescent="0.3">
      <c r="A49" s="54" t="s">
        <v>162</v>
      </c>
      <c r="B49" s="58"/>
      <c r="C49" s="31"/>
      <c r="D49" s="60"/>
      <c r="E49" s="31"/>
      <c r="F49" s="59"/>
      <c r="G49" s="31"/>
      <c r="H49" s="31"/>
      <c r="I49" s="31"/>
      <c r="J49" s="50">
        <f t="shared" si="6"/>
        <v>0</v>
      </c>
      <c r="K49" s="31"/>
    </row>
    <row r="50" spans="1:11" ht="14.4" x14ac:dyDescent="0.3">
      <c r="A50" s="188"/>
      <c r="B50" s="52" t="s">
        <v>120</v>
      </c>
      <c r="C50" s="30"/>
      <c r="D50" s="30"/>
      <c r="E50" s="30"/>
      <c r="F50" s="30"/>
      <c r="G50" s="30"/>
      <c r="H50" s="30"/>
      <c r="I50" s="30"/>
      <c r="J50" s="56">
        <f>SUM(J51:J56)</f>
        <v>0</v>
      </c>
      <c r="K50" s="30"/>
    </row>
    <row r="51" spans="1:11" ht="14.4" x14ac:dyDescent="0.3">
      <c r="A51" s="53">
        <v>1</v>
      </c>
      <c r="B51" s="57"/>
      <c r="C51" s="31"/>
      <c r="D51" s="60"/>
      <c r="E51" s="31"/>
      <c r="F51" s="59"/>
      <c r="G51" s="31"/>
      <c r="H51" s="31"/>
      <c r="I51" s="31"/>
      <c r="J51" s="50">
        <f>D51*F51</f>
        <v>0</v>
      </c>
      <c r="K51" s="31"/>
    </row>
    <row r="52" spans="1:11" ht="14.4" x14ac:dyDescent="0.3">
      <c r="A52" s="53">
        <v>2</v>
      </c>
      <c r="B52" s="58"/>
      <c r="C52" s="31"/>
      <c r="D52" s="60"/>
      <c r="E52" s="31"/>
      <c r="F52" s="59"/>
      <c r="G52" s="31"/>
      <c r="H52" s="31"/>
      <c r="I52" s="31"/>
      <c r="J52" s="50">
        <f t="shared" ref="J52:J56" si="7">D52*F52</f>
        <v>0</v>
      </c>
      <c r="K52" s="31"/>
    </row>
    <row r="53" spans="1:11" ht="14.4" x14ac:dyDescent="0.3">
      <c r="A53" s="53">
        <v>3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53">
        <v>4</v>
      </c>
      <c r="B54" s="58"/>
      <c r="C54" s="31"/>
      <c r="D54" s="60"/>
      <c r="E54" s="31"/>
      <c r="F54" s="59"/>
      <c r="G54" s="31"/>
      <c r="H54" s="31"/>
      <c r="I54" s="31"/>
      <c r="J54" s="50">
        <f t="shared" si="7"/>
        <v>0</v>
      </c>
      <c r="K54" s="31"/>
    </row>
    <row r="55" spans="1:11" ht="14.4" x14ac:dyDescent="0.3">
      <c r="A55" s="53" t="s">
        <v>157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hidden="1" x14ac:dyDescent="0.3">
      <c r="A56" s="54" t="s">
        <v>162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</sheetData>
  <hyperlinks>
    <hyperlink ref="K38" r:id="rId1" xr:uid="{5BADDCCE-4ACE-4C1A-B5E8-0548BADB897F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21BA9-D4D2-40BA-9A9C-086A37769E10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911A6-D80D-40D5-93CD-F0DABA10BF62}">
  <sheetPr>
    <tabColor rgb="FF92D050"/>
  </sheetPr>
  <dimension ref="A1:M65"/>
  <sheetViews>
    <sheetView zoomScale="90" zoomScaleNormal="90" workbookViewId="0">
      <selection activeCell="B23" sqref="B23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3.44140625" bestFit="1" customWidth="1"/>
    <col min="7" max="7" width="13.77734375" customWidth="1"/>
    <col min="8" max="8" width="11.77734375" bestFit="1" customWidth="1"/>
    <col min="9" max="9" width="13.6640625" customWidth="1"/>
    <col min="10" max="10" width="13.44140625" bestFit="1" customWidth="1"/>
    <col min="11" max="11" width="84.77734375" customWidth="1"/>
    <col min="12" max="12" width="10.109375" bestFit="1" customWidth="1"/>
  </cols>
  <sheetData>
    <row r="1" spans="1:13" ht="14.4" x14ac:dyDescent="0.3">
      <c r="I1" s="251" t="s">
        <v>147</v>
      </c>
      <c r="J1" s="56">
        <f>J4+J10+J21+J31+J38+J45+J52+J59</f>
        <v>42209.01</v>
      </c>
      <c r="K1" s="232" t="s">
        <v>96</v>
      </c>
    </row>
    <row r="2" spans="1:13" ht="18" x14ac:dyDescent="0.3">
      <c r="B2" s="146" t="str">
        <f>'Bid Summary'!F4</f>
        <v>Lateral DE Connection (36-inch Steel at STA 10+00)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148</v>
      </c>
      <c r="C3" s="254" t="s">
        <v>149</v>
      </c>
      <c r="D3" s="254" t="s">
        <v>8</v>
      </c>
      <c r="E3" s="254" t="s">
        <v>150</v>
      </c>
      <c r="F3" s="254" t="s">
        <v>151</v>
      </c>
      <c r="G3" s="254" t="s">
        <v>152</v>
      </c>
      <c r="H3" s="254" t="s">
        <v>151</v>
      </c>
      <c r="I3" s="254" t="s">
        <v>153</v>
      </c>
      <c r="J3" s="49" t="s">
        <v>94</v>
      </c>
      <c r="K3" s="49" t="s">
        <v>154</v>
      </c>
      <c r="L3" s="29"/>
      <c r="M3" s="29"/>
    </row>
    <row r="4" spans="1:13" ht="14.4" x14ac:dyDescent="0.3">
      <c r="A4" s="188"/>
      <c r="B4" s="52" t="s">
        <v>131</v>
      </c>
      <c r="C4" s="30"/>
      <c r="D4" s="30"/>
      <c r="E4" s="30"/>
      <c r="F4" s="30"/>
      <c r="G4" s="30"/>
      <c r="H4" s="30"/>
      <c r="I4" s="30"/>
      <c r="J4" s="56">
        <f>SUM(J5:J9)</f>
        <v>0</v>
      </c>
      <c r="K4" s="30"/>
      <c r="L4" s="29"/>
      <c r="M4" s="29"/>
    </row>
    <row r="5" spans="1:13" ht="14.4" x14ac:dyDescent="0.3">
      <c r="A5" s="53">
        <v>1</v>
      </c>
      <c r="B5" s="57" t="s">
        <v>155</v>
      </c>
      <c r="C5" s="31"/>
      <c r="D5" s="60">
        <v>0</v>
      </c>
      <c r="E5" s="31"/>
      <c r="F5" s="59">
        <v>3500</v>
      </c>
      <c r="G5" s="31"/>
      <c r="H5" s="31"/>
      <c r="I5" s="31"/>
      <c r="J5" s="50">
        <f>D5*F5</f>
        <v>0</v>
      </c>
      <c r="K5" s="31"/>
      <c r="L5" s="29"/>
      <c r="M5" s="29"/>
    </row>
    <row r="6" spans="1:13" ht="14.4" x14ac:dyDescent="0.3">
      <c r="A6" s="53">
        <v>2</v>
      </c>
      <c r="B6" s="58" t="s">
        <v>156</v>
      </c>
      <c r="C6" s="31"/>
      <c r="D6" s="60">
        <v>0</v>
      </c>
      <c r="E6" s="31"/>
      <c r="F6" s="59">
        <v>3500</v>
      </c>
      <c r="G6" s="31"/>
      <c r="H6" s="31"/>
      <c r="I6" s="31"/>
      <c r="J6" s="50">
        <f t="shared" ref="J6:J8" si="0">D6*F6</f>
        <v>0</v>
      </c>
      <c r="K6" s="31"/>
      <c r="L6" s="29"/>
      <c r="M6" s="29"/>
    </row>
    <row r="7" spans="1:13" ht="14.4" x14ac:dyDescent="0.3">
      <c r="A7" s="53">
        <v>3</v>
      </c>
      <c r="B7" s="58"/>
      <c r="C7" s="31"/>
      <c r="D7" s="60"/>
      <c r="E7" s="31"/>
      <c r="F7" s="59"/>
      <c r="G7" s="31"/>
      <c r="H7" s="31"/>
      <c r="I7" s="31"/>
      <c r="J7" s="50">
        <f t="shared" si="0"/>
        <v>0</v>
      </c>
      <c r="K7" s="31"/>
      <c r="L7" s="29"/>
      <c r="M7" s="29"/>
    </row>
    <row r="8" spans="1:13" ht="14.4" x14ac:dyDescent="0.3">
      <c r="A8" s="54" t="s">
        <v>157</v>
      </c>
      <c r="B8" s="58"/>
      <c r="C8" s="31"/>
      <c r="D8" s="60"/>
      <c r="E8" s="31"/>
      <c r="F8" s="59"/>
      <c r="G8" s="31"/>
      <c r="H8" s="31"/>
      <c r="I8" s="31"/>
      <c r="J8" s="50">
        <f t="shared" si="0"/>
        <v>0</v>
      </c>
      <c r="K8" s="31"/>
      <c r="L8" s="29"/>
      <c r="M8" s="29"/>
    </row>
    <row r="9" spans="1:13" ht="14.4" hidden="1" x14ac:dyDescent="0.3">
      <c r="A9" s="53"/>
      <c r="B9" s="51"/>
      <c r="C9" s="49"/>
      <c r="D9" s="49"/>
      <c r="E9" s="49"/>
      <c r="F9" s="49"/>
      <c r="G9" s="49"/>
      <c r="H9" s="49"/>
      <c r="I9" s="49"/>
      <c r="J9" s="49"/>
      <c r="K9" s="49"/>
      <c r="L9" s="29"/>
      <c r="M9" s="29"/>
    </row>
    <row r="10" spans="1:13" ht="14.4" x14ac:dyDescent="0.3">
      <c r="A10" s="188"/>
      <c r="B10" s="52" t="s">
        <v>109</v>
      </c>
      <c r="C10" s="30"/>
      <c r="D10" s="30"/>
      <c r="E10" s="30"/>
      <c r="F10" s="30"/>
      <c r="G10" s="30"/>
      <c r="H10" s="30"/>
      <c r="I10" s="30"/>
      <c r="J10" s="56">
        <f>SUM(J11:J20)</f>
        <v>7404.16</v>
      </c>
      <c r="K10" s="30"/>
      <c r="L10" s="29"/>
      <c r="M10" s="29"/>
    </row>
    <row r="11" spans="1:13" ht="14.4" x14ac:dyDescent="0.3">
      <c r="A11" s="53">
        <v>1</v>
      </c>
      <c r="B11" s="255" t="str">
        <f>'Prevailing Wage'!C14</f>
        <v>Labor Lead</v>
      </c>
      <c r="C11" s="31"/>
      <c r="D11" s="60">
        <v>16</v>
      </c>
      <c r="E11" s="31" t="s">
        <v>118</v>
      </c>
      <c r="F11" s="256">
        <f>'Prevailing Wage'!D14</f>
        <v>74.69</v>
      </c>
      <c r="G11" s="31"/>
      <c r="H11" s="31"/>
      <c r="I11" s="31"/>
      <c r="J11" s="50">
        <f>D11*F11</f>
        <v>1195.04</v>
      </c>
      <c r="K11" s="31" t="s">
        <v>158</v>
      </c>
      <c r="L11" s="29"/>
      <c r="M11" s="29"/>
    </row>
    <row r="12" spans="1:13" ht="14.4" x14ac:dyDescent="0.3">
      <c r="A12" s="53">
        <v>2</v>
      </c>
      <c r="B12" s="255" t="str">
        <f>'Prevailing Wage'!C15</f>
        <v>Laborer</v>
      </c>
      <c r="C12" s="31"/>
      <c r="D12" s="225">
        <f>D11*'Bid Schedule'!$N$3</f>
        <v>48</v>
      </c>
      <c r="E12" s="31" t="s">
        <v>118</v>
      </c>
      <c r="F12" s="256">
        <f>'Prevailing Wage'!D15</f>
        <v>71.69</v>
      </c>
      <c r="G12" s="31"/>
      <c r="H12" s="31"/>
      <c r="I12" s="31"/>
      <c r="J12" s="50">
        <f t="shared" ref="J12:J19" si="1">D12*F12</f>
        <v>3441.12</v>
      </c>
      <c r="K12" s="225" t="s">
        <v>159</v>
      </c>
      <c r="L12" s="29"/>
      <c r="M12" s="29"/>
    </row>
    <row r="13" spans="1:13" ht="14.4" x14ac:dyDescent="0.3">
      <c r="A13" s="53">
        <v>3</v>
      </c>
      <c r="B13" s="255" t="str">
        <f>'Prevailing Wage'!C16</f>
        <v>Operator</v>
      </c>
      <c r="C13" s="31"/>
      <c r="D13" s="60">
        <v>16</v>
      </c>
      <c r="E13" s="31" t="s">
        <v>118</v>
      </c>
      <c r="F13" s="256">
        <f>'Prevailing Wage'!D16</f>
        <v>96.29</v>
      </c>
      <c r="G13" s="31"/>
      <c r="H13" s="31"/>
      <c r="I13" s="31"/>
      <c r="J13" s="50">
        <f t="shared" si="1"/>
        <v>1540.64</v>
      </c>
      <c r="K13" s="31"/>
      <c r="L13" s="29"/>
      <c r="M13" s="29"/>
    </row>
    <row r="14" spans="1:13" ht="14.4" x14ac:dyDescent="0.3">
      <c r="A14" s="53">
        <v>4</v>
      </c>
      <c r="B14" s="255" t="str">
        <f>'Prevailing Wage'!C17</f>
        <v>Driver</v>
      </c>
      <c r="C14" s="31"/>
      <c r="D14" s="60">
        <v>16</v>
      </c>
      <c r="E14" s="31" t="s">
        <v>118</v>
      </c>
      <c r="F14" s="256">
        <f>'Prevailing Wage'!D17</f>
        <v>76.709999999999994</v>
      </c>
      <c r="G14" s="31"/>
      <c r="H14" s="31"/>
      <c r="I14" s="31"/>
      <c r="J14" s="50">
        <f t="shared" si="1"/>
        <v>1227.3599999999999</v>
      </c>
      <c r="K14" s="31"/>
      <c r="L14" s="29"/>
      <c r="M14" s="29"/>
    </row>
    <row r="15" spans="1:13" ht="14.4" x14ac:dyDescent="0.3">
      <c r="A15" s="53">
        <v>5</v>
      </c>
      <c r="B15" s="255" t="str">
        <f>'Prevailing Wage'!C18</f>
        <v>Landscaper</v>
      </c>
      <c r="C15" s="31"/>
      <c r="D15" s="60"/>
      <c r="E15" s="31" t="s">
        <v>118</v>
      </c>
      <c r="F15" s="256">
        <f>'Prevailing Wage'!D18</f>
        <v>0</v>
      </c>
      <c r="G15" s="31"/>
      <c r="H15" s="31"/>
      <c r="I15" s="31"/>
      <c r="J15" s="50">
        <f t="shared" si="1"/>
        <v>0</v>
      </c>
      <c r="K15" s="31"/>
      <c r="L15" s="29"/>
      <c r="M15" s="29"/>
    </row>
    <row r="16" spans="1:13" ht="14.4" x14ac:dyDescent="0.3">
      <c r="A16" s="53">
        <v>6</v>
      </c>
      <c r="B16" s="255" t="str">
        <f>'Prevailing Wage'!C19</f>
        <v>Pipefitter</v>
      </c>
      <c r="C16" s="31"/>
      <c r="D16" s="60"/>
      <c r="E16" s="31" t="s">
        <v>118</v>
      </c>
      <c r="F16" s="256">
        <f>'Prevailing Wage'!D19</f>
        <v>87.69</v>
      </c>
      <c r="G16" s="31"/>
      <c r="H16" s="31"/>
      <c r="I16" s="31"/>
      <c r="J16" s="50">
        <f t="shared" si="1"/>
        <v>0</v>
      </c>
      <c r="K16" s="31"/>
      <c r="L16" s="29"/>
      <c r="M16" s="29"/>
    </row>
    <row r="17" spans="1:13" ht="14.4" x14ac:dyDescent="0.3">
      <c r="A17" s="53">
        <v>7</v>
      </c>
      <c r="B17" s="255" t="str">
        <f>'Prevailing Wage'!C20</f>
        <v>Etc</v>
      </c>
      <c r="C17" s="31"/>
      <c r="D17" s="60"/>
      <c r="E17" s="31" t="s">
        <v>118</v>
      </c>
      <c r="F17" s="256">
        <f>'Prevailing Wage'!D20</f>
        <v>0</v>
      </c>
      <c r="G17" s="31"/>
      <c r="H17" s="31"/>
      <c r="I17" s="31"/>
      <c r="J17" s="50">
        <f t="shared" si="1"/>
        <v>0</v>
      </c>
      <c r="K17" s="31"/>
      <c r="L17" s="29"/>
      <c r="M17" s="29"/>
    </row>
    <row r="18" spans="1:13" ht="14.4" x14ac:dyDescent="0.3">
      <c r="A18" s="53">
        <v>8</v>
      </c>
      <c r="B18" s="255" t="str">
        <f>'Prevailing Wage'!C21</f>
        <v>Etc</v>
      </c>
      <c r="C18" s="31"/>
      <c r="D18" s="60"/>
      <c r="E18" s="31" t="s">
        <v>118</v>
      </c>
      <c r="F18" s="256">
        <f>'Prevailing Wage'!D21</f>
        <v>0</v>
      </c>
      <c r="G18" s="31"/>
      <c r="H18" s="31"/>
      <c r="I18" s="31"/>
      <c r="J18" s="50">
        <f t="shared" si="1"/>
        <v>0</v>
      </c>
      <c r="K18" s="31"/>
      <c r="L18" s="29"/>
      <c r="M18" s="29"/>
    </row>
    <row r="19" spans="1:13" ht="14.4" x14ac:dyDescent="0.3">
      <c r="A19" s="54" t="s">
        <v>157</v>
      </c>
      <c r="B19" s="58"/>
      <c r="C19" s="31"/>
      <c r="D19" s="60"/>
      <c r="E19" s="31"/>
      <c r="F19" s="257"/>
      <c r="G19" s="31"/>
      <c r="H19" s="31"/>
      <c r="I19" s="31"/>
      <c r="J19" s="50">
        <f t="shared" si="1"/>
        <v>0</v>
      </c>
      <c r="K19" s="31"/>
      <c r="L19" s="29"/>
      <c r="M19" s="29"/>
    </row>
    <row r="20" spans="1:13" ht="14.4" hidden="1" x14ac:dyDescent="0.3">
      <c r="A20" s="53"/>
      <c r="B20" s="51"/>
      <c r="C20" s="49"/>
      <c r="D20" s="49"/>
      <c r="E20" s="49"/>
      <c r="F20" s="49"/>
      <c r="G20" s="49"/>
      <c r="H20" s="49"/>
      <c r="I20" s="49"/>
      <c r="J20" s="49"/>
      <c r="K20" s="49"/>
      <c r="L20" s="29"/>
      <c r="M20" s="29"/>
    </row>
    <row r="21" spans="1:13" ht="14.4" x14ac:dyDescent="0.3">
      <c r="A21" s="188"/>
      <c r="B21" s="52" t="s">
        <v>112</v>
      </c>
      <c r="C21" s="30"/>
      <c r="D21" s="30"/>
      <c r="E21" s="30"/>
      <c r="F21" s="30"/>
      <c r="G21" s="30"/>
      <c r="H21" s="30"/>
      <c r="I21" s="30"/>
      <c r="J21" s="56">
        <f>SUM(J22:J30)</f>
        <v>25200</v>
      </c>
      <c r="K21" s="30"/>
      <c r="L21" s="29"/>
      <c r="M21" s="29"/>
    </row>
    <row r="22" spans="1:13" ht="14.4" x14ac:dyDescent="0.3">
      <c r="A22" s="53">
        <v>1</v>
      </c>
      <c r="B22" s="57"/>
      <c r="C22" s="31"/>
      <c r="D22" s="60"/>
      <c r="E22" s="31"/>
      <c r="F22" s="59"/>
      <c r="G22" s="239"/>
      <c r="H22" s="50"/>
      <c r="I22" s="239"/>
      <c r="J22" s="50">
        <f t="shared" ref="J22:J30" si="2">D22*F22</f>
        <v>0</v>
      </c>
      <c r="K22" s="31"/>
      <c r="L22" s="29"/>
      <c r="M22" s="29"/>
    </row>
    <row r="23" spans="1:13" ht="14.4" x14ac:dyDescent="0.3">
      <c r="A23" s="53">
        <v>2</v>
      </c>
      <c r="B23" s="58" t="s">
        <v>317</v>
      </c>
      <c r="C23" s="31"/>
      <c r="D23" s="60">
        <v>1</v>
      </c>
      <c r="E23" s="31" t="s">
        <v>160</v>
      </c>
      <c r="F23" s="59">
        <v>23700</v>
      </c>
      <c r="G23" s="31"/>
      <c r="H23" s="50"/>
      <c r="I23" s="31"/>
      <c r="J23" s="50">
        <f t="shared" si="2"/>
        <v>23700</v>
      </c>
      <c r="K23" s="31"/>
      <c r="L23" s="29"/>
      <c r="M23" s="29"/>
    </row>
    <row r="24" spans="1:13" ht="14.4" x14ac:dyDescent="0.3">
      <c r="A24" s="53">
        <v>3</v>
      </c>
      <c r="B24" s="58" t="s">
        <v>318</v>
      </c>
      <c r="C24" s="31"/>
      <c r="D24" s="60">
        <v>1</v>
      </c>
      <c r="E24" s="31" t="s">
        <v>160</v>
      </c>
      <c r="F24" s="59">
        <v>100</v>
      </c>
      <c r="G24" s="31"/>
      <c r="H24" s="50"/>
      <c r="I24" s="31"/>
      <c r="J24" s="50">
        <f t="shared" si="2"/>
        <v>100</v>
      </c>
      <c r="K24" s="31"/>
      <c r="L24" s="29"/>
      <c r="M24" s="29"/>
    </row>
    <row r="25" spans="1:13" ht="14.4" x14ac:dyDescent="0.3">
      <c r="A25" s="53">
        <v>4</v>
      </c>
      <c r="B25" s="58" t="s">
        <v>319</v>
      </c>
      <c r="C25" s="31"/>
      <c r="D25" s="60">
        <v>1</v>
      </c>
      <c r="E25" s="31" t="s">
        <v>160</v>
      </c>
      <c r="F25" s="59">
        <v>700</v>
      </c>
      <c r="G25" s="31"/>
      <c r="H25" s="50"/>
      <c r="I25" s="239"/>
      <c r="J25" s="50">
        <f>D25*F25</f>
        <v>700</v>
      </c>
      <c r="K25" s="31"/>
      <c r="L25" s="29"/>
      <c r="M25" s="29"/>
    </row>
    <row r="26" spans="1:13" ht="14.4" x14ac:dyDescent="0.3">
      <c r="A26" s="53">
        <v>5</v>
      </c>
      <c r="B26" s="58" t="s">
        <v>320</v>
      </c>
      <c r="C26" s="31"/>
      <c r="D26" s="60">
        <v>1</v>
      </c>
      <c r="E26" s="31" t="s">
        <v>160</v>
      </c>
      <c r="F26" s="59">
        <v>100</v>
      </c>
      <c r="G26" s="31"/>
      <c r="H26" s="50"/>
      <c r="I26" s="239"/>
      <c r="J26" s="50">
        <f>D26*F26</f>
        <v>100</v>
      </c>
      <c r="K26" s="31"/>
      <c r="L26" s="29"/>
      <c r="M26" s="29"/>
    </row>
    <row r="27" spans="1:13" ht="14.4" x14ac:dyDescent="0.3">
      <c r="A27" s="53">
        <v>6</v>
      </c>
      <c r="B27" s="58" t="s">
        <v>321</v>
      </c>
      <c r="C27" s="31"/>
      <c r="D27" s="60">
        <v>1</v>
      </c>
      <c r="E27" s="31" t="s">
        <v>160</v>
      </c>
      <c r="F27" s="59">
        <v>600</v>
      </c>
      <c r="G27" s="31"/>
      <c r="H27" s="50"/>
      <c r="I27" s="239"/>
      <c r="J27" s="50">
        <f>D27*F27</f>
        <v>600</v>
      </c>
      <c r="K27" s="31"/>
      <c r="L27" s="29"/>
      <c r="M27" s="29"/>
    </row>
    <row r="28" spans="1:13" ht="14.4" x14ac:dyDescent="0.3">
      <c r="A28" s="53">
        <v>7</v>
      </c>
      <c r="B28" s="58"/>
      <c r="C28" s="31"/>
      <c r="D28" s="60"/>
      <c r="E28" s="31"/>
      <c r="F28" s="59"/>
      <c r="G28" s="31"/>
      <c r="H28" s="50"/>
      <c r="I28" s="239"/>
      <c r="J28" s="50"/>
      <c r="K28" s="31"/>
      <c r="L28" s="29"/>
      <c r="M28" s="29"/>
    </row>
    <row r="29" spans="1:13" ht="14.4" x14ac:dyDescent="0.3">
      <c r="A29" s="54" t="s">
        <v>157</v>
      </c>
      <c r="B29" s="58"/>
      <c r="C29" s="31"/>
      <c r="D29" s="60"/>
      <c r="E29" s="31"/>
      <c r="F29" s="59"/>
      <c r="G29" s="31"/>
      <c r="H29" s="50"/>
      <c r="I29" s="31"/>
      <c r="J29" s="50">
        <f t="shared" si="2"/>
        <v>0</v>
      </c>
      <c r="K29" s="31"/>
      <c r="L29" s="29"/>
      <c r="M29" s="29"/>
    </row>
    <row r="30" spans="1:13" ht="14.4" hidden="1" customHeight="1" x14ac:dyDescent="0.3">
      <c r="A30" s="54" t="s">
        <v>162</v>
      </c>
      <c r="B30" s="58"/>
      <c r="C30" s="31"/>
      <c r="D30" s="60"/>
      <c r="E30" s="31"/>
      <c r="F30" s="59"/>
      <c r="G30" s="31"/>
      <c r="H30" s="31"/>
      <c r="I30" s="31"/>
      <c r="J30" s="50">
        <f t="shared" si="2"/>
        <v>0</v>
      </c>
      <c r="K30" s="31"/>
      <c r="L30" s="29"/>
      <c r="M30" s="29"/>
    </row>
    <row r="31" spans="1:13" ht="14.4" x14ac:dyDescent="0.3">
      <c r="A31" s="188"/>
      <c r="B31" s="52" t="s">
        <v>116</v>
      </c>
      <c r="C31" s="30"/>
      <c r="D31" s="30"/>
      <c r="E31" s="30"/>
      <c r="F31" s="30"/>
      <c r="G31" s="30"/>
      <c r="H31" s="30"/>
      <c r="I31" s="30"/>
      <c r="J31" s="56">
        <f>SUM(J32:J37)</f>
        <v>0</v>
      </c>
      <c r="K31" s="30"/>
    </row>
    <row r="32" spans="1:13" ht="14.4" x14ac:dyDescent="0.3">
      <c r="A32" s="53">
        <v>1</v>
      </c>
      <c r="B32" s="57"/>
      <c r="C32" s="31"/>
      <c r="D32" s="60"/>
      <c r="E32" s="31"/>
      <c r="F32" s="59"/>
      <c r="G32" s="31"/>
      <c r="H32" s="31"/>
      <c r="I32" s="31"/>
      <c r="J32" s="50">
        <f>D32*F32</f>
        <v>0</v>
      </c>
      <c r="K32" s="31"/>
    </row>
    <row r="33" spans="1:12" ht="14.4" x14ac:dyDescent="0.3">
      <c r="A33" s="53">
        <v>2</v>
      </c>
      <c r="B33" s="58"/>
      <c r="C33" s="31"/>
      <c r="D33" s="60"/>
      <c r="E33" s="31"/>
      <c r="F33" s="59"/>
      <c r="G33" s="31"/>
      <c r="H33" s="31"/>
      <c r="I33" s="31"/>
      <c r="J33" s="50">
        <f t="shared" ref="J33:J37" si="3">D33*F33</f>
        <v>0</v>
      </c>
      <c r="K33" s="239"/>
    </row>
    <row r="34" spans="1:12" ht="14.4" x14ac:dyDescent="0.3">
      <c r="A34" s="53">
        <v>3</v>
      </c>
      <c r="B34" s="58"/>
      <c r="C34" s="31"/>
      <c r="D34" s="60"/>
      <c r="E34" s="31"/>
      <c r="F34" s="59"/>
      <c r="G34" s="31"/>
      <c r="H34" s="31"/>
      <c r="I34" s="31"/>
      <c r="J34" s="50">
        <f t="shared" si="3"/>
        <v>0</v>
      </c>
      <c r="K34" s="31"/>
    </row>
    <row r="35" spans="1:12" ht="14.4" x14ac:dyDescent="0.3">
      <c r="A35" s="53">
        <v>4</v>
      </c>
      <c r="B35" s="58"/>
      <c r="C35" s="31"/>
      <c r="D35" s="60"/>
      <c r="E35" s="31"/>
      <c r="F35" s="59"/>
      <c r="G35" s="31"/>
      <c r="H35" s="31"/>
      <c r="I35" s="31"/>
      <c r="J35" s="50">
        <f t="shared" si="3"/>
        <v>0</v>
      </c>
      <c r="K35" s="31"/>
    </row>
    <row r="36" spans="1:12" ht="14.4" x14ac:dyDescent="0.3">
      <c r="A36" s="54" t="s">
        <v>157</v>
      </c>
      <c r="B36" s="58"/>
      <c r="C36" s="31"/>
      <c r="D36" s="60"/>
      <c r="E36" s="31"/>
      <c r="F36" s="59"/>
      <c r="G36" s="31"/>
      <c r="H36" s="31"/>
      <c r="I36" s="31"/>
      <c r="J36" s="50">
        <f t="shared" si="3"/>
        <v>0</v>
      </c>
      <c r="K36" s="31"/>
    </row>
    <row r="37" spans="1:12" ht="14.4" hidden="1" x14ac:dyDescent="0.3">
      <c r="A37" s="54" t="s">
        <v>162</v>
      </c>
      <c r="B37" s="58"/>
      <c r="C37" s="31"/>
      <c r="D37" s="60"/>
      <c r="E37" s="31"/>
      <c r="F37" s="59"/>
      <c r="G37" s="31"/>
      <c r="H37" s="31"/>
      <c r="I37" s="31"/>
      <c r="J37" s="50">
        <f t="shared" si="3"/>
        <v>0</v>
      </c>
      <c r="K37" s="31"/>
    </row>
    <row r="38" spans="1:12" ht="14.4" x14ac:dyDescent="0.3">
      <c r="A38" s="188"/>
      <c r="B38" s="52" t="s">
        <v>136</v>
      </c>
      <c r="C38" s="30"/>
      <c r="D38" s="30"/>
      <c r="E38" s="30"/>
      <c r="F38" s="30"/>
      <c r="G38" s="30"/>
      <c r="H38" s="30"/>
      <c r="I38" s="30"/>
      <c r="J38" s="56">
        <f>SUM(J39:J44)</f>
        <v>6000</v>
      </c>
      <c r="K38" s="30"/>
    </row>
    <row r="39" spans="1:12" ht="14.4" x14ac:dyDescent="0.3">
      <c r="A39" s="53">
        <v>1</v>
      </c>
      <c r="B39" s="57" t="s">
        <v>163</v>
      </c>
      <c r="C39" s="31"/>
      <c r="D39" s="60">
        <v>1</v>
      </c>
      <c r="E39" s="31" t="s">
        <v>107</v>
      </c>
      <c r="F39" s="59">
        <v>6000</v>
      </c>
      <c r="G39" s="31"/>
      <c r="H39" s="31"/>
      <c r="I39" s="31"/>
      <c r="J39" s="50">
        <f>D39*F39</f>
        <v>6000</v>
      </c>
      <c r="K39" s="31"/>
      <c r="L39" s="232"/>
    </row>
    <row r="40" spans="1:12" ht="14.4" x14ac:dyDescent="0.3">
      <c r="A40" s="53">
        <v>2</v>
      </c>
      <c r="B40" s="57"/>
      <c r="C40" s="31"/>
      <c r="D40" s="60"/>
      <c r="E40" s="31"/>
      <c r="F40" s="59"/>
      <c r="G40" s="31"/>
      <c r="H40" s="31"/>
      <c r="I40" s="31"/>
      <c r="J40" s="50">
        <f t="shared" ref="J40:J44" si="4">D40*F40</f>
        <v>0</v>
      </c>
      <c r="K40" s="31"/>
    </row>
    <row r="41" spans="1:12" ht="14.4" x14ac:dyDescent="0.3">
      <c r="A41" s="53">
        <v>3</v>
      </c>
      <c r="B41" s="58"/>
      <c r="C41" s="31"/>
      <c r="D41" s="60"/>
      <c r="E41" s="31"/>
      <c r="F41" s="59"/>
      <c r="G41" s="31"/>
      <c r="H41" s="31"/>
      <c r="I41" s="31"/>
      <c r="J41" s="50">
        <f t="shared" si="4"/>
        <v>0</v>
      </c>
      <c r="K41" s="31"/>
    </row>
    <row r="42" spans="1:12" ht="14.4" x14ac:dyDescent="0.3">
      <c r="A42" s="53">
        <v>4</v>
      </c>
      <c r="B42" s="58"/>
      <c r="C42" s="31"/>
      <c r="D42" s="60"/>
      <c r="E42" s="31"/>
      <c r="F42" s="59"/>
      <c r="G42" s="31"/>
      <c r="H42" s="31"/>
      <c r="I42" s="31"/>
      <c r="J42" s="50">
        <f t="shared" si="4"/>
        <v>0</v>
      </c>
      <c r="K42" s="31"/>
    </row>
    <row r="43" spans="1:12" ht="14.4" x14ac:dyDescent="0.3">
      <c r="A43" s="54" t="s">
        <v>157</v>
      </c>
      <c r="B43" s="58"/>
      <c r="C43" s="31"/>
      <c r="D43" s="60"/>
      <c r="E43" s="31"/>
      <c r="F43" s="59"/>
      <c r="G43" s="31"/>
      <c r="H43" s="31"/>
      <c r="I43" s="31"/>
      <c r="J43" s="50">
        <f t="shared" si="4"/>
        <v>0</v>
      </c>
      <c r="K43" s="31"/>
    </row>
    <row r="44" spans="1:12" ht="14.4" hidden="1" x14ac:dyDescent="0.3">
      <c r="A44" s="54" t="s">
        <v>162</v>
      </c>
      <c r="B44" s="58"/>
      <c r="C44" s="31"/>
      <c r="D44" s="60"/>
      <c r="E44" s="31"/>
      <c r="F44" s="59"/>
      <c r="G44" s="31"/>
      <c r="H44" s="31"/>
      <c r="I44" s="31"/>
      <c r="J44" s="50">
        <f t="shared" si="4"/>
        <v>0</v>
      </c>
      <c r="K44" s="31"/>
    </row>
    <row r="45" spans="1:12" ht="14.4" x14ac:dyDescent="0.3">
      <c r="A45" s="188"/>
      <c r="B45" s="52" t="s">
        <v>121</v>
      </c>
      <c r="C45" s="30"/>
      <c r="D45" s="30"/>
      <c r="E45" s="30"/>
      <c r="F45" s="30"/>
      <c r="G45" s="30"/>
      <c r="H45" s="30"/>
      <c r="I45" s="30"/>
      <c r="J45" s="56">
        <f>SUM(J46:J51)</f>
        <v>1614.85</v>
      </c>
      <c r="K45" s="30"/>
    </row>
    <row r="46" spans="1:12" ht="14.4" x14ac:dyDescent="0.3">
      <c r="A46" s="53">
        <v>1</v>
      </c>
      <c r="B46" s="57" t="s">
        <v>164</v>
      </c>
      <c r="C46" s="31"/>
      <c r="D46" s="60">
        <f>3/20</f>
        <v>0.15</v>
      </c>
      <c r="E46" s="31" t="s">
        <v>165</v>
      </c>
      <c r="F46" s="59">
        <v>6054</v>
      </c>
      <c r="G46" s="31"/>
      <c r="H46" s="31"/>
      <c r="I46" s="31"/>
      <c r="J46" s="50">
        <f>D46*F46</f>
        <v>908.1</v>
      </c>
      <c r="K46" s="31" t="s">
        <v>166</v>
      </c>
    </row>
    <row r="47" spans="1:12" ht="14.4" x14ac:dyDescent="0.3">
      <c r="A47" s="53">
        <v>2</v>
      </c>
      <c r="B47" s="58" t="s">
        <v>167</v>
      </c>
      <c r="C47" s="31"/>
      <c r="D47" s="60">
        <f>2/20</f>
        <v>0.1</v>
      </c>
      <c r="E47" s="31" t="s">
        <v>165</v>
      </c>
      <c r="F47" s="59">
        <v>4345</v>
      </c>
      <c r="G47" s="31"/>
      <c r="H47" s="31"/>
      <c r="I47" s="31"/>
      <c r="J47" s="50">
        <f t="shared" ref="J47:J48" si="5">D47*F47</f>
        <v>434.5</v>
      </c>
      <c r="K47" s="239" t="s">
        <v>168</v>
      </c>
    </row>
    <row r="48" spans="1:12" ht="14.4" x14ac:dyDescent="0.3">
      <c r="A48" s="53">
        <v>3</v>
      </c>
      <c r="B48" s="58" t="s">
        <v>169</v>
      </c>
      <c r="C48" s="31"/>
      <c r="D48" s="269">
        <f>9/20</f>
        <v>0.45</v>
      </c>
      <c r="E48" s="31" t="s">
        <v>165</v>
      </c>
      <c r="F48" s="59">
        <v>605</v>
      </c>
      <c r="G48" s="31"/>
      <c r="H48" s="31"/>
      <c r="I48" s="31"/>
      <c r="J48" s="50">
        <f t="shared" si="5"/>
        <v>272.25</v>
      </c>
      <c r="K48" s="31"/>
    </row>
    <row r="49" spans="1:11" ht="14.4" x14ac:dyDescent="0.3">
      <c r="A49" s="53">
        <v>4</v>
      </c>
      <c r="B49" s="58"/>
      <c r="C49" s="31"/>
      <c r="D49" s="60"/>
      <c r="E49" s="31"/>
      <c r="F49" s="59"/>
      <c r="G49" s="239"/>
      <c r="H49" s="31"/>
      <c r="I49" s="31"/>
      <c r="J49" s="50">
        <f t="shared" ref="J49:J51" si="6">D49*F49</f>
        <v>0</v>
      </c>
      <c r="K49" s="31"/>
    </row>
    <row r="50" spans="1:11" ht="14.4" x14ac:dyDescent="0.3">
      <c r="A50" s="54" t="s">
        <v>157</v>
      </c>
      <c r="B50" s="58"/>
      <c r="C50" s="31"/>
      <c r="D50" s="60"/>
      <c r="E50" s="31"/>
      <c r="F50" s="59"/>
      <c r="G50" s="31"/>
      <c r="H50" s="31"/>
      <c r="I50" s="31"/>
      <c r="J50" s="50">
        <f t="shared" si="6"/>
        <v>0</v>
      </c>
      <c r="K50" s="31"/>
    </row>
    <row r="51" spans="1:11" ht="14.4" hidden="1" x14ac:dyDescent="0.3">
      <c r="A51" s="54" t="s">
        <v>162</v>
      </c>
      <c r="B51" s="58"/>
      <c r="C51" s="31"/>
      <c r="D51" s="60"/>
      <c r="E51" s="31"/>
      <c r="F51" s="59"/>
      <c r="G51" s="31"/>
      <c r="H51" s="31"/>
      <c r="I51" s="31"/>
      <c r="J51" s="50">
        <f t="shared" si="6"/>
        <v>0</v>
      </c>
      <c r="K51" s="31"/>
    </row>
    <row r="52" spans="1:11" ht="14.4" x14ac:dyDescent="0.3">
      <c r="A52" s="188"/>
      <c r="B52" s="52" t="s">
        <v>123</v>
      </c>
      <c r="C52" s="30"/>
      <c r="D52" s="30"/>
      <c r="E52" s="30"/>
      <c r="F52" s="30"/>
      <c r="G52" s="30"/>
      <c r="H52" s="30"/>
      <c r="I52" s="30"/>
      <c r="J52" s="56">
        <f>SUM(J53:J58)</f>
        <v>1440</v>
      </c>
      <c r="K52" s="30"/>
    </row>
    <row r="53" spans="1:11" ht="14.4" x14ac:dyDescent="0.3">
      <c r="A53" s="53">
        <v>1</v>
      </c>
      <c r="B53" s="57" t="s">
        <v>170</v>
      </c>
      <c r="C53" s="31"/>
      <c r="D53" s="60">
        <f>D13*15</f>
        <v>240</v>
      </c>
      <c r="E53" s="31" t="s">
        <v>171</v>
      </c>
      <c r="F53" s="59">
        <v>6</v>
      </c>
      <c r="G53" s="31"/>
      <c r="H53" s="31"/>
      <c r="I53" s="31"/>
      <c r="J53" s="50">
        <f>D53*F53</f>
        <v>1440</v>
      </c>
      <c r="K53" s="31"/>
    </row>
    <row r="54" spans="1:11" ht="14.4" x14ac:dyDescent="0.3">
      <c r="A54" s="53">
        <v>2</v>
      </c>
      <c r="B54" s="58" t="s">
        <v>172</v>
      </c>
      <c r="C54" s="31"/>
      <c r="D54" s="60"/>
      <c r="E54" s="31"/>
      <c r="F54" s="59"/>
      <c r="G54" s="31"/>
      <c r="H54" s="31"/>
      <c r="I54" s="31"/>
      <c r="J54" s="50">
        <f t="shared" ref="J54:J58" si="7">D54*F54</f>
        <v>0</v>
      </c>
      <c r="K54" s="31"/>
    </row>
    <row r="55" spans="1:11" ht="14.4" x14ac:dyDescent="0.3">
      <c r="A55" s="53">
        <v>3</v>
      </c>
      <c r="B55" s="58"/>
      <c r="C55" s="31"/>
      <c r="D55" s="60"/>
      <c r="E55" s="31"/>
      <c r="F55" s="59"/>
      <c r="G55" s="31"/>
      <c r="H55" s="31"/>
      <c r="I55" s="31"/>
      <c r="J55" s="50">
        <f t="shared" si="7"/>
        <v>0</v>
      </c>
      <c r="K55" s="31"/>
    </row>
    <row r="56" spans="1:11" ht="14.4" x14ac:dyDescent="0.3">
      <c r="A56" s="53">
        <v>4</v>
      </c>
      <c r="B56" s="58"/>
      <c r="C56" s="31"/>
      <c r="D56" s="60"/>
      <c r="E56" s="31"/>
      <c r="F56" s="59"/>
      <c r="G56" s="31"/>
      <c r="H56" s="31"/>
      <c r="I56" s="31"/>
      <c r="J56" s="50">
        <f t="shared" si="7"/>
        <v>0</v>
      </c>
      <c r="K56" s="31"/>
    </row>
    <row r="57" spans="1:11" ht="14.4" x14ac:dyDescent="0.3">
      <c r="A57" s="54" t="s">
        <v>157</v>
      </c>
      <c r="B57" s="58"/>
      <c r="C57" s="31"/>
      <c r="D57" s="60"/>
      <c r="E57" s="31"/>
      <c r="F57" s="59"/>
      <c r="G57" s="31"/>
      <c r="H57" s="31"/>
      <c r="I57" s="31"/>
      <c r="J57" s="50">
        <f t="shared" si="7"/>
        <v>0</v>
      </c>
      <c r="K57" s="31"/>
    </row>
    <row r="58" spans="1:11" ht="14.4" hidden="1" x14ac:dyDescent="0.3">
      <c r="A58" s="54" t="s">
        <v>162</v>
      </c>
      <c r="B58" s="58"/>
      <c r="C58" s="31"/>
      <c r="D58" s="60"/>
      <c r="E58" s="31"/>
      <c r="F58" s="59"/>
      <c r="G58" s="31"/>
      <c r="H58" s="31"/>
      <c r="I58" s="31"/>
      <c r="J58" s="50">
        <f t="shared" si="7"/>
        <v>0</v>
      </c>
      <c r="K58" s="31"/>
    </row>
    <row r="59" spans="1:11" ht="14.4" x14ac:dyDescent="0.3">
      <c r="A59" s="188"/>
      <c r="B59" s="52" t="s">
        <v>173</v>
      </c>
      <c r="C59" s="30"/>
      <c r="D59" s="30"/>
      <c r="E59" s="30"/>
      <c r="F59" s="30"/>
      <c r="G59" s="30"/>
      <c r="H59" s="30"/>
      <c r="I59" s="30"/>
      <c r="J59" s="56">
        <f>SUM(J60:J65)</f>
        <v>550</v>
      </c>
      <c r="K59" s="30"/>
    </row>
    <row r="60" spans="1:11" ht="14.4" x14ac:dyDescent="0.3">
      <c r="A60" s="53">
        <v>1</v>
      </c>
      <c r="B60" s="57" t="s">
        <v>174</v>
      </c>
      <c r="C60" s="31"/>
      <c r="D60" s="60">
        <v>1</v>
      </c>
      <c r="E60" s="31" t="s">
        <v>107</v>
      </c>
      <c r="F60" s="59">
        <v>550</v>
      </c>
      <c r="G60" s="31"/>
      <c r="H60" s="31"/>
      <c r="I60" s="31"/>
      <c r="J60" s="50">
        <f>D60*F60</f>
        <v>550</v>
      </c>
      <c r="K60" s="31"/>
    </row>
    <row r="61" spans="1:11" ht="14.4" x14ac:dyDescent="0.3">
      <c r="A61" s="53">
        <v>2</v>
      </c>
      <c r="B61" s="58"/>
      <c r="C61" s="31"/>
      <c r="D61" s="60"/>
      <c r="E61" s="31"/>
      <c r="F61" s="59"/>
      <c r="G61" s="31"/>
      <c r="H61" s="31"/>
      <c r="I61" s="31"/>
      <c r="J61" s="50">
        <f t="shared" ref="J61:J65" si="8">D61*F61</f>
        <v>0</v>
      </c>
      <c r="K61" s="31"/>
    </row>
    <row r="62" spans="1:11" ht="14.4" x14ac:dyDescent="0.3">
      <c r="A62" s="53">
        <v>3</v>
      </c>
      <c r="B62" s="58"/>
      <c r="C62" s="31"/>
      <c r="D62" s="60"/>
      <c r="E62" s="31"/>
      <c r="F62" s="59"/>
      <c r="G62" s="31"/>
      <c r="H62" s="31"/>
      <c r="I62" s="31"/>
      <c r="J62" s="50">
        <f t="shared" si="8"/>
        <v>0</v>
      </c>
      <c r="K62" s="31"/>
    </row>
    <row r="63" spans="1:11" ht="14.4" x14ac:dyDescent="0.3">
      <c r="A63" s="53">
        <v>4</v>
      </c>
      <c r="B63" s="58"/>
      <c r="C63" s="31"/>
      <c r="D63" s="60"/>
      <c r="E63" s="31"/>
      <c r="F63" s="59"/>
      <c r="G63" s="31"/>
      <c r="H63" s="31"/>
      <c r="I63" s="31"/>
      <c r="J63" s="50">
        <f t="shared" si="8"/>
        <v>0</v>
      </c>
      <c r="K63" s="31"/>
    </row>
    <row r="64" spans="1:11" ht="14.4" x14ac:dyDescent="0.3">
      <c r="A64" s="54" t="s">
        <v>157</v>
      </c>
      <c r="B64" s="58"/>
      <c r="C64" s="31"/>
      <c r="D64" s="60"/>
      <c r="E64" s="31"/>
      <c r="F64" s="59"/>
      <c r="G64" s="31"/>
      <c r="H64" s="31"/>
      <c r="I64" s="31"/>
      <c r="J64" s="50">
        <f t="shared" si="8"/>
        <v>0</v>
      </c>
      <c r="K64" s="31"/>
    </row>
    <row r="65" spans="1:11" ht="14.4" hidden="1" x14ac:dyDescent="0.3">
      <c r="A65" s="54" t="s">
        <v>162</v>
      </c>
      <c r="B65" s="58"/>
      <c r="C65" s="31"/>
      <c r="D65" s="60"/>
      <c r="E65" s="31"/>
      <c r="F65" s="59"/>
      <c r="G65" s="31"/>
      <c r="H65" s="31"/>
      <c r="I65" s="31"/>
      <c r="J65" s="50">
        <f t="shared" si="8"/>
        <v>0</v>
      </c>
      <c r="K65" s="31"/>
    </row>
  </sheetData>
  <phoneticPr fontId="18" type="noConversion"/>
  <hyperlinks>
    <hyperlink ref="K47" r:id="rId1" xr:uid="{7439AA49-2397-4F03-B302-43975FA67FB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0F3BB-1BBE-4BBE-A400-516C0EE73AFC}">
  <sheetPr>
    <tabColor rgb="FF92D050"/>
  </sheetPr>
  <dimension ref="A1:M59"/>
  <sheetViews>
    <sheetView zoomScale="90" zoomScaleNormal="90" workbookViewId="0">
      <selection activeCell="F20" sqref="F20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4.33203125" bestFit="1" customWidth="1"/>
    <col min="7" max="7" width="13.77734375" customWidth="1"/>
    <col min="8" max="8" width="11.77734375" bestFit="1" customWidth="1"/>
    <col min="9" max="9" width="13.6640625" customWidth="1"/>
    <col min="10" max="10" width="13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1" t="s">
        <v>147</v>
      </c>
      <c r="J1" s="253">
        <f>J4+J15+J25+J32+J39+J46+J53</f>
        <v>17148.559999999998</v>
      </c>
      <c r="K1" s="232" t="s">
        <v>96</v>
      </c>
    </row>
    <row r="2" spans="1:13" ht="18" x14ac:dyDescent="0.3">
      <c r="B2" s="146" t="str">
        <f>'Bid Summary'!F5</f>
        <v xml:space="preserve">Lateral DE-B Connection (12-inch Asbestos-Cement at STA 34+29.21) 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148</v>
      </c>
      <c r="C3" s="49" t="s">
        <v>149</v>
      </c>
      <c r="D3" s="49" t="s">
        <v>8</v>
      </c>
      <c r="E3" s="49" t="s">
        <v>150</v>
      </c>
      <c r="F3" s="49" t="s">
        <v>151</v>
      </c>
      <c r="G3" s="49" t="s">
        <v>152</v>
      </c>
      <c r="H3" s="49" t="s">
        <v>175</v>
      </c>
      <c r="I3" s="49" t="s">
        <v>153</v>
      </c>
      <c r="J3" s="49" t="s">
        <v>94</v>
      </c>
      <c r="K3" s="49" t="s">
        <v>154</v>
      </c>
      <c r="L3" s="29"/>
      <c r="M3" s="29"/>
    </row>
    <row r="4" spans="1:13" ht="14.4" x14ac:dyDescent="0.3">
      <c r="A4" s="188"/>
      <c r="B4" s="52" t="s">
        <v>109</v>
      </c>
      <c r="C4" s="30"/>
      <c r="D4" s="30"/>
      <c r="E4" s="30"/>
      <c r="F4" s="30"/>
      <c r="G4" s="30"/>
      <c r="H4" s="30"/>
      <c r="I4" s="30"/>
      <c r="J4" s="56">
        <f>SUM(J5:J14)</f>
        <v>11738.96</v>
      </c>
      <c r="K4" s="30"/>
      <c r="L4" s="29"/>
      <c r="M4" s="29"/>
    </row>
    <row r="5" spans="1:13" ht="14.4" x14ac:dyDescent="0.3">
      <c r="A5" s="53">
        <v>1</v>
      </c>
      <c r="B5" s="255" t="str">
        <f>'Prevailing Wage'!C14</f>
        <v>Labor Lead</v>
      </c>
      <c r="C5" s="31"/>
      <c r="D5" s="60">
        <v>24</v>
      </c>
      <c r="E5" s="31" t="s">
        <v>118</v>
      </c>
      <c r="F5" s="256">
        <f>'Prevailing Wage'!D14</f>
        <v>74.69</v>
      </c>
      <c r="G5" s="31"/>
      <c r="H5" s="31"/>
      <c r="I5" s="31"/>
      <c r="J5" s="50">
        <f>D5*F5</f>
        <v>1792.56</v>
      </c>
      <c r="K5" s="31" t="s">
        <v>158</v>
      </c>
      <c r="L5" s="29"/>
      <c r="M5" s="29"/>
    </row>
    <row r="6" spans="1:13" ht="14.4" x14ac:dyDescent="0.3">
      <c r="A6" s="53">
        <v>2</v>
      </c>
      <c r="B6" s="255" t="str">
        <f>'Prevailing Wage'!C15</f>
        <v>Laborer</v>
      </c>
      <c r="C6" s="31"/>
      <c r="D6" s="225">
        <f>D5*'Bid Schedule'!$N$3</f>
        <v>72</v>
      </c>
      <c r="E6" s="31" t="s">
        <v>118</v>
      </c>
      <c r="F6" s="256">
        <f>'Prevailing Wage'!D15</f>
        <v>71.69</v>
      </c>
      <c r="G6" s="31"/>
      <c r="H6" s="31"/>
      <c r="I6" s="31"/>
      <c r="J6" s="50">
        <f t="shared" ref="J6:J12" si="0">D6*F6</f>
        <v>5161.68</v>
      </c>
      <c r="K6" s="225" t="s">
        <v>176</v>
      </c>
      <c r="L6" s="29"/>
      <c r="M6" s="29"/>
    </row>
    <row r="7" spans="1:13" ht="14.4" x14ac:dyDescent="0.3">
      <c r="A7" s="53">
        <v>3</v>
      </c>
      <c r="B7" s="255" t="str">
        <f>'Prevailing Wage'!C16</f>
        <v>Operator</v>
      </c>
      <c r="C7" s="31"/>
      <c r="D7" s="60">
        <v>16</v>
      </c>
      <c r="E7" s="31" t="s">
        <v>118</v>
      </c>
      <c r="F7" s="256">
        <f>'Prevailing Wage'!D16</f>
        <v>96.29</v>
      </c>
      <c r="G7" s="31"/>
      <c r="H7" s="31"/>
      <c r="I7" s="31"/>
      <c r="J7" s="50">
        <f t="shared" si="0"/>
        <v>1540.64</v>
      </c>
      <c r="K7" s="31"/>
      <c r="L7" s="29"/>
      <c r="M7" s="29"/>
    </row>
    <row r="8" spans="1:13" ht="14.4" x14ac:dyDescent="0.3">
      <c r="A8" s="53">
        <v>4</v>
      </c>
      <c r="B8" s="255" t="str">
        <f>'Prevailing Wage'!C17</f>
        <v>Driver</v>
      </c>
      <c r="C8" s="31"/>
      <c r="D8" s="60">
        <v>24</v>
      </c>
      <c r="E8" s="31" t="s">
        <v>118</v>
      </c>
      <c r="F8" s="256">
        <f>'Prevailing Wage'!D17</f>
        <v>76.709999999999994</v>
      </c>
      <c r="G8" s="31"/>
      <c r="H8" s="31"/>
      <c r="I8" s="31"/>
      <c r="J8" s="50">
        <f t="shared" si="0"/>
        <v>1841.04</v>
      </c>
      <c r="K8" s="31"/>
      <c r="L8" s="29"/>
      <c r="M8" s="29"/>
    </row>
    <row r="9" spans="1:13" ht="14.4" x14ac:dyDescent="0.3">
      <c r="A9" s="53">
        <v>5</v>
      </c>
      <c r="B9" s="255" t="str">
        <f>'Prevailing Wage'!C18</f>
        <v>Landscaper</v>
      </c>
      <c r="C9" s="31"/>
      <c r="D9" s="60"/>
      <c r="E9" s="31" t="s">
        <v>118</v>
      </c>
      <c r="F9" s="256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5" t="str">
        <f>'Prevailing Wage'!C19</f>
        <v>Pipefitter</v>
      </c>
      <c r="C10" s="31"/>
      <c r="D10" s="60">
        <v>16</v>
      </c>
      <c r="E10" s="31" t="s">
        <v>118</v>
      </c>
      <c r="F10" s="256">
        <f>'Prevailing Wage'!D19</f>
        <v>87.69</v>
      </c>
      <c r="G10" s="31"/>
      <c r="H10" s="31"/>
      <c r="I10" s="31"/>
      <c r="J10" s="50">
        <f t="shared" si="0"/>
        <v>1403.04</v>
      </c>
      <c r="K10" s="31"/>
      <c r="L10" s="29"/>
      <c r="M10" s="29"/>
    </row>
    <row r="11" spans="1:13" ht="14.4" x14ac:dyDescent="0.3">
      <c r="A11" s="53">
        <v>7</v>
      </c>
      <c r="B11" s="255" t="str">
        <f>'Prevailing Wage'!C20</f>
        <v>Etc</v>
      </c>
      <c r="C11" s="31"/>
      <c r="D11" s="60"/>
      <c r="E11" s="31" t="s">
        <v>118</v>
      </c>
      <c r="F11" s="256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5" t="str">
        <f>'Prevailing Wage'!C21</f>
        <v>Etc</v>
      </c>
      <c r="C12" s="31"/>
      <c r="D12" s="60"/>
      <c r="E12" s="31" t="s">
        <v>118</v>
      </c>
      <c r="F12" s="256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4" t="s">
        <v>157</v>
      </c>
      <c r="B13" s="58"/>
      <c r="C13" s="31"/>
      <c r="D13" s="60"/>
      <c r="E13" s="31" t="s">
        <v>118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112</v>
      </c>
      <c r="C15" s="30"/>
      <c r="D15" s="30"/>
      <c r="E15" s="30"/>
      <c r="F15" s="30"/>
      <c r="G15" s="30"/>
      <c r="H15" s="30"/>
      <c r="I15" s="30"/>
      <c r="J15" s="56">
        <f>SUM(J16:J24)</f>
        <v>1678.25</v>
      </c>
      <c r="K15" s="30"/>
      <c r="L15" s="29"/>
      <c r="M15" s="29"/>
    </row>
    <row r="16" spans="1:13" s="279" customFormat="1" ht="14.4" x14ac:dyDescent="0.3">
      <c r="A16" s="247">
        <v>1</v>
      </c>
      <c r="B16" s="276" t="s">
        <v>177</v>
      </c>
      <c r="C16" s="60"/>
      <c r="D16" s="60">
        <v>0</v>
      </c>
      <c r="E16" s="60" t="s">
        <v>160</v>
      </c>
      <c r="F16" s="59">
        <v>25000</v>
      </c>
      <c r="G16" s="277"/>
      <c r="H16" s="60"/>
      <c r="I16" s="60"/>
      <c r="J16" s="257">
        <f t="shared" ref="J16:J24" si="2">D16*F16</f>
        <v>0</v>
      </c>
      <c r="K16" s="60"/>
      <c r="L16" s="278"/>
      <c r="M16" s="278"/>
    </row>
    <row r="17" spans="1:13" ht="14.4" x14ac:dyDescent="0.3">
      <c r="A17" s="53">
        <v>2</v>
      </c>
      <c r="B17" s="58" t="s">
        <v>178</v>
      </c>
      <c r="C17" s="31"/>
      <c r="D17" s="60">
        <v>1</v>
      </c>
      <c r="E17" s="31" t="s">
        <v>160</v>
      </c>
      <c r="F17" s="59">
        <v>487.25</v>
      </c>
      <c r="G17" s="31"/>
      <c r="H17" s="31"/>
      <c r="I17" s="31"/>
      <c r="J17" s="50">
        <f t="shared" si="2"/>
        <v>487.25</v>
      </c>
      <c r="K17" s="31"/>
      <c r="L17" s="29"/>
      <c r="M17" s="29"/>
    </row>
    <row r="18" spans="1:13" ht="14.4" x14ac:dyDescent="0.3">
      <c r="A18" s="53">
        <v>3</v>
      </c>
      <c r="B18" s="58" t="s">
        <v>179</v>
      </c>
      <c r="C18" s="31"/>
      <c r="D18" s="60">
        <v>20</v>
      </c>
      <c r="E18" s="31" t="s">
        <v>160</v>
      </c>
      <c r="F18" s="59">
        <v>20</v>
      </c>
      <c r="G18" s="31"/>
      <c r="H18" s="31"/>
      <c r="I18" s="31"/>
      <c r="J18" s="50">
        <f t="shared" si="2"/>
        <v>400</v>
      </c>
      <c r="K18" s="31"/>
      <c r="L18" s="29"/>
      <c r="M18" s="29"/>
    </row>
    <row r="19" spans="1:13" ht="14.4" x14ac:dyDescent="0.3">
      <c r="A19" s="53">
        <v>4</v>
      </c>
      <c r="B19" s="58" t="s">
        <v>180</v>
      </c>
      <c r="C19" s="31"/>
      <c r="D19" s="60">
        <v>1</v>
      </c>
      <c r="E19" s="31" t="s">
        <v>160</v>
      </c>
      <c r="F19" s="59">
        <v>791</v>
      </c>
      <c r="G19" s="31"/>
      <c r="H19" s="31"/>
      <c r="I19" s="31"/>
      <c r="J19" s="50">
        <f t="shared" si="2"/>
        <v>791</v>
      </c>
      <c r="K19" s="31"/>
      <c r="L19" s="29"/>
      <c r="M19" s="29"/>
    </row>
    <row r="20" spans="1:13" ht="14.4" x14ac:dyDescent="0.3">
      <c r="A20" s="53">
        <v>5</v>
      </c>
      <c r="B20" s="58"/>
      <c r="C20" s="31"/>
      <c r="D20" s="60"/>
      <c r="E20" s="31"/>
      <c r="F20" s="59"/>
      <c r="G20" s="31"/>
      <c r="H20" s="31"/>
      <c r="I20" s="31"/>
      <c r="J20" s="50"/>
      <c r="K20" s="31"/>
      <c r="L20" s="29"/>
      <c r="M20" s="29"/>
    </row>
    <row r="21" spans="1:13" ht="14.4" x14ac:dyDescent="0.3">
      <c r="A21" s="53">
        <v>6</v>
      </c>
      <c r="B21" s="58"/>
      <c r="C21" s="31"/>
      <c r="D21" s="60"/>
      <c r="E21" s="31"/>
      <c r="F21" s="59"/>
      <c r="G21" s="31"/>
      <c r="H21" s="31"/>
      <c r="I21" s="31"/>
      <c r="J21" s="50"/>
      <c r="K21" s="31"/>
      <c r="L21" s="29"/>
      <c r="M21" s="29"/>
    </row>
    <row r="22" spans="1:13" ht="14.4" x14ac:dyDescent="0.3">
      <c r="A22" s="53">
        <v>7</v>
      </c>
      <c r="B22" s="58"/>
      <c r="C22" s="31"/>
      <c r="D22" s="60"/>
      <c r="E22" s="31"/>
      <c r="F22" s="59"/>
      <c r="G22" s="31"/>
      <c r="H22" s="31"/>
      <c r="I22" s="31"/>
      <c r="J22" s="50"/>
      <c r="K22" s="31"/>
      <c r="L22" s="29"/>
      <c r="M22" s="29"/>
    </row>
    <row r="23" spans="1:13" ht="14.4" x14ac:dyDescent="0.3">
      <c r="A23" s="54" t="s">
        <v>157</v>
      </c>
      <c r="B23" s="58"/>
      <c r="C23" s="31"/>
      <c r="D23" s="60"/>
      <c r="E23" s="31"/>
      <c r="F23" s="59"/>
      <c r="G23" s="31"/>
      <c r="H23" s="31"/>
      <c r="I23" s="31"/>
      <c r="J23" s="50">
        <f t="shared" si="2"/>
        <v>0</v>
      </c>
      <c r="K23" s="31"/>
      <c r="L23" s="29"/>
      <c r="M23" s="29"/>
    </row>
    <row r="24" spans="1:13" ht="14.4" hidden="1" customHeight="1" x14ac:dyDescent="0.3">
      <c r="A24" s="54" t="s">
        <v>162</v>
      </c>
      <c r="B24" s="58"/>
      <c r="C24" s="31"/>
      <c r="D24" s="60"/>
      <c r="E24" s="31"/>
      <c r="F24" s="59"/>
      <c r="G24" s="31"/>
      <c r="H24" s="31"/>
      <c r="I24" s="31"/>
      <c r="J24" s="50">
        <f t="shared" si="2"/>
        <v>0</v>
      </c>
      <c r="K24" s="31"/>
      <c r="L24" s="29"/>
      <c r="M24" s="29"/>
    </row>
    <row r="25" spans="1:13" ht="14.4" x14ac:dyDescent="0.3">
      <c r="A25" s="188"/>
      <c r="B25" s="52" t="s">
        <v>116</v>
      </c>
      <c r="C25" s="30"/>
      <c r="D25" s="30"/>
      <c r="E25" s="30"/>
      <c r="F25" s="30"/>
      <c r="G25" s="30"/>
      <c r="H25" s="30"/>
      <c r="I25" s="30"/>
      <c r="J25" s="56">
        <f>SUM(J26:J31)</f>
        <v>0</v>
      </c>
      <c r="K25" s="30"/>
    </row>
    <row r="26" spans="1:13" ht="14.4" x14ac:dyDescent="0.3">
      <c r="A26" s="53">
        <v>1</v>
      </c>
      <c r="B26" s="57"/>
      <c r="C26" s="31"/>
      <c r="D26" s="60"/>
      <c r="E26" s="31"/>
      <c r="F26" s="59"/>
      <c r="G26" s="31"/>
      <c r="H26" s="31"/>
      <c r="I26" s="31"/>
      <c r="J26" s="50">
        <f>D26*F26</f>
        <v>0</v>
      </c>
      <c r="K26" s="31"/>
    </row>
    <row r="27" spans="1:13" ht="14.4" x14ac:dyDescent="0.3">
      <c r="A27" s="53">
        <v>2</v>
      </c>
      <c r="B27" s="58"/>
      <c r="C27" s="31"/>
      <c r="D27" s="60"/>
      <c r="E27" s="31"/>
      <c r="F27" s="59"/>
      <c r="G27" s="31"/>
      <c r="H27" s="31"/>
      <c r="I27" s="31"/>
      <c r="J27" s="50">
        <f t="shared" ref="J27:J31" si="3">D27*F27</f>
        <v>0</v>
      </c>
      <c r="K27" s="239"/>
    </row>
    <row r="28" spans="1:13" ht="14.4" x14ac:dyDescent="0.3">
      <c r="A28" s="53">
        <v>3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53">
        <v>4</v>
      </c>
      <c r="B29" s="58"/>
      <c r="C29" s="31"/>
      <c r="D29" s="60"/>
      <c r="E29" s="31"/>
      <c r="F29" s="59"/>
      <c r="G29" s="31"/>
      <c r="H29" s="31"/>
      <c r="I29" s="31"/>
      <c r="J29" s="50">
        <f t="shared" si="3"/>
        <v>0</v>
      </c>
      <c r="K29" s="31"/>
    </row>
    <row r="30" spans="1:13" ht="14.4" x14ac:dyDescent="0.3">
      <c r="A30" s="54" t="s">
        <v>157</v>
      </c>
      <c r="B30" s="58"/>
      <c r="C30" s="31"/>
      <c r="D30" s="60"/>
      <c r="E30" s="31"/>
      <c r="F30" s="59"/>
      <c r="G30" s="31"/>
      <c r="H30" s="31"/>
      <c r="I30" s="31"/>
      <c r="J30" s="50">
        <f t="shared" si="3"/>
        <v>0</v>
      </c>
      <c r="K30" s="31"/>
    </row>
    <row r="31" spans="1:13" ht="14.4" hidden="1" x14ac:dyDescent="0.3">
      <c r="A31" s="54" t="s">
        <v>162</v>
      </c>
      <c r="B31" s="58"/>
      <c r="C31" s="31"/>
      <c r="D31" s="60"/>
      <c r="E31" s="31"/>
      <c r="F31" s="59"/>
      <c r="G31" s="31"/>
      <c r="H31" s="31"/>
      <c r="I31" s="31"/>
      <c r="J31" s="50">
        <f t="shared" si="3"/>
        <v>0</v>
      </c>
      <c r="K31" s="31"/>
    </row>
    <row r="32" spans="1:13" ht="14.4" x14ac:dyDescent="0.3">
      <c r="A32" s="188"/>
      <c r="B32" s="52" t="s">
        <v>136</v>
      </c>
      <c r="C32" s="30"/>
      <c r="D32" s="30"/>
      <c r="E32" s="30"/>
      <c r="F32" s="30"/>
      <c r="G32" s="30"/>
      <c r="H32" s="30"/>
      <c r="I32" s="30"/>
      <c r="J32" s="56">
        <f>SUM(J33:J38)</f>
        <v>0</v>
      </c>
      <c r="K32" s="30"/>
    </row>
    <row r="33" spans="1:11" ht="14.4" x14ac:dyDescent="0.3">
      <c r="A33" s="53">
        <v>1</v>
      </c>
      <c r="B33" s="57"/>
      <c r="C33" s="31"/>
      <c r="D33" s="60"/>
      <c r="E33" s="31"/>
      <c r="F33" s="59"/>
      <c r="G33" s="31"/>
      <c r="H33" s="31"/>
      <c r="I33" s="31"/>
      <c r="J33" s="50">
        <f>D33*F33</f>
        <v>0</v>
      </c>
      <c r="K33" s="31"/>
    </row>
    <row r="34" spans="1:11" ht="14.4" x14ac:dyDescent="0.3">
      <c r="A34" s="53">
        <v>2</v>
      </c>
      <c r="B34" s="58"/>
      <c r="C34" s="31"/>
      <c r="D34" s="60"/>
      <c r="E34" s="31"/>
      <c r="F34" s="59"/>
      <c r="G34" s="31"/>
      <c r="H34" s="31"/>
      <c r="I34" s="31"/>
      <c r="J34" s="50">
        <f t="shared" ref="J34:J38" si="4">D34*F34</f>
        <v>0</v>
      </c>
      <c r="K34" s="31"/>
    </row>
    <row r="35" spans="1:11" ht="14.4" x14ac:dyDescent="0.3">
      <c r="A35" s="53">
        <v>3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53">
        <v>4</v>
      </c>
      <c r="B36" s="58"/>
      <c r="C36" s="31"/>
      <c r="D36" s="60"/>
      <c r="E36" s="31"/>
      <c r="F36" s="59"/>
      <c r="G36" s="31"/>
      <c r="H36" s="31"/>
      <c r="I36" s="31"/>
      <c r="J36" s="50">
        <f t="shared" si="4"/>
        <v>0</v>
      </c>
      <c r="K36" s="31"/>
    </row>
    <row r="37" spans="1:11" ht="14.4" x14ac:dyDescent="0.3">
      <c r="A37" s="54" t="s">
        <v>157</v>
      </c>
      <c r="B37" s="58"/>
      <c r="C37" s="31"/>
      <c r="D37" s="60"/>
      <c r="E37" s="31"/>
      <c r="F37" s="59"/>
      <c r="G37" s="31"/>
      <c r="H37" s="31"/>
      <c r="I37" s="31"/>
      <c r="J37" s="50">
        <f t="shared" si="4"/>
        <v>0</v>
      </c>
      <c r="K37" s="31"/>
    </row>
    <row r="38" spans="1:11" ht="14.4" hidden="1" x14ac:dyDescent="0.3">
      <c r="A38" s="54" t="s">
        <v>162</v>
      </c>
      <c r="B38" s="58"/>
      <c r="C38" s="31"/>
      <c r="D38" s="60"/>
      <c r="E38" s="31"/>
      <c r="F38" s="59"/>
      <c r="G38" s="31"/>
      <c r="H38" s="31"/>
      <c r="I38" s="31"/>
      <c r="J38" s="50">
        <f t="shared" si="4"/>
        <v>0</v>
      </c>
      <c r="K38" s="31"/>
    </row>
    <row r="39" spans="1:11" ht="14.4" x14ac:dyDescent="0.3">
      <c r="A39" s="188"/>
      <c r="B39" s="52" t="s">
        <v>121</v>
      </c>
      <c r="C39" s="30"/>
      <c r="D39" s="30"/>
      <c r="E39" s="30"/>
      <c r="F39" s="30"/>
      <c r="G39" s="30"/>
      <c r="H39" s="30"/>
      <c r="I39" s="30"/>
      <c r="J39" s="56">
        <f>SUM(J40:J45)</f>
        <v>1741.35</v>
      </c>
      <c r="K39" s="30"/>
    </row>
    <row r="40" spans="1:11" ht="14.4" x14ac:dyDescent="0.3">
      <c r="A40" s="53">
        <v>1</v>
      </c>
      <c r="B40" s="57" t="s">
        <v>164</v>
      </c>
      <c r="C40" s="31"/>
      <c r="D40" s="60">
        <f>3/20</f>
        <v>0.15</v>
      </c>
      <c r="E40" s="31" t="s">
        <v>165</v>
      </c>
      <c r="F40" s="59">
        <v>6054</v>
      </c>
      <c r="G40" s="31"/>
      <c r="H40" s="31"/>
      <c r="I40" s="31"/>
      <c r="J40" s="50">
        <f>D40*F40</f>
        <v>908.1</v>
      </c>
      <c r="K40" s="31" t="s">
        <v>166</v>
      </c>
    </row>
    <row r="41" spans="1:11" ht="14.4" x14ac:dyDescent="0.3">
      <c r="A41" s="53">
        <v>2</v>
      </c>
      <c r="B41" s="58" t="s">
        <v>167</v>
      </c>
      <c r="C41" s="31"/>
      <c r="D41" s="60">
        <f>3/20</f>
        <v>0.15</v>
      </c>
      <c r="E41" s="31" t="s">
        <v>165</v>
      </c>
      <c r="F41" s="59">
        <v>4345</v>
      </c>
      <c r="G41" s="31"/>
      <c r="H41" s="31"/>
      <c r="I41" s="31"/>
      <c r="J41" s="50">
        <f t="shared" ref="J41" si="5">D41*F41</f>
        <v>651.75</v>
      </c>
      <c r="K41" s="239" t="s">
        <v>168</v>
      </c>
    </row>
    <row r="42" spans="1:11" ht="14.4" x14ac:dyDescent="0.3">
      <c r="A42" s="53">
        <v>3</v>
      </c>
      <c r="B42" s="58" t="s">
        <v>169</v>
      </c>
      <c r="C42" s="31"/>
      <c r="D42" s="269">
        <f>6/20</f>
        <v>0.3</v>
      </c>
      <c r="E42" s="31" t="s">
        <v>165</v>
      </c>
      <c r="F42" s="59">
        <v>605</v>
      </c>
      <c r="G42" s="31"/>
      <c r="H42" s="31"/>
      <c r="I42" s="31"/>
      <c r="J42" s="50">
        <f t="shared" ref="J42" si="6">D42*F42</f>
        <v>181.5</v>
      </c>
      <c r="K42" s="31"/>
    </row>
    <row r="43" spans="1:11" ht="14.4" x14ac:dyDescent="0.3">
      <c r="A43" s="53">
        <v>4</v>
      </c>
      <c r="B43" s="58"/>
      <c r="C43" s="31"/>
      <c r="D43" s="60"/>
      <c r="E43" s="31"/>
      <c r="F43" s="59"/>
      <c r="G43" s="239"/>
      <c r="H43" s="31"/>
      <c r="I43" s="31"/>
      <c r="J43" s="50">
        <f t="shared" ref="J43:J45" si="7">D43*F43</f>
        <v>0</v>
      </c>
      <c r="K43" s="31"/>
    </row>
    <row r="44" spans="1:11" ht="14.4" x14ac:dyDescent="0.3">
      <c r="A44" s="54" t="s">
        <v>157</v>
      </c>
      <c r="B44" s="58"/>
      <c r="C44" s="31"/>
      <c r="D44" s="60"/>
      <c r="E44" s="31"/>
      <c r="F44" s="59"/>
      <c r="G44" s="31"/>
      <c r="H44" s="31"/>
      <c r="I44" s="31"/>
      <c r="J44" s="50">
        <f t="shared" si="7"/>
        <v>0</v>
      </c>
      <c r="K44" s="31"/>
    </row>
    <row r="45" spans="1:11" ht="14.4" hidden="1" x14ac:dyDescent="0.3">
      <c r="A45" s="54" t="s">
        <v>162</v>
      </c>
      <c r="B45" s="58"/>
      <c r="C45" s="31"/>
      <c r="D45" s="60"/>
      <c r="E45" s="31"/>
      <c r="F45" s="59"/>
      <c r="G45" s="31"/>
      <c r="H45" s="31"/>
      <c r="I45" s="31"/>
      <c r="J45" s="50">
        <f t="shared" si="7"/>
        <v>0</v>
      </c>
      <c r="K45" s="31"/>
    </row>
    <row r="46" spans="1:11" ht="14.4" x14ac:dyDescent="0.3">
      <c r="A46" s="188"/>
      <c r="B46" s="52" t="s">
        <v>123</v>
      </c>
      <c r="C46" s="30"/>
      <c r="D46" s="30"/>
      <c r="E46" s="30"/>
      <c r="F46" s="30"/>
      <c r="G46" s="30"/>
      <c r="H46" s="30"/>
      <c r="I46" s="30"/>
      <c r="J46" s="56">
        <f>SUM(J47:J52)</f>
        <v>1440</v>
      </c>
      <c r="K46" s="30"/>
    </row>
    <row r="47" spans="1:11" ht="14.4" x14ac:dyDescent="0.3">
      <c r="A47" s="53">
        <v>1</v>
      </c>
      <c r="B47" s="57" t="s">
        <v>170</v>
      </c>
      <c r="C47" s="31"/>
      <c r="D47" s="60">
        <f>D7*15</f>
        <v>240</v>
      </c>
      <c r="E47" s="31" t="s">
        <v>171</v>
      </c>
      <c r="F47" s="59">
        <v>6</v>
      </c>
      <c r="G47" s="31"/>
      <c r="H47" s="31"/>
      <c r="I47" s="31"/>
      <c r="J47" s="50">
        <f>D47*F47</f>
        <v>1440</v>
      </c>
      <c r="K47" s="31"/>
    </row>
    <row r="48" spans="1:11" ht="14.4" x14ac:dyDescent="0.3">
      <c r="A48" s="53">
        <v>2</v>
      </c>
      <c r="B48" s="58" t="s">
        <v>172</v>
      </c>
      <c r="C48" s="31"/>
      <c r="D48" s="60"/>
      <c r="E48" s="31"/>
      <c r="F48" s="59"/>
      <c r="G48" s="31"/>
      <c r="H48" s="31"/>
      <c r="I48" s="31"/>
      <c r="J48" s="50">
        <f t="shared" ref="J48:J52" si="8">D48*F48</f>
        <v>0</v>
      </c>
      <c r="K48" s="31"/>
    </row>
    <row r="49" spans="1:11" ht="14.4" x14ac:dyDescent="0.3">
      <c r="A49" s="53">
        <v>3</v>
      </c>
      <c r="B49" s="57"/>
      <c r="C49" s="31"/>
      <c r="D49" s="60"/>
      <c r="E49" s="31"/>
      <c r="F49" s="59"/>
      <c r="G49" s="31"/>
      <c r="H49" s="31"/>
      <c r="I49" s="31"/>
      <c r="J49" s="50">
        <f t="shared" si="8"/>
        <v>0</v>
      </c>
      <c r="K49" s="31"/>
    </row>
    <row r="50" spans="1:11" ht="14.4" x14ac:dyDescent="0.3">
      <c r="A50" s="53">
        <v>4</v>
      </c>
      <c r="B50" s="58"/>
      <c r="C50" s="31"/>
      <c r="D50" s="60"/>
      <c r="E50" s="31"/>
      <c r="F50" s="59"/>
      <c r="G50" s="31"/>
      <c r="H50" s="31"/>
      <c r="I50" s="31"/>
      <c r="J50" s="50">
        <f t="shared" si="8"/>
        <v>0</v>
      </c>
      <c r="K50" s="31"/>
    </row>
    <row r="51" spans="1:11" ht="14.4" x14ac:dyDescent="0.3">
      <c r="A51" s="54" t="s">
        <v>157</v>
      </c>
      <c r="B51" s="58"/>
      <c r="C51" s="31"/>
      <c r="D51" s="60"/>
      <c r="E51" s="31"/>
      <c r="F51" s="59"/>
      <c r="G51" s="31"/>
      <c r="H51" s="31"/>
      <c r="I51" s="31"/>
      <c r="J51" s="50">
        <f t="shared" si="8"/>
        <v>0</v>
      </c>
      <c r="K51" s="31"/>
    </row>
    <row r="52" spans="1:11" ht="14.4" hidden="1" x14ac:dyDescent="0.3">
      <c r="A52" s="54" t="s">
        <v>162</v>
      </c>
      <c r="B52" s="58"/>
      <c r="C52" s="31"/>
      <c r="D52" s="60"/>
      <c r="E52" s="31"/>
      <c r="F52" s="59"/>
      <c r="G52" s="31"/>
      <c r="H52" s="31"/>
      <c r="I52" s="31"/>
      <c r="J52" s="50">
        <f t="shared" si="8"/>
        <v>0</v>
      </c>
      <c r="K52" s="31"/>
    </row>
    <row r="53" spans="1:11" ht="14.4" x14ac:dyDescent="0.3">
      <c r="A53" s="188"/>
      <c r="B53" s="52" t="s">
        <v>120</v>
      </c>
      <c r="C53" s="30"/>
      <c r="D53" s="30"/>
      <c r="E53" s="30"/>
      <c r="F53" s="30"/>
      <c r="G53" s="30"/>
      <c r="H53" s="30"/>
      <c r="I53" s="30"/>
      <c r="J53" s="56">
        <f>SUM(J54:J59)</f>
        <v>550</v>
      </c>
      <c r="K53" s="30"/>
    </row>
    <row r="54" spans="1:11" ht="14.4" x14ac:dyDescent="0.3">
      <c r="A54" s="53">
        <v>1</v>
      </c>
      <c r="B54" s="57" t="s">
        <v>181</v>
      </c>
      <c r="C54" s="31"/>
      <c r="D54" s="60">
        <v>1</v>
      </c>
      <c r="E54" s="31" t="s">
        <v>107</v>
      </c>
      <c r="F54" s="59">
        <v>550</v>
      </c>
      <c r="G54" s="31"/>
      <c r="H54" s="31"/>
      <c r="I54" s="31"/>
      <c r="J54" s="50">
        <f>D54*F54</f>
        <v>550</v>
      </c>
      <c r="K54" s="31"/>
    </row>
    <row r="55" spans="1:11" ht="14.4" x14ac:dyDescent="0.3">
      <c r="A55" s="53">
        <v>2</v>
      </c>
      <c r="B55" s="58"/>
      <c r="C55" s="31"/>
      <c r="D55" s="60"/>
      <c r="E55" s="31"/>
      <c r="F55" s="59"/>
      <c r="G55" s="31"/>
      <c r="H55" s="31"/>
      <c r="I55" s="31"/>
      <c r="J55" s="50">
        <f t="shared" ref="J55:J59" si="9">D55*F55</f>
        <v>0</v>
      </c>
      <c r="K55" s="31"/>
    </row>
    <row r="56" spans="1:11" ht="14.4" x14ac:dyDescent="0.3">
      <c r="A56" s="53">
        <v>3</v>
      </c>
      <c r="B56" s="58"/>
      <c r="C56" s="31"/>
      <c r="D56" s="60"/>
      <c r="E56" s="31"/>
      <c r="F56" s="59"/>
      <c r="G56" s="31"/>
      <c r="H56" s="31"/>
      <c r="I56" s="31"/>
      <c r="J56" s="50">
        <f t="shared" si="9"/>
        <v>0</v>
      </c>
      <c r="K56" s="31"/>
    </row>
    <row r="57" spans="1:11" ht="14.4" x14ac:dyDescent="0.3">
      <c r="A57" s="53">
        <v>4</v>
      </c>
      <c r="B57" s="58"/>
      <c r="C57" s="31"/>
      <c r="D57" s="60"/>
      <c r="E57" s="31"/>
      <c r="F57" s="59"/>
      <c r="G57" s="31"/>
      <c r="H57" s="31"/>
      <c r="I57" s="31"/>
      <c r="J57" s="50">
        <f t="shared" si="9"/>
        <v>0</v>
      </c>
      <c r="K57" s="31"/>
    </row>
    <row r="58" spans="1:11" ht="14.4" x14ac:dyDescent="0.3">
      <c r="A58" s="54" t="s">
        <v>157</v>
      </c>
      <c r="B58" s="58"/>
      <c r="C58" s="31"/>
      <c r="D58" s="60"/>
      <c r="E58" s="31"/>
      <c r="F58" s="59"/>
      <c r="G58" s="31"/>
      <c r="H58" s="31"/>
      <c r="I58" s="31"/>
      <c r="J58" s="50">
        <f t="shared" si="9"/>
        <v>0</v>
      </c>
      <c r="K58" s="31"/>
    </row>
    <row r="59" spans="1:11" ht="14.4" hidden="1" x14ac:dyDescent="0.3">
      <c r="A59" s="54" t="s">
        <v>162</v>
      </c>
      <c r="B59" s="58"/>
      <c r="C59" s="31"/>
      <c r="D59" s="60"/>
      <c r="E59" s="31"/>
      <c r="F59" s="59"/>
      <c r="G59" s="31"/>
      <c r="H59" s="31"/>
      <c r="I59" s="31"/>
      <c r="J59" s="50">
        <f t="shared" si="9"/>
        <v>0</v>
      </c>
      <c r="K59" s="31"/>
    </row>
  </sheetData>
  <hyperlinks>
    <hyperlink ref="K41" r:id="rId1" xr:uid="{417EA4A9-5B43-4CF9-A1C0-D1FC61AC4E9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1693E-1C40-4413-B5E4-C4777AF7F80E}">
  <sheetPr>
    <tabColor rgb="FF92D050"/>
  </sheetPr>
  <dimension ref="A1:M65"/>
  <sheetViews>
    <sheetView zoomScale="90" zoomScaleNormal="90" workbookViewId="0">
      <selection activeCell="B16" sqref="B16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3.44140625" bestFit="1" customWidth="1"/>
    <col min="7" max="7" width="13.77734375" customWidth="1"/>
    <col min="8" max="8" width="11.77734375" bestFit="1" customWidth="1"/>
    <col min="9" max="9" width="13.6640625" customWidth="1"/>
    <col min="10" max="10" width="13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2" t="s">
        <v>147</v>
      </c>
      <c r="J1" s="253">
        <f>J4+J15+J31+J38+J45+J52+J59</f>
        <v>19085.73</v>
      </c>
      <c r="K1" t="s">
        <v>96</v>
      </c>
    </row>
    <row r="2" spans="1:13" ht="18" x14ac:dyDescent="0.3">
      <c r="B2" s="146" t="str">
        <f>'Bid Summary'!F6</f>
        <v>Lateral DE-1 Connection (27-inch Steel at STA 35+94.05)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148</v>
      </c>
      <c r="C3" s="49" t="s">
        <v>149</v>
      </c>
      <c r="D3" s="49" t="s">
        <v>8</v>
      </c>
      <c r="E3" s="49" t="s">
        <v>150</v>
      </c>
      <c r="F3" s="49" t="s">
        <v>151</v>
      </c>
      <c r="G3" s="49" t="s">
        <v>152</v>
      </c>
      <c r="H3" s="49" t="s">
        <v>175</v>
      </c>
      <c r="I3" s="49" t="s">
        <v>153</v>
      </c>
      <c r="J3" s="49" t="s">
        <v>94</v>
      </c>
      <c r="K3" s="49" t="s">
        <v>154</v>
      </c>
      <c r="L3" s="29"/>
      <c r="M3" s="29"/>
    </row>
    <row r="4" spans="1:13" ht="14.4" x14ac:dyDescent="0.3">
      <c r="A4" s="188"/>
      <c r="B4" s="52" t="s">
        <v>109</v>
      </c>
      <c r="C4" s="30"/>
      <c r="D4" s="30"/>
      <c r="E4" s="30"/>
      <c r="F4" s="30"/>
      <c r="G4" s="30"/>
      <c r="H4" s="30"/>
      <c r="I4" s="30"/>
      <c r="J4" s="56">
        <f>SUM(J5:J14)</f>
        <v>8281.06</v>
      </c>
      <c r="K4" s="30"/>
      <c r="L4" s="29"/>
      <c r="M4" s="29"/>
    </row>
    <row r="5" spans="1:13" ht="14.4" x14ac:dyDescent="0.3">
      <c r="A5" s="53">
        <v>1</v>
      </c>
      <c r="B5" s="255" t="str">
        <f>'Prevailing Wage'!C14</f>
        <v>Labor Lead</v>
      </c>
      <c r="C5" s="31"/>
      <c r="D5" s="60">
        <v>16</v>
      </c>
      <c r="E5" s="31" t="s">
        <v>118</v>
      </c>
      <c r="F5" s="256">
        <f>'Prevailing Wage'!D14</f>
        <v>74.69</v>
      </c>
      <c r="G5" s="31"/>
      <c r="H5" s="31"/>
      <c r="I5" s="31"/>
      <c r="J5" s="50">
        <f>D5*F5</f>
        <v>1195.04</v>
      </c>
      <c r="K5" s="31" t="s">
        <v>158</v>
      </c>
      <c r="L5" s="29"/>
      <c r="M5" s="29"/>
    </row>
    <row r="6" spans="1:13" ht="14.4" x14ac:dyDescent="0.3">
      <c r="A6" s="53">
        <v>2</v>
      </c>
      <c r="B6" s="255" t="str">
        <f>'Prevailing Wage'!C15</f>
        <v>Laborer</v>
      </c>
      <c r="C6" s="31"/>
      <c r="D6" s="225">
        <f>D5*'Bid Schedule'!$N$3</f>
        <v>48</v>
      </c>
      <c r="E6" s="31" t="s">
        <v>118</v>
      </c>
      <c r="F6" s="256">
        <f>'Prevailing Wage'!D15</f>
        <v>71.69</v>
      </c>
      <c r="G6" s="31"/>
      <c r="H6" s="31"/>
      <c r="I6" s="31"/>
      <c r="J6" s="50">
        <f t="shared" ref="J6:J12" si="0">D6*F6</f>
        <v>3441.12</v>
      </c>
      <c r="K6" s="225" t="s">
        <v>159</v>
      </c>
      <c r="L6" s="29"/>
      <c r="M6" s="29"/>
    </row>
    <row r="7" spans="1:13" ht="14.4" x14ac:dyDescent="0.3">
      <c r="A7" s="53">
        <v>3</v>
      </c>
      <c r="B7" s="255" t="str">
        <f>'Prevailing Wage'!C16</f>
        <v>Operator</v>
      </c>
      <c r="C7" s="31"/>
      <c r="D7" s="60">
        <v>16</v>
      </c>
      <c r="E7" s="31" t="s">
        <v>118</v>
      </c>
      <c r="F7" s="256">
        <f>'Prevailing Wage'!D16</f>
        <v>96.29</v>
      </c>
      <c r="G7" s="31"/>
      <c r="H7" s="31"/>
      <c r="I7" s="31"/>
      <c r="J7" s="50">
        <f t="shared" si="0"/>
        <v>1540.64</v>
      </c>
      <c r="K7" s="31"/>
      <c r="L7" s="29"/>
      <c r="M7" s="29"/>
    </row>
    <row r="8" spans="1:13" ht="14.4" x14ac:dyDescent="0.3">
      <c r="A8" s="53">
        <v>4</v>
      </c>
      <c r="B8" s="255" t="str">
        <f>'Prevailing Wage'!C17</f>
        <v>Driver</v>
      </c>
      <c r="C8" s="31"/>
      <c r="D8" s="60">
        <v>16</v>
      </c>
      <c r="E8" s="31" t="s">
        <v>118</v>
      </c>
      <c r="F8" s="256">
        <f>'Prevailing Wage'!D17</f>
        <v>76.709999999999994</v>
      </c>
      <c r="G8" s="31"/>
      <c r="H8" s="31"/>
      <c r="I8" s="31"/>
      <c r="J8" s="50">
        <f t="shared" si="0"/>
        <v>1227.3599999999999</v>
      </c>
      <c r="K8" s="31"/>
      <c r="L8" s="29"/>
      <c r="M8" s="29"/>
    </row>
    <row r="9" spans="1:13" ht="14.4" x14ac:dyDescent="0.3">
      <c r="A9" s="53">
        <v>5</v>
      </c>
      <c r="B9" s="255" t="str">
        <f>'Prevailing Wage'!C18</f>
        <v>Landscaper</v>
      </c>
      <c r="C9" s="31"/>
      <c r="D9" s="60"/>
      <c r="E9" s="31" t="s">
        <v>118</v>
      </c>
      <c r="F9" s="256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5" t="str">
        <f>'Prevailing Wage'!C19</f>
        <v>Pipefitter</v>
      </c>
      <c r="C10" s="31"/>
      <c r="D10" s="60">
        <v>10</v>
      </c>
      <c r="E10" s="31" t="s">
        <v>118</v>
      </c>
      <c r="F10" s="256">
        <f>'Prevailing Wage'!D19</f>
        <v>87.69</v>
      </c>
      <c r="G10" s="31"/>
      <c r="H10" s="31"/>
      <c r="I10" s="31"/>
      <c r="J10" s="50">
        <f t="shared" si="0"/>
        <v>876.9</v>
      </c>
      <c r="K10" s="31"/>
      <c r="L10" s="29"/>
      <c r="M10" s="29"/>
    </row>
    <row r="11" spans="1:13" ht="14.4" x14ac:dyDescent="0.3">
      <c r="A11" s="53">
        <v>7</v>
      </c>
      <c r="B11" s="255" t="str">
        <f>'Prevailing Wage'!C20</f>
        <v>Etc</v>
      </c>
      <c r="C11" s="31"/>
      <c r="D11" s="60"/>
      <c r="E11" s="31" t="s">
        <v>118</v>
      </c>
      <c r="F11" s="256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5" t="str">
        <f>'Prevailing Wage'!C21</f>
        <v>Etc</v>
      </c>
      <c r="C12" s="31"/>
      <c r="D12" s="60"/>
      <c r="E12" s="31" t="s">
        <v>118</v>
      </c>
      <c r="F12" s="256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157</v>
      </c>
      <c r="B13" s="58"/>
      <c r="C13" s="31"/>
      <c r="D13" s="60"/>
      <c r="E13" s="31" t="s">
        <v>118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112</v>
      </c>
      <c r="C15" s="30"/>
      <c r="D15" s="30"/>
      <c r="E15" s="30"/>
      <c r="F15" s="30"/>
      <c r="G15" s="30"/>
      <c r="H15" s="30"/>
      <c r="I15" s="30"/>
      <c r="J15" s="56">
        <f>SUM(J16:J30)</f>
        <v>6653.77</v>
      </c>
      <c r="K15" s="30"/>
      <c r="L15" s="29"/>
      <c r="M15" s="29"/>
    </row>
    <row r="16" spans="1:13" ht="14.4" x14ac:dyDescent="0.3">
      <c r="A16" s="53">
        <v>1</v>
      </c>
      <c r="B16" s="57" t="s">
        <v>182</v>
      </c>
      <c r="C16" s="31"/>
      <c r="D16" s="60">
        <v>1</v>
      </c>
      <c r="E16" s="31" t="s">
        <v>160</v>
      </c>
      <c r="F16" s="59">
        <v>2098.77</v>
      </c>
      <c r="G16" s="31"/>
      <c r="H16" s="31"/>
      <c r="I16" s="31"/>
      <c r="J16" s="50">
        <f>D16*F16</f>
        <v>2098.77</v>
      </c>
      <c r="K16" s="31"/>
      <c r="L16" s="29"/>
      <c r="M16" s="29"/>
    </row>
    <row r="17" spans="1:13" ht="14.4" x14ac:dyDescent="0.3">
      <c r="A17" s="53">
        <v>2</v>
      </c>
      <c r="B17" s="58" t="s">
        <v>183</v>
      </c>
      <c r="C17" s="31"/>
      <c r="D17" s="60">
        <v>1</v>
      </c>
      <c r="E17" s="31" t="s">
        <v>160</v>
      </c>
      <c r="F17" s="59">
        <v>355</v>
      </c>
      <c r="G17" s="31"/>
      <c r="H17" s="31"/>
      <c r="I17" s="31"/>
      <c r="J17" s="50">
        <f t="shared" ref="J17:J30" si="2">D17*F17</f>
        <v>355</v>
      </c>
      <c r="K17" s="31"/>
      <c r="L17" s="29"/>
      <c r="M17" s="29"/>
    </row>
    <row r="18" spans="1:13" ht="14.4" x14ac:dyDescent="0.3">
      <c r="A18" s="53">
        <v>3</v>
      </c>
      <c r="B18" s="58" t="s">
        <v>184</v>
      </c>
      <c r="C18" s="31"/>
      <c r="D18" s="60">
        <v>1</v>
      </c>
      <c r="E18" s="31" t="s">
        <v>160</v>
      </c>
      <c r="F18" s="59">
        <v>2000</v>
      </c>
      <c r="G18" s="31"/>
      <c r="H18" s="31"/>
      <c r="I18" s="31"/>
      <c r="J18" s="50">
        <f t="shared" si="2"/>
        <v>2000</v>
      </c>
      <c r="K18" s="31"/>
      <c r="L18" s="29"/>
      <c r="M18" s="29"/>
    </row>
    <row r="19" spans="1:13" ht="14.4" x14ac:dyDescent="0.3">
      <c r="A19" s="53">
        <v>4</v>
      </c>
      <c r="B19" s="58" t="s">
        <v>185</v>
      </c>
      <c r="C19" s="31"/>
      <c r="D19" s="60">
        <v>1</v>
      </c>
      <c r="E19" s="31" t="s">
        <v>160</v>
      </c>
      <c r="F19" s="59">
        <v>200</v>
      </c>
      <c r="G19" s="31"/>
      <c r="H19" s="31"/>
      <c r="I19" s="31"/>
      <c r="J19" s="50">
        <f t="shared" si="2"/>
        <v>200</v>
      </c>
      <c r="K19" s="31"/>
      <c r="L19" s="29"/>
      <c r="M19" s="29"/>
    </row>
    <row r="20" spans="1:13" ht="14.4" x14ac:dyDescent="0.3">
      <c r="A20" s="53">
        <v>5</v>
      </c>
      <c r="B20" s="58" t="s">
        <v>186</v>
      </c>
      <c r="C20" s="31"/>
      <c r="D20" s="60">
        <v>1</v>
      </c>
      <c r="E20" s="31" t="s">
        <v>160</v>
      </c>
      <c r="F20" s="59">
        <v>2000</v>
      </c>
      <c r="G20" s="31"/>
      <c r="H20" s="31"/>
      <c r="I20" s="31"/>
      <c r="J20" s="50">
        <f t="shared" si="2"/>
        <v>2000</v>
      </c>
      <c r="K20" s="31"/>
      <c r="L20" s="29"/>
      <c r="M20" s="29"/>
    </row>
    <row r="21" spans="1:13" ht="14.4" x14ac:dyDescent="0.3">
      <c r="A21" s="53">
        <v>6</v>
      </c>
      <c r="B21" s="58"/>
      <c r="C21" s="31"/>
      <c r="D21" s="60"/>
      <c r="E21" s="31"/>
      <c r="F21" s="59"/>
      <c r="G21" s="31"/>
      <c r="H21" s="31"/>
      <c r="I21" s="31"/>
      <c r="J21" s="50">
        <f t="shared" ref="J21" si="3">D21*F21</f>
        <v>0</v>
      </c>
      <c r="K21" s="31"/>
      <c r="L21" s="29"/>
      <c r="M21" s="29"/>
    </row>
    <row r="22" spans="1:13" ht="14.4" x14ac:dyDescent="0.3">
      <c r="A22" s="53">
        <v>7</v>
      </c>
      <c r="B22" s="58"/>
      <c r="C22" s="31"/>
      <c r="D22" s="60"/>
      <c r="E22" s="31"/>
      <c r="F22" s="59"/>
      <c r="G22" s="31"/>
      <c r="H22" s="31"/>
      <c r="I22" s="31"/>
      <c r="J22" s="50">
        <f t="shared" si="2"/>
        <v>0</v>
      </c>
      <c r="K22" s="31"/>
      <c r="L22" s="29"/>
      <c r="M22" s="29"/>
    </row>
    <row r="23" spans="1:13" ht="14.4" x14ac:dyDescent="0.3">
      <c r="A23" s="53">
        <v>8</v>
      </c>
      <c r="B23" s="58"/>
      <c r="C23" s="31"/>
      <c r="D23" s="60"/>
      <c r="E23" s="31"/>
      <c r="F23" s="59"/>
      <c r="G23" s="31"/>
      <c r="H23" s="31"/>
      <c r="I23" s="31"/>
      <c r="J23" s="50">
        <f t="shared" si="2"/>
        <v>0</v>
      </c>
      <c r="K23" s="31"/>
      <c r="L23" s="29"/>
      <c r="M23" s="29"/>
    </row>
    <row r="24" spans="1:13" ht="14.4" x14ac:dyDescent="0.3">
      <c r="A24" s="53">
        <v>9</v>
      </c>
      <c r="B24" s="58"/>
      <c r="C24" s="31"/>
      <c r="D24" s="60"/>
      <c r="E24" s="31"/>
      <c r="F24" s="59"/>
      <c r="G24" s="31"/>
      <c r="H24" s="31"/>
      <c r="I24" s="31"/>
      <c r="J24" s="50">
        <f t="shared" si="2"/>
        <v>0</v>
      </c>
      <c r="K24" s="31"/>
      <c r="L24" s="29"/>
      <c r="M24" s="29"/>
    </row>
    <row r="25" spans="1:13" ht="14.4" x14ac:dyDescent="0.3">
      <c r="A25" s="53">
        <v>10</v>
      </c>
      <c r="B25" s="58"/>
      <c r="C25" s="31"/>
      <c r="D25" s="60"/>
      <c r="E25" s="31"/>
      <c r="F25" s="59"/>
      <c r="G25" s="31"/>
      <c r="H25" s="31"/>
      <c r="I25" s="31"/>
      <c r="J25" s="50">
        <f t="shared" si="2"/>
        <v>0</v>
      </c>
      <c r="K25" s="31"/>
      <c r="L25" s="29"/>
      <c r="M25" s="29"/>
    </row>
    <row r="26" spans="1:13" ht="14.4" x14ac:dyDescent="0.3">
      <c r="A26" s="53">
        <v>11</v>
      </c>
      <c r="B26" s="58"/>
      <c r="C26" s="31"/>
      <c r="D26" s="60"/>
      <c r="E26" s="31"/>
      <c r="F26" s="59"/>
      <c r="G26" s="31"/>
      <c r="H26" s="31"/>
      <c r="I26" s="31"/>
      <c r="J26" s="50">
        <f t="shared" si="2"/>
        <v>0</v>
      </c>
      <c r="K26" s="31"/>
      <c r="L26" s="29"/>
      <c r="M26" s="29"/>
    </row>
    <row r="27" spans="1:13" ht="14.4" x14ac:dyDescent="0.3">
      <c r="A27" s="53">
        <v>12</v>
      </c>
      <c r="B27" s="58"/>
      <c r="C27" s="31"/>
      <c r="D27" s="60"/>
      <c r="E27" s="31"/>
      <c r="F27" s="59"/>
      <c r="G27" s="31"/>
      <c r="H27" s="31"/>
      <c r="I27" s="31"/>
      <c r="J27" s="50">
        <f t="shared" si="2"/>
        <v>0</v>
      </c>
      <c r="K27" s="31"/>
      <c r="L27" s="29"/>
      <c r="M27" s="29"/>
    </row>
    <row r="28" spans="1:13" ht="14.4" x14ac:dyDescent="0.3">
      <c r="A28" s="53">
        <v>13</v>
      </c>
      <c r="B28" s="58"/>
      <c r="C28" s="31"/>
      <c r="D28" s="60"/>
      <c r="E28" s="31"/>
      <c r="F28" s="59"/>
      <c r="G28" s="31"/>
      <c r="H28" s="31"/>
      <c r="I28" s="31"/>
      <c r="J28" s="50">
        <f t="shared" si="2"/>
        <v>0</v>
      </c>
      <c r="K28" s="31"/>
      <c r="L28" s="29"/>
      <c r="M28" s="29"/>
    </row>
    <row r="29" spans="1:13" ht="14.4" x14ac:dyDescent="0.3">
      <c r="A29" s="53" t="s">
        <v>157</v>
      </c>
      <c r="B29" s="58"/>
      <c r="C29" s="31"/>
      <c r="D29" s="60"/>
      <c r="E29" s="31"/>
      <c r="F29" s="59"/>
      <c r="G29" s="31"/>
      <c r="H29" s="31"/>
      <c r="I29" s="31"/>
      <c r="J29" s="50">
        <f t="shared" si="2"/>
        <v>0</v>
      </c>
      <c r="K29" s="31"/>
      <c r="L29" s="29"/>
      <c r="M29" s="29"/>
    </row>
    <row r="30" spans="1:13" ht="14.4" hidden="1" customHeight="1" x14ac:dyDescent="0.3">
      <c r="A30" s="54" t="s">
        <v>162</v>
      </c>
      <c r="B30" s="58"/>
      <c r="C30" s="31"/>
      <c r="D30" s="60"/>
      <c r="E30" s="31"/>
      <c r="F30" s="59"/>
      <c r="G30" s="31"/>
      <c r="H30" s="31"/>
      <c r="I30" s="31"/>
      <c r="J30" s="50">
        <f t="shared" si="2"/>
        <v>0</v>
      </c>
      <c r="K30" s="31"/>
      <c r="L30" s="29"/>
      <c r="M30" s="29"/>
    </row>
    <row r="31" spans="1:13" ht="14.4" x14ac:dyDescent="0.3">
      <c r="A31" s="188"/>
      <c r="B31" s="52" t="s">
        <v>116</v>
      </c>
      <c r="C31" s="30"/>
      <c r="D31" s="30"/>
      <c r="E31" s="30"/>
      <c r="F31" s="30"/>
      <c r="G31" s="30"/>
      <c r="H31" s="30"/>
      <c r="I31" s="30"/>
      <c r="J31" s="56">
        <f>SUM(J32:J37)</f>
        <v>0</v>
      </c>
      <c r="K31" s="30"/>
    </row>
    <row r="32" spans="1:13" ht="14.4" x14ac:dyDescent="0.3">
      <c r="A32" s="53">
        <v>1</v>
      </c>
      <c r="B32" s="58"/>
      <c r="C32" s="31"/>
      <c r="D32" s="60"/>
      <c r="E32" s="31"/>
      <c r="F32" s="59"/>
      <c r="G32" s="31"/>
      <c r="H32" s="31"/>
      <c r="I32" s="31"/>
      <c r="J32" s="50">
        <f t="shared" ref="J32" si="4">D32*F32</f>
        <v>0</v>
      </c>
      <c r="K32" s="31"/>
    </row>
    <row r="33" spans="1:11" ht="14.4" x14ac:dyDescent="0.3">
      <c r="A33" s="53">
        <v>2</v>
      </c>
      <c r="B33" s="58"/>
      <c r="C33" s="31"/>
      <c r="D33" s="60"/>
      <c r="E33" s="31"/>
      <c r="F33" s="59"/>
      <c r="G33" s="31"/>
      <c r="H33" s="31"/>
      <c r="I33" s="31"/>
      <c r="J33" s="50">
        <f t="shared" ref="J33:J37" si="5">D33*F33</f>
        <v>0</v>
      </c>
      <c r="K33" s="239"/>
    </row>
    <row r="34" spans="1:11" ht="14.4" x14ac:dyDescent="0.3">
      <c r="A34" s="53">
        <v>3</v>
      </c>
      <c r="B34" s="58"/>
      <c r="C34" s="31"/>
      <c r="D34" s="60"/>
      <c r="E34" s="31"/>
      <c r="F34" s="59"/>
      <c r="G34" s="31"/>
      <c r="H34" s="31"/>
      <c r="I34" s="31"/>
      <c r="J34" s="50">
        <f t="shared" si="5"/>
        <v>0</v>
      </c>
      <c r="K34" s="31"/>
    </row>
    <row r="35" spans="1:11" ht="14.4" x14ac:dyDescent="0.3">
      <c r="A35" s="53">
        <v>4</v>
      </c>
      <c r="B35" s="58"/>
      <c r="C35" s="31"/>
      <c r="D35" s="60"/>
      <c r="E35" s="31"/>
      <c r="F35" s="59"/>
      <c r="G35" s="31"/>
      <c r="H35" s="31"/>
      <c r="I35" s="31"/>
      <c r="J35" s="50">
        <f t="shared" si="5"/>
        <v>0</v>
      </c>
      <c r="K35" s="31"/>
    </row>
    <row r="36" spans="1:11" ht="14.4" x14ac:dyDescent="0.3">
      <c r="A36" s="53" t="s">
        <v>157</v>
      </c>
      <c r="B36" s="58"/>
      <c r="C36" s="31"/>
      <c r="D36" s="60"/>
      <c r="E36" s="31"/>
      <c r="F36" s="59"/>
      <c r="G36" s="31"/>
      <c r="H36" s="31"/>
      <c r="I36" s="31"/>
      <c r="J36" s="50">
        <f t="shared" si="5"/>
        <v>0</v>
      </c>
      <c r="K36" s="31"/>
    </row>
    <row r="37" spans="1:11" ht="14.4" hidden="1" x14ac:dyDescent="0.3">
      <c r="A37" s="54" t="s">
        <v>162</v>
      </c>
      <c r="B37" s="58"/>
      <c r="C37" s="31"/>
      <c r="D37" s="60"/>
      <c r="E37" s="31"/>
      <c r="F37" s="59"/>
      <c r="G37" s="31"/>
      <c r="H37" s="31"/>
      <c r="I37" s="31"/>
      <c r="J37" s="50">
        <f t="shared" si="5"/>
        <v>0</v>
      </c>
      <c r="K37" s="31"/>
    </row>
    <row r="38" spans="1:11" ht="14.4" x14ac:dyDescent="0.3">
      <c r="A38" s="188"/>
      <c r="B38" s="52" t="s">
        <v>136</v>
      </c>
      <c r="C38" s="30"/>
      <c r="D38" s="30"/>
      <c r="E38" s="30"/>
      <c r="F38" s="30"/>
      <c r="G38" s="30"/>
      <c r="H38" s="30"/>
      <c r="I38" s="30"/>
      <c r="J38" s="56">
        <f>SUM(J39:J44)</f>
        <v>1000</v>
      </c>
      <c r="K38" s="30"/>
    </row>
    <row r="39" spans="1:11" ht="14.4" x14ac:dyDescent="0.3">
      <c r="A39" s="53">
        <v>1</v>
      </c>
      <c r="B39" s="58" t="s">
        <v>163</v>
      </c>
      <c r="C39" s="31"/>
      <c r="D39" s="60">
        <v>1</v>
      </c>
      <c r="E39" s="31" t="s">
        <v>160</v>
      </c>
      <c r="F39" s="59">
        <v>1000</v>
      </c>
      <c r="G39" s="31"/>
      <c r="H39" s="31"/>
      <c r="I39" s="31"/>
      <c r="J39" s="50">
        <f>D39*F39</f>
        <v>1000</v>
      </c>
      <c r="K39" s="31"/>
    </row>
    <row r="40" spans="1:11" ht="14.4" x14ac:dyDescent="0.3">
      <c r="A40" s="53">
        <v>2</v>
      </c>
      <c r="B40" s="58"/>
      <c r="C40" s="31"/>
      <c r="D40" s="60"/>
      <c r="E40" s="31"/>
      <c r="F40" s="59"/>
      <c r="G40" s="31"/>
      <c r="H40" s="31"/>
      <c r="I40" s="31"/>
      <c r="J40" s="50">
        <f t="shared" ref="J40:J44" si="6">D40*F40</f>
        <v>0</v>
      </c>
      <c r="K40" s="31"/>
    </row>
    <row r="41" spans="1:11" ht="14.4" x14ac:dyDescent="0.3">
      <c r="A41" s="53">
        <v>3</v>
      </c>
      <c r="B41" s="58"/>
      <c r="C41" s="31"/>
      <c r="D41" s="60"/>
      <c r="E41" s="31"/>
      <c r="F41" s="59"/>
      <c r="G41" s="31"/>
      <c r="H41" s="31"/>
      <c r="I41" s="31"/>
      <c r="J41" s="50">
        <f t="shared" si="6"/>
        <v>0</v>
      </c>
      <c r="K41" s="31"/>
    </row>
    <row r="42" spans="1:11" ht="14.4" x14ac:dyDescent="0.3">
      <c r="A42" s="53">
        <v>4</v>
      </c>
      <c r="B42" s="58"/>
      <c r="C42" s="31"/>
      <c r="D42" s="60"/>
      <c r="E42" s="31"/>
      <c r="F42" s="59"/>
      <c r="G42" s="31"/>
      <c r="H42" s="31"/>
      <c r="I42" s="31"/>
      <c r="J42" s="50">
        <f t="shared" si="6"/>
        <v>0</v>
      </c>
      <c r="K42" s="31"/>
    </row>
    <row r="43" spans="1:11" ht="14.4" x14ac:dyDescent="0.3">
      <c r="A43" s="53" t="s">
        <v>157</v>
      </c>
      <c r="B43" s="58"/>
      <c r="C43" s="31"/>
      <c r="D43" s="60"/>
      <c r="E43" s="31"/>
      <c r="F43" s="59"/>
      <c r="G43" s="31"/>
      <c r="H43" s="31"/>
      <c r="I43" s="31"/>
      <c r="J43" s="50">
        <f t="shared" si="6"/>
        <v>0</v>
      </c>
      <c r="K43" s="31"/>
    </row>
    <row r="44" spans="1:11" ht="14.4" hidden="1" x14ac:dyDescent="0.3">
      <c r="A44" s="54" t="s">
        <v>162</v>
      </c>
      <c r="B44" s="58"/>
      <c r="C44" s="31"/>
      <c r="D44" s="60"/>
      <c r="E44" s="31"/>
      <c r="F44" s="59"/>
      <c r="G44" s="31"/>
      <c r="H44" s="31"/>
      <c r="I44" s="31"/>
      <c r="J44" s="50">
        <f t="shared" si="6"/>
        <v>0</v>
      </c>
      <c r="K44" s="31"/>
    </row>
    <row r="45" spans="1:11" ht="14.4" x14ac:dyDescent="0.3">
      <c r="A45" s="188"/>
      <c r="B45" s="52" t="s">
        <v>121</v>
      </c>
      <c r="C45" s="30"/>
      <c r="D45" s="30"/>
      <c r="E45" s="30"/>
      <c r="F45" s="30"/>
      <c r="G45" s="30"/>
      <c r="H45" s="30"/>
      <c r="I45" s="30"/>
      <c r="J45" s="56">
        <f>SUM(J46:J51)</f>
        <v>1160.9000000000001</v>
      </c>
      <c r="K45" s="30"/>
    </row>
    <row r="46" spans="1:11" ht="14.4" x14ac:dyDescent="0.3">
      <c r="A46" s="53">
        <v>1</v>
      </c>
      <c r="B46" s="57" t="s">
        <v>164</v>
      </c>
      <c r="C46" s="31"/>
      <c r="D46" s="60">
        <f>2/20</f>
        <v>0.1</v>
      </c>
      <c r="E46" s="31" t="s">
        <v>165</v>
      </c>
      <c r="F46" s="59">
        <v>6054</v>
      </c>
      <c r="G46" s="31"/>
      <c r="H46" s="31"/>
      <c r="I46" s="31"/>
      <c r="J46" s="50">
        <f t="shared" ref="J46:J47" si="7">D46*F46</f>
        <v>605.4</v>
      </c>
      <c r="K46" s="31" t="s">
        <v>166</v>
      </c>
    </row>
    <row r="47" spans="1:11" ht="14.4" x14ac:dyDescent="0.3">
      <c r="A47" s="53">
        <v>2</v>
      </c>
      <c r="B47" s="58" t="s">
        <v>167</v>
      </c>
      <c r="C47" s="31"/>
      <c r="D47" s="60">
        <f>2/20</f>
        <v>0.1</v>
      </c>
      <c r="E47" s="31" t="s">
        <v>165</v>
      </c>
      <c r="F47" s="59">
        <v>4345</v>
      </c>
      <c r="G47" s="31"/>
      <c r="H47" s="31"/>
      <c r="I47" s="31"/>
      <c r="J47" s="50">
        <f t="shared" si="7"/>
        <v>434.5</v>
      </c>
      <c r="K47" s="239" t="s">
        <v>168</v>
      </c>
    </row>
    <row r="48" spans="1:11" ht="14.4" x14ac:dyDescent="0.3">
      <c r="A48" s="53">
        <v>3</v>
      </c>
      <c r="B48" s="58" t="s">
        <v>169</v>
      </c>
      <c r="C48" s="31"/>
      <c r="D48" s="269">
        <f>4/20</f>
        <v>0.2</v>
      </c>
      <c r="E48" s="31" t="s">
        <v>165</v>
      </c>
      <c r="F48" s="59">
        <v>605</v>
      </c>
      <c r="G48" s="31"/>
      <c r="H48" s="31"/>
      <c r="I48" s="31"/>
      <c r="J48" s="50">
        <f>D48*F48</f>
        <v>121</v>
      </c>
      <c r="K48" s="31"/>
    </row>
    <row r="49" spans="1:11" ht="14.4" x14ac:dyDescent="0.3">
      <c r="A49" s="53">
        <v>4</v>
      </c>
      <c r="B49" s="58"/>
      <c r="C49" s="31"/>
      <c r="D49" s="60"/>
      <c r="E49" s="31"/>
      <c r="F49" s="59"/>
      <c r="G49" s="31"/>
      <c r="H49" s="31"/>
      <c r="I49" s="31"/>
      <c r="J49" s="50">
        <f t="shared" ref="J49:J51" si="8">D49*F49</f>
        <v>0</v>
      </c>
      <c r="K49" s="31"/>
    </row>
    <row r="50" spans="1:11" ht="14.4" x14ac:dyDescent="0.3">
      <c r="A50" s="53" t="s">
        <v>157</v>
      </c>
      <c r="B50" s="58"/>
      <c r="C50" s="31"/>
      <c r="D50" s="60"/>
      <c r="E50" s="31"/>
      <c r="F50" s="59"/>
      <c r="G50" s="31"/>
      <c r="H50" s="31"/>
      <c r="I50" s="31"/>
      <c r="J50" s="50">
        <f t="shared" si="8"/>
        <v>0</v>
      </c>
      <c r="K50" s="31"/>
    </row>
    <row r="51" spans="1:11" ht="14.4" hidden="1" x14ac:dyDescent="0.3">
      <c r="A51" s="54" t="s">
        <v>162</v>
      </c>
      <c r="B51" s="58"/>
      <c r="C51" s="31"/>
      <c r="D51" s="60"/>
      <c r="E51" s="31"/>
      <c r="F51" s="59"/>
      <c r="G51" s="31"/>
      <c r="H51" s="31"/>
      <c r="I51" s="31"/>
      <c r="J51" s="50">
        <f t="shared" si="8"/>
        <v>0</v>
      </c>
      <c r="K51" s="31"/>
    </row>
    <row r="52" spans="1:11" ht="14.4" x14ac:dyDescent="0.3">
      <c r="A52" s="188"/>
      <c r="B52" s="52" t="s">
        <v>123</v>
      </c>
      <c r="C52" s="30"/>
      <c r="D52" s="30"/>
      <c r="E52" s="30"/>
      <c r="F52" s="30"/>
      <c r="G52" s="30"/>
      <c r="H52" s="30"/>
      <c r="I52" s="30"/>
      <c r="J52" s="56">
        <f>SUM(J53:J58)</f>
        <v>1440</v>
      </c>
      <c r="K52" s="30"/>
    </row>
    <row r="53" spans="1:11" ht="14.4" x14ac:dyDescent="0.3">
      <c r="A53" s="53">
        <v>1</v>
      </c>
      <c r="B53" s="57" t="s">
        <v>170</v>
      </c>
      <c r="C53" s="31"/>
      <c r="D53" s="60">
        <f>D7*15</f>
        <v>240</v>
      </c>
      <c r="E53" s="31" t="s">
        <v>171</v>
      </c>
      <c r="F53" s="59">
        <v>6</v>
      </c>
      <c r="G53" s="31"/>
      <c r="H53" s="31"/>
      <c r="I53" s="31"/>
      <c r="J53" s="50">
        <f>D53*F53</f>
        <v>1440</v>
      </c>
      <c r="K53" s="31"/>
    </row>
    <row r="54" spans="1:11" ht="14.4" x14ac:dyDescent="0.3">
      <c r="A54" s="53">
        <v>2</v>
      </c>
      <c r="B54" s="58" t="s">
        <v>172</v>
      </c>
      <c r="C54" s="31"/>
      <c r="D54" s="60"/>
      <c r="E54" s="31"/>
      <c r="F54" s="59"/>
      <c r="G54" s="31"/>
      <c r="H54" s="31"/>
      <c r="I54" s="31"/>
      <c r="J54" s="50">
        <f>D54*F54</f>
        <v>0</v>
      </c>
      <c r="K54" s="31"/>
    </row>
    <row r="55" spans="1:11" ht="14.4" x14ac:dyDescent="0.3">
      <c r="A55" s="53">
        <v>3</v>
      </c>
      <c r="B55" s="58"/>
      <c r="C55" s="31"/>
      <c r="D55" s="60"/>
      <c r="E55" s="31"/>
      <c r="F55" s="59"/>
      <c r="G55" s="31"/>
      <c r="H55" s="31"/>
      <c r="I55" s="31"/>
      <c r="J55" s="50">
        <f t="shared" ref="J55:J58" si="9">D55*F55</f>
        <v>0</v>
      </c>
      <c r="K55" s="31"/>
    </row>
    <row r="56" spans="1:11" ht="14.4" x14ac:dyDescent="0.3">
      <c r="A56" s="53">
        <v>4</v>
      </c>
      <c r="B56" s="58"/>
      <c r="C56" s="31"/>
      <c r="D56" s="60"/>
      <c r="E56" s="31"/>
      <c r="F56" s="59"/>
      <c r="G56" s="31"/>
      <c r="H56" s="31"/>
      <c r="I56" s="31"/>
      <c r="J56" s="50">
        <f t="shared" si="9"/>
        <v>0</v>
      </c>
      <c r="K56" s="31"/>
    </row>
    <row r="57" spans="1:11" ht="14.4" x14ac:dyDescent="0.3">
      <c r="A57" s="53" t="s">
        <v>157</v>
      </c>
      <c r="B57" s="58"/>
      <c r="C57" s="31"/>
      <c r="D57" s="60"/>
      <c r="E57" s="31"/>
      <c r="F57" s="59"/>
      <c r="G57" s="31"/>
      <c r="H57" s="31"/>
      <c r="I57" s="31"/>
      <c r="J57" s="50">
        <f t="shared" si="9"/>
        <v>0</v>
      </c>
      <c r="K57" s="31"/>
    </row>
    <row r="58" spans="1:11" ht="14.4" hidden="1" x14ac:dyDescent="0.3">
      <c r="A58" s="54" t="s">
        <v>162</v>
      </c>
      <c r="B58" s="58"/>
      <c r="C58" s="31"/>
      <c r="D58" s="60"/>
      <c r="E58" s="31"/>
      <c r="F58" s="59"/>
      <c r="G58" s="31"/>
      <c r="H58" s="31"/>
      <c r="I58" s="31"/>
      <c r="J58" s="50">
        <f t="shared" si="9"/>
        <v>0</v>
      </c>
      <c r="K58" s="31"/>
    </row>
    <row r="59" spans="1:11" ht="14.4" x14ac:dyDescent="0.3">
      <c r="A59" s="188"/>
      <c r="B59" s="52" t="s">
        <v>120</v>
      </c>
      <c r="C59" s="30"/>
      <c r="D59" s="30"/>
      <c r="E59" s="30"/>
      <c r="F59" s="30"/>
      <c r="G59" s="30"/>
      <c r="H59" s="30"/>
      <c r="I59" s="30"/>
      <c r="J59" s="56">
        <f>SUM(J60:J65)</f>
        <v>550</v>
      </c>
      <c r="K59" s="30"/>
    </row>
    <row r="60" spans="1:11" ht="14.4" x14ac:dyDescent="0.3">
      <c r="A60" s="53">
        <v>1</v>
      </c>
      <c r="B60" s="57" t="s">
        <v>174</v>
      </c>
      <c r="C60" s="31"/>
      <c r="D60" s="60">
        <v>1</v>
      </c>
      <c r="E60" s="31" t="s">
        <v>107</v>
      </c>
      <c r="F60" s="59">
        <v>550</v>
      </c>
      <c r="G60" s="31"/>
      <c r="H60" s="31"/>
      <c r="I60" s="31"/>
      <c r="J60" s="50">
        <f>D60*F60</f>
        <v>550</v>
      </c>
      <c r="K60" s="31"/>
    </row>
    <row r="61" spans="1:11" ht="14.4" x14ac:dyDescent="0.3">
      <c r="A61" s="53">
        <v>2</v>
      </c>
      <c r="B61" s="58"/>
      <c r="C61" s="31"/>
      <c r="D61" s="60"/>
      <c r="E61" s="31"/>
      <c r="F61" s="59"/>
      <c r="G61" s="31"/>
      <c r="H61" s="31"/>
      <c r="I61" s="31"/>
      <c r="J61" s="50">
        <f t="shared" ref="J61:J65" si="10">D61*F61</f>
        <v>0</v>
      </c>
      <c r="K61" s="31"/>
    </row>
    <row r="62" spans="1:11" ht="14.4" x14ac:dyDescent="0.3">
      <c r="A62" s="53">
        <v>3</v>
      </c>
      <c r="B62" s="58"/>
      <c r="C62" s="31"/>
      <c r="D62" s="60"/>
      <c r="E62" s="31"/>
      <c r="F62" s="59"/>
      <c r="G62" s="31"/>
      <c r="H62" s="31"/>
      <c r="I62" s="31"/>
      <c r="J62" s="50">
        <f t="shared" si="10"/>
        <v>0</v>
      </c>
      <c r="K62" s="31"/>
    </row>
    <row r="63" spans="1:11" ht="14.4" x14ac:dyDescent="0.3">
      <c r="A63" s="53">
        <v>4</v>
      </c>
      <c r="B63" s="58"/>
      <c r="C63" s="31"/>
      <c r="D63" s="60"/>
      <c r="E63" s="31"/>
      <c r="F63" s="59"/>
      <c r="G63" s="31"/>
      <c r="H63" s="31"/>
      <c r="I63" s="31"/>
      <c r="J63" s="50">
        <f t="shared" si="10"/>
        <v>0</v>
      </c>
      <c r="K63" s="31"/>
    </row>
    <row r="64" spans="1:11" ht="14.4" x14ac:dyDescent="0.3">
      <c r="A64" s="53" t="s">
        <v>157</v>
      </c>
      <c r="B64" s="58"/>
      <c r="C64" s="31"/>
      <c r="D64" s="60"/>
      <c r="E64" s="31"/>
      <c r="F64" s="59"/>
      <c r="G64" s="31"/>
      <c r="H64" s="31"/>
      <c r="I64" s="31"/>
      <c r="J64" s="50">
        <f t="shared" si="10"/>
        <v>0</v>
      </c>
      <c r="K64" s="31"/>
    </row>
    <row r="65" spans="1:11" ht="14.4" hidden="1" x14ac:dyDescent="0.3">
      <c r="A65" s="54" t="s">
        <v>162</v>
      </c>
      <c r="B65" s="58"/>
      <c r="C65" s="31"/>
      <c r="D65" s="60"/>
      <c r="E65" s="31"/>
      <c r="F65" s="59"/>
      <c r="G65" s="31"/>
      <c r="H65" s="31"/>
      <c r="I65" s="31"/>
      <c r="J65" s="50">
        <f t="shared" si="10"/>
        <v>0</v>
      </c>
      <c r="K65" s="31"/>
    </row>
  </sheetData>
  <hyperlinks>
    <hyperlink ref="K47" r:id="rId1" xr:uid="{8E8775A3-98C9-4CEC-ADA7-BDE867CD736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7F848-EEA3-4D69-A735-A131D562DE46}">
  <sheetPr>
    <tabColor rgb="FF92D050"/>
  </sheetPr>
  <dimension ref="A1:M59"/>
  <sheetViews>
    <sheetView zoomScale="90" zoomScaleNormal="90" workbookViewId="0">
      <selection activeCell="F17" sqref="F17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3.44140625" bestFit="1" customWidth="1"/>
    <col min="7" max="7" width="13.77734375" customWidth="1"/>
    <col min="8" max="8" width="11.77734375" bestFit="1" customWidth="1"/>
    <col min="9" max="9" width="13.6640625" customWidth="1"/>
    <col min="10" max="10" width="13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2" t="s">
        <v>147</v>
      </c>
      <c r="J1" s="253">
        <f>J4+J15+J25+J32+J39+J46+J53</f>
        <v>32280.739999999998</v>
      </c>
      <c r="K1" t="s">
        <v>96</v>
      </c>
    </row>
    <row r="2" spans="1:13" ht="18" x14ac:dyDescent="0.3">
      <c r="B2" s="146" t="str">
        <f>'Bid Summary'!F7</f>
        <v>DE-1 BPS Connection (18-inch Steel at STA 10+74.99)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148</v>
      </c>
      <c r="C3" s="49" t="s">
        <v>149</v>
      </c>
      <c r="D3" s="49" t="s">
        <v>8</v>
      </c>
      <c r="E3" s="49" t="s">
        <v>150</v>
      </c>
      <c r="F3" s="49" t="s">
        <v>151</v>
      </c>
      <c r="G3" s="49" t="s">
        <v>152</v>
      </c>
      <c r="H3" s="49" t="s">
        <v>175</v>
      </c>
      <c r="I3" s="49" t="s">
        <v>153</v>
      </c>
      <c r="J3" s="49" t="s">
        <v>94</v>
      </c>
      <c r="K3" s="49" t="s">
        <v>154</v>
      </c>
      <c r="L3" s="29"/>
      <c r="M3" s="29"/>
    </row>
    <row r="4" spans="1:13" ht="14.4" x14ac:dyDescent="0.3">
      <c r="A4" s="188"/>
      <c r="B4" s="52" t="s">
        <v>109</v>
      </c>
      <c r="C4" s="30"/>
      <c r="D4" s="30"/>
      <c r="E4" s="30"/>
      <c r="F4" s="30"/>
      <c r="G4" s="30"/>
      <c r="H4" s="30"/>
      <c r="I4" s="30"/>
      <c r="J4" s="56">
        <f>SUM(J5:J14)</f>
        <v>11983.140000000001</v>
      </c>
      <c r="K4" s="30"/>
      <c r="L4" s="29"/>
      <c r="M4" s="29"/>
    </row>
    <row r="5" spans="1:13" ht="14.4" x14ac:dyDescent="0.3">
      <c r="A5" s="53">
        <v>1</v>
      </c>
      <c r="B5" s="255" t="str">
        <f>'Prevailing Wage'!C14</f>
        <v>Labor Lead</v>
      </c>
      <c r="C5" s="31"/>
      <c r="D5" s="60">
        <v>24</v>
      </c>
      <c r="E5" s="31" t="s">
        <v>118</v>
      </c>
      <c r="F5" s="256">
        <f>'Prevailing Wage'!D14</f>
        <v>74.69</v>
      </c>
      <c r="G5" s="31"/>
      <c r="H5" s="31"/>
      <c r="I5" s="31"/>
      <c r="J5" s="50">
        <f>D5*F5</f>
        <v>1792.56</v>
      </c>
      <c r="K5" s="31" t="s">
        <v>158</v>
      </c>
      <c r="L5" s="29"/>
      <c r="M5" s="29"/>
    </row>
    <row r="6" spans="1:13" ht="14.4" x14ac:dyDescent="0.3">
      <c r="A6" s="53">
        <v>2</v>
      </c>
      <c r="B6" s="255" t="str">
        <f>'Prevailing Wage'!C15</f>
        <v>Laborer</v>
      </c>
      <c r="C6" s="31"/>
      <c r="D6" s="225">
        <f>D5*'Bid Schedule'!$N$3</f>
        <v>72</v>
      </c>
      <c r="E6" s="31" t="s">
        <v>118</v>
      </c>
      <c r="F6" s="256">
        <f>'Prevailing Wage'!D15</f>
        <v>71.69</v>
      </c>
      <c r="G6" s="31"/>
      <c r="H6" s="31"/>
      <c r="I6" s="31"/>
      <c r="J6" s="50">
        <f t="shared" ref="J6:J12" si="0">D6*F6</f>
        <v>5161.68</v>
      </c>
      <c r="K6" s="225" t="s">
        <v>159</v>
      </c>
      <c r="L6" s="29"/>
      <c r="M6" s="29"/>
    </row>
    <row r="7" spans="1:13" ht="14.4" x14ac:dyDescent="0.3">
      <c r="A7" s="53">
        <v>3</v>
      </c>
      <c r="B7" s="255" t="str">
        <f>'Prevailing Wage'!C16</f>
        <v>Operator</v>
      </c>
      <c r="C7" s="31"/>
      <c r="D7" s="60">
        <v>24</v>
      </c>
      <c r="E7" s="31" t="s">
        <v>118</v>
      </c>
      <c r="F7" s="256">
        <f>'Prevailing Wage'!D16</f>
        <v>96.29</v>
      </c>
      <c r="G7" s="31"/>
      <c r="H7" s="31"/>
      <c r="I7" s="31"/>
      <c r="J7" s="50">
        <f t="shared" si="0"/>
        <v>2310.96</v>
      </c>
      <c r="K7" s="31"/>
      <c r="L7" s="29"/>
      <c r="M7" s="29"/>
    </row>
    <row r="8" spans="1:13" ht="14.4" x14ac:dyDescent="0.3">
      <c r="A8" s="53">
        <v>4</v>
      </c>
      <c r="B8" s="255" t="str">
        <f>'Prevailing Wage'!C17</f>
        <v>Driver</v>
      </c>
      <c r="C8" s="31"/>
      <c r="D8" s="60">
        <v>24</v>
      </c>
      <c r="E8" s="31" t="s">
        <v>118</v>
      </c>
      <c r="F8" s="256">
        <f>'Prevailing Wage'!D17</f>
        <v>76.709999999999994</v>
      </c>
      <c r="G8" s="31"/>
      <c r="H8" s="31"/>
      <c r="I8" s="31"/>
      <c r="J8" s="50">
        <f t="shared" si="0"/>
        <v>1841.04</v>
      </c>
      <c r="K8" s="31"/>
      <c r="L8" s="29"/>
      <c r="M8" s="29"/>
    </row>
    <row r="9" spans="1:13" ht="14.4" x14ac:dyDescent="0.3">
      <c r="A9" s="53">
        <v>5</v>
      </c>
      <c r="B9" s="255" t="str">
        <f>'Prevailing Wage'!C18</f>
        <v>Landscaper</v>
      </c>
      <c r="C9" s="31"/>
      <c r="D9" s="60"/>
      <c r="E9" s="31" t="s">
        <v>118</v>
      </c>
      <c r="F9" s="256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5" t="str">
        <f>'Prevailing Wage'!C19</f>
        <v>Pipefitter</v>
      </c>
      <c r="C10" s="31"/>
      <c r="D10" s="60">
        <v>10</v>
      </c>
      <c r="E10" s="31" t="s">
        <v>118</v>
      </c>
      <c r="F10" s="256">
        <f>'Prevailing Wage'!D19</f>
        <v>87.69</v>
      </c>
      <c r="G10" s="31"/>
      <c r="H10" s="31"/>
      <c r="I10" s="31"/>
      <c r="J10" s="50">
        <f t="shared" si="0"/>
        <v>876.9</v>
      </c>
      <c r="K10" s="31"/>
      <c r="L10" s="29"/>
      <c r="M10" s="29"/>
    </row>
    <row r="11" spans="1:13" ht="14.4" x14ac:dyDescent="0.3">
      <c r="A11" s="53">
        <v>7</v>
      </c>
      <c r="B11" s="255" t="str">
        <f>'Prevailing Wage'!C20</f>
        <v>Etc</v>
      </c>
      <c r="C11" s="31"/>
      <c r="D11" s="60"/>
      <c r="E11" s="31" t="s">
        <v>118</v>
      </c>
      <c r="F11" s="256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5" t="str">
        <f>'Prevailing Wage'!C21</f>
        <v>Etc</v>
      </c>
      <c r="C12" s="31"/>
      <c r="D12" s="60"/>
      <c r="E12" s="31" t="s">
        <v>118</v>
      </c>
      <c r="F12" s="256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157</v>
      </c>
      <c r="B13" s="58"/>
      <c r="C13" s="31"/>
      <c r="D13" s="60"/>
      <c r="E13" s="31" t="s">
        <v>118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112</v>
      </c>
      <c r="C15" s="30"/>
      <c r="D15" s="30"/>
      <c r="E15" s="30"/>
      <c r="F15" s="30"/>
      <c r="G15" s="30"/>
      <c r="H15" s="30"/>
      <c r="I15" s="30"/>
      <c r="J15" s="56">
        <f>SUM(J16:J24)</f>
        <v>16456.75</v>
      </c>
      <c r="K15" s="30"/>
      <c r="L15" s="29"/>
      <c r="M15" s="29"/>
    </row>
    <row r="16" spans="1:13" ht="14.4" x14ac:dyDescent="0.3">
      <c r="A16" s="53">
        <v>1</v>
      </c>
      <c r="B16" s="57" t="s">
        <v>187</v>
      </c>
      <c r="C16" s="31"/>
      <c r="D16" s="60">
        <v>1</v>
      </c>
      <c r="E16" s="31" t="s">
        <v>160</v>
      </c>
      <c r="F16" s="59">
        <v>10000</v>
      </c>
      <c r="G16" s="31"/>
      <c r="H16" s="31"/>
      <c r="I16" s="31"/>
      <c r="J16" s="50">
        <f>D16*F16</f>
        <v>10000</v>
      </c>
      <c r="K16" s="31"/>
      <c r="L16" s="29"/>
      <c r="M16" s="29"/>
    </row>
    <row r="17" spans="1:13" ht="14.4" x14ac:dyDescent="0.3">
      <c r="A17" s="53">
        <v>2</v>
      </c>
      <c r="B17" s="58" t="s">
        <v>188</v>
      </c>
      <c r="C17" s="31"/>
      <c r="D17" s="60">
        <v>44</v>
      </c>
      <c r="E17" s="31" t="s">
        <v>189</v>
      </c>
      <c r="F17" s="59">
        <v>31</v>
      </c>
      <c r="G17" s="31"/>
      <c r="H17" s="31"/>
      <c r="I17" s="31"/>
      <c r="J17" s="50">
        <f t="shared" ref="J17:J24" si="2">D17*F17</f>
        <v>1364</v>
      </c>
      <c r="K17" s="31"/>
      <c r="L17" s="29"/>
      <c r="M17" s="29"/>
    </row>
    <row r="18" spans="1:13" ht="14.4" x14ac:dyDescent="0.3">
      <c r="A18" s="53">
        <v>3</v>
      </c>
      <c r="B18" s="58" t="s">
        <v>190</v>
      </c>
      <c r="C18" s="31"/>
      <c r="D18" s="60">
        <v>1</v>
      </c>
      <c r="E18" s="31" t="s">
        <v>160</v>
      </c>
      <c r="F18" s="59">
        <v>150</v>
      </c>
      <c r="G18" s="31"/>
      <c r="H18" s="31"/>
      <c r="I18" s="31"/>
      <c r="J18" s="50">
        <f t="shared" si="2"/>
        <v>150</v>
      </c>
      <c r="K18" s="31"/>
      <c r="L18" s="29"/>
      <c r="M18" s="29"/>
    </row>
    <row r="19" spans="1:13" ht="14.4" x14ac:dyDescent="0.3">
      <c r="A19" s="53">
        <v>4</v>
      </c>
      <c r="B19" s="58" t="s">
        <v>191</v>
      </c>
      <c r="C19" s="31"/>
      <c r="D19" s="60">
        <v>1</v>
      </c>
      <c r="E19" s="31" t="s">
        <v>160</v>
      </c>
      <c r="F19" s="59">
        <v>1392.75</v>
      </c>
      <c r="G19" s="31"/>
      <c r="H19" s="31"/>
      <c r="I19" s="31"/>
      <c r="J19" s="50">
        <f t="shared" si="2"/>
        <v>1392.75</v>
      </c>
      <c r="K19" s="31"/>
      <c r="L19" s="29"/>
      <c r="M19" s="29"/>
    </row>
    <row r="20" spans="1:13" ht="14.4" x14ac:dyDescent="0.3">
      <c r="A20" s="53">
        <v>5</v>
      </c>
      <c r="B20" s="58" t="s">
        <v>192</v>
      </c>
      <c r="C20" s="31"/>
      <c r="D20" s="60">
        <v>1</v>
      </c>
      <c r="E20" s="31" t="s">
        <v>160</v>
      </c>
      <c r="F20" s="59">
        <v>1000</v>
      </c>
      <c r="G20" s="31"/>
      <c r="H20" s="31"/>
      <c r="I20" s="31"/>
      <c r="J20" s="50">
        <f t="shared" si="2"/>
        <v>1000</v>
      </c>
      <c r="K20" s="31"/>
      <c r="L20" s="29"/>
      <c r="M20" s="29"/>
    </row>
    <row r="21" spans="1:13" ht="14.4" x14ac:dyDescent="0.3">
      <c r="A21" s="53">
        <v>6</v>
      </c>
      <c r="B21" s="57" t="s">
        <v>174</v>
      </c>
      <c r="C21" s="31"/>
      <c r="D21" s="60">
        <v>1</v>
      </c>
      <c r="E21" s="31" t="s">
        <v>107</v>
      </c>
      <c r="F21" s="59">
        <v>550</v>
      </c>
      <c r="G21" s="31"/>
      <c r="H21" s="31"/>
      <c r="I21" s="31"/>
      <c r="J21" s="50">
        <f t="shared" si="2"/>
        <v>550</v>
      </c>
      <c r="K21" s="31"/>
      <c r="L21" s="29"/>
      <c r="M21" s="29"/>
    </row>
    <row r="22" spans="1:13" ht="14.4" x14ac:dyDescent="0.3">
      <c r="A22" s="53">
        <v>7</v>
      </c>
      <c r="B22" s="58" t="s">
        <v>186</v>
      </c>
      <c r="C22" s="31"/>
      <c r="D22" s="60">
        <v>1</v>
      </c>
      <c r="E22" s="31" t="s">
        <v>160</v>
      </c>
      <c r="F22" s="59">
        <v>2000</v>
      </c>
      <c r="G22" s="31"/>
      <c r="H22" s="31"/>
      <c r="I22" s="31"/>
      <c r="J22" s="50">
        <f t="shared" si="2"/>
        <v>2000</v>
      </c>
      <c r="K22" s="31"/>
      <c r="L22" s="29"/>
      <c r="M22" s="29"/>
    </row>
    <row r="23" spans="1:13" ht="14.4" x14ac:dyDescent="0.3">
      <c r="A23" s="53" t="s">
        <v>157</v>
      </c>
      <c r="B23" s="58"/>
      <c r="C23" s="31"/>
      <c r="D23" s="60"/>
      <c r="E23" s="31"/>
      <c r="F23" s="59"/>
      <c r="G23" s="31"/>
      <c r="H23" s="31"/>
      <c r="I23" s="31"/>
      <c r="J23" s="50">
        <f t="shared" si="2"/>
        <v>0</v>
      </c>
      <c r="K23" s="31"/>
      <c r="L23" s="29"/>
      <c r="M23" s="29"/>
    </row>
    <row r="24" spans="1:13" ht="14.4" hidden="1" customHeight="1" x14ac:dyDescent="0.3">
      <c r="A24" s="54" t="s">
        <v>162</v>
      </c>
      <c r="B24" s="58"/>
      <c r="C24" s="31"/>
      <c r="D24" s="60"/>
      <c r="E24" s="31"/>
      <c r="F24" s="59"/>
      <c r="G24" s="31"/>
      <c r="H24" s="31"/>
      <c r="I24" s="31"/>
      <c r="J24" s="50">
        <f t="shared" si="2"/>
        <v>0</v>
      </c>
      <c r="K24" s="31"/>
      <c r="L24" s="29"/>
      <c r="M24" s="29"/>
    </row>
    <row r="25" spans="1:13" ht="14.4" x14ac:dyDescent="0.3">
      <c r="A25" s="188"/>
      <c r="B25" s="52" t="s">
        <v>116</v>
      </c>
      <c r="C25" s="30"/>
      <c r="D25" s="30"/>
      <c r="E25" s="30"/>
      <c r="F25" s="30"/>
      <c r="G25" s="30"/>
      <c r="H25" s="30"/>
      <c r="I25" s="30"/>
      <c r="J25" s="56">
        <f>SUM(J26:J31)</f>
        <v>0</v>
      </c>
      <c r="K25" s="30"/>
    </row>
    <row r="26" spans="1:13" ht="14.4" x14ac:dyDescent="0.3">
      <c r="A26" s="53">
        <v>1</v>
      </c>
      <c r="B26" s="57"/>
      <c r="C26" s="31"/>
      <c r="D26" s="60"/>
      <c r="E26" s="31"/>
      <c r="F26" s="59"/>
      <c r="G26" s="31"/>
      <c r="H26" s="31"/>
      <c r="I26" s="31"/>
      <c r="J26" s="50">
        <f>D26*F26</f>
        <v>0</v>
      </c>
      <c r="K26" s="31"/>
    </row>
    <row r="27" spans="1:13" ht="14.4" x14ac:dyDescent="0.3">
      <c r="A27" s="53">
        <v>2</v>
      </c>
      <c r="B27" s="58"/>
      <c r="C27" s="31"/>
      <c r="D27" s="60"/>
      <c r="E27" s="31"/>
      <c r="F27" s="59"/>
      <c r="G27" s="31"/>
      <c r="H27" s="31"/>
      <c r="I27" s="31"/>
      <c r="J27" s="50">
        <f t="shared" ref="J27:J31" si="3">D27*F27</f>
        <v>0</v>
      </c>
      <c r="K27" s="239"/>
    </row>
    <row r="28" spans="1:13" ht="14.4" x14ac:dyDescent="0.3">
      <c r="A28" s="53">
        <v>3</v>
      </c>
      <c r="B28" s="58"/>
      <c r="C28" s="31"/>
      <c r="D28" s="60"/>
      <c r="E28" s="31"/>
      <c r="F28" s="59"/>
      <c r="G28" s="31"/>
      <c r="H28" s="31"/>
      <c r="I28" s="31"/>
      <c r="J28" s="50">
        <f t="shared" si="3"/>
        <v>0</v>
      </c>
      <c r="K28" s="31"/>
    </row>
    <row r="29" spans="1:13" ht="14.4" x14ac:dyDescent="0.3">
      <c r="A29" s="53">
        <v>4</v>
      </c>
      <c r="B29" s="58"/>
      <c r="C29" s="31"/>
      <c r="D29" s="60"/>
      <c r="E29" s="31"/>
      <c r="F29" s="59"/>
      <c r="G29" s="31"/>
      <c r="H29" s="31"/>
      <c r="I29" s="31"/>
      <c r="J29" s="50">
        <f t="shared" si="3"/>
        <v>0</v>
      </c>
      <c r="K29" s="31"/>
    </row>
    <row r="30" spans="1:13" ht="14.4" x14ac:dyDescent="0.3">
      <c r="A30" s="53" t="s">
        <v>157</v>
      </c>
      <c r="B30" s="58"/>
      <c r="C30" s="31"/>
      <c r="D30" s="60"/>
      <c r="E30" s="31"/>
      <c r="F30" s="59"/>
      <c r="G30" s="31"/>
      <c r="H30" s="31"/>
      <c r="I30" s="31"/>
      <c r="J30" s="50">
        <f t="shared" si="3"/>
        <v>0</v>
      </c>
      <c r="K30" s="31"/>
    </row>
    <row r="31" spans="1:13" ht="14.4" hidden="1" x14ac:dyDescent="0.3">
      <c r="A31" s="54" t="s">
        <v>162</v>
      </c>
      <c r="B31" s="58"/>
      <c r="C31" s="31"/>
      <c r="D31" s="60"/>
      <c r="E31" s="31"/>
      <c r="F31" s="59"/>
      <c r="G31" s="31"/>
      <c r="H31" s="31"/>
      <c r="I31" s="31"/>
      <c r="J31" s="50">
        <f t="shared" si="3"/>
        <v>0</v>
      </c>
      <c r="K31" s="31"/>
    </row>
    <row r="32" spans="1:13" ht="14.4" x14ac:dyDescent="0.3">
      <c r="A32" s="188"/>
      <c r="B32" s="52" t="s">
        <v>136</v>
      </c>
      <c r="C32" s="30"/>
      <c r="D32" s="30"/>
      <c r="E32" s="30"/>
      <c r="F32" s="30"/>
      <c r="G32" s="30"/>
      <c r="H32" s="30"/>
      <c r="I32" s="30"/>
      <c r="J32" s="56">
        <f>SUM(J33:J38)</f>
        <v>0</v>
      </c>
      <c r="K32" s="30"/>
    </row>
    <row r="33" spans="1:11" ht="14.4" x14ac:dyDescent="0.3">
      <c r="A33" s="53">
        <v>1</v>
      </c>
      <c r="B33" s="57"/>
      <c r="C33" s="31"/>
      <c r="D33" s="60"/>
      <c r="E33" s="31"/>
      <c r="F33" s="59"/>
      <c r="G33" s="31"/>
      <c r="H33" s="31"/>
      <c r="I33" s="31"/>
      <c r="J33" s="50">
        <f>D33*F33</f>
        <v>0</v>
      </c>
      <c r="K33" s="31"/>
    </row>
    <row r="34" spans="1:11" ht="14.4" x14ac:dyDescent="0.3">
      <c r="A34" s="53">
        <v>2</v>
      </c>
      <c r="B34" s="58"/>
      <c r="C34" s="31"/>
      <c r="D34" s="60"/>
      <c r="E34" s="31"/>
      <c r="F34" s="59"/>
      <c r="G34" s="31"/>
      <c r="H34" s="31"/>
      <c r="I34" s="31"/>
      <c r="J34" s="50">
        <f t="shared" ref="J34:J38" si="4">D34*F34</f>
        <v>0</v>
      </c>
      <c r="K34" s="31"/>
    </row>
    <row r="35" spans="1:11" ht="14.4" x14ac:dyDescent="0.3">
      <c r="A35" s="53">
        <v>3</v>
      </c>
      <c r="B35" s="58"/>
      <c r="C35" s="31"/>
      <c r="D35" s="60"/>
      <c r="E35" s="31"/>
      <c r="F35" s="59"/>
      <c r="G35" s="31"/>
      <c r="H35" s="31"/>
      <c r="I35" s="31"/>
      <c r="J35" s="50">
        <f t="shared" si="4"/>
        <v>0</v>
      </c>
      <c r="K35" s="31"/>
    </row>
    <row r="36" spans="1:11" ht="14.4" x14ac:dyDescent="0.3">
      <c r="A36" s="53">
        <v>4</v>
      </c>
      <c r="B36" s="58"/>
      <c r="C36" s="31"/>
      <c r="D36" s="60"/>
      <c r="E36" s="31"/>
      <c r="F36" s="59"/>
      <c r="G36" s="31"/>
      <c r="H36" s="31"/>
      <c r="I36" s="31"/>
      <c r="J36" s="50">
        <f t="shared" si="4"/>
        <v>0</v>
      </c>
      <c r="K36" s="31"/>
    </row>
    <row r="37" spans="1:11" ht="14.4" x14ac:dyDescent="0.3">
      <c r="A37" s="53" t="s">
        <v>157</v>
      </c>
      <c r="B37" s="58"/>
      <c r="C37" s="31"/>
      <c r="D37" s="60"/>
      <c r="E37" s="31"/>
      <c r="F37" s="59"/>
      <c r="G37" s="31"/>
      <c r="H37" s="31"/>
      <c r="I37" s="31"/>
      <c r="J37" s="50">
        <f t="shared" si="4"/>
        <v>0</v>
      </c>
      <c r="K37" s="31"/>
    </row>
    <row r="38" spans="1:11" ht="14.4" hidden="1" x14ac:dyDescent="0.3">
      <c r="A38" s="54" t="s">
        <v>162</v>
      </c>
      <c r="B38" s="58"/>
      <c r="C38" s="31"/>
      <c r="D38" s="60"/>
      <c r="E38" s="31"/>
      <c r="F38" s="59"/>
      <c r="G38" s="31"/>
      <c r="H38" s="31"/>
      <c r="I38" s="31"/>
      <c r="J38" s="50">
        <f t="shared" si="4"/>
        <v>0</v>
      </c>
      <c r="K38" s="31"/>
    </row>
    <row r="39" spans="1:11" ht="14.4" x14ac:dyDescent="0.3">
      <c r="A39" s="188"/>
      <c r="B39" s="52" t="s">
        <v>121</v>
      </c>
      <c r="C39" s="30"/>
      <c r="D39" s="30"/>
      <c r="E39" s="30"/>
      <c r="F39" s="30"/>
      <c r="G39" s="30"/>
      <c r="H39" s="30"/>
      <c r="I39" s="30"/>
      <c r="J39" s="56">
        <f>SUM(J40:J45)</f>
        <v>1680.85</v>
      </c>
      <c r="K39" s="30"/>
    </row>
    <row r="40" spans="1:11" ht="14.4" x14ac:dyDescent="0.3">
      <c r="A40" s="53">
        <v>1</v>
      </c>
      <c r="B40" s="57" t="s">
        <v>164</v>
      </c>
      <c r="C40" s="31"/>
      <c r="D40" s="60">
        <f>3/20</f>
        <v>0.15</v>
      </c>
      <c r="E40" s="31" t="s">
        <v>165</v>
      </c>
      <c r="F40" s="59">
        <v>6054</v>
      </c>
      <c r="G40" s="31"/>
      <c r="H40" s="31"/>
      <c r="I40" s="31"/>
      <c r="J40" s="50">
        <f>D40*F40</f>
        <v>908.1</v>
      </c>
      <c r="K40" s="31" t="s">
        <v>166</v>
      </c>
    </row>
    <row r="41" spans="1:11" ht="14.4" x14ac:dyDescent="0.3">
      <c r="A41" s="53">
        <v>2</v>
      </c>
      <c r="B41" s="58" t="s">
        <v>167</v>
      </c>
      <c r="C41" s="31"/>
      <c r="D41" s="60">
        <f>3/20</f>
        <v>0.15</v>
      </c>
      <c r="E41" s="31" t="s">
        <v>165</v>
      </c>
      <c r="F41" s="59">
        <v>4345</v>
      </c>
      <c r="G41" s="31"/>
      <c r="H41" s="31"/>
      <c r="I41" s="31"/>
      <c r="J41" s="50">
        <f t="shared" ref="J41:J42" si="5">D41*F41</f>
        <v>651.75</v>
      </c>
      <c r="K41" s="239" t="s">
        <v>168</v>
      </c>
    </row>
    <row r="42" spans="1:11" ht="14.4" x14ac:dyDescent="0.3">
      <c r="A42" s="53">
        <v>3</v>
      </c>
      <c r="B42" s="58" t="s">
        <v>169</v>
      </c>
      <c r="C42" s="31"/>
      <c r="D42" s="269">
        <v>0.2</v>
      </c>
      <c r="E42" s="31" t="s">
        <v>165</v>
      </c>
      <c r="F42" s="59">
        <v>605</v>
      </c>
      <c r="G42" s="31"/>
      <c r="H42" s="31"/>
      <c r="I42" s="31"/>
      <c r="J42" s="50">
        <f t="shared" si="5"/>
        <v>121</v>
      </c>
      <c r="K42" s="31"/>
    </row>
    <row r="43" spans="1:11" ht="14.4" x14ac:dyDescent="0.3">
      <c r="A43" s="53">
        <v>4</v>
      </c>
      <c r="B43" s="58"/>
      <c r="C43" s="31"/>
      <c r="D43" s="60"/>
      <c r="E43" s="31"/>
      <c r="F43" s="59"/>
      <c r="G43" s="31"/>
      <c r="H43" s="31"/>
      <c r="I43" s="31"/>
      <c r="J43" s="50">
        <f t="shared" ref="J43:J45" si="6">D43*F43</f>
        <v>0</v>
      </c>
      <c r="K43" s="31"/>
    </row>
    <row r="44" spans="1:11" ht="14.4" x14ac:dyDescent="0.3">
      <c r="A44" s="53" t="s">
        <v>157</v>
      </c>
      <c r="B44" s="58"/>
      <c r="C44" s="31"/>
      <c r="D44" s="60"/>
      <c r="E44" s="31"/>
      <c r="F44" s="59"/>
      <c r="G44" s="31"/>
      <c r="H44" s="31"/>
      <c r="I44" s="31"/>
      <c r="J44" s="50">
        <f t="shared" si="6"/>
        <v>0</v>
      </c>
      <c r="K44" s="31"/>
    </row>
    <row r="45" spans="1:11" ht="14.4" hidden="1" x14ac:dyDescent="0.3">
      <c r="A45" s="54" t="s">
        <v>162</v>
      </c>
      <c r="B45" s="58"/>
      <c r="C45" s="31"/>
      <c r="D45" s="60"/>
      <c r="E45" s="31"/>
      <c r="F45" s="59"/>
      <c r="G45" s="31"/>
      <c r="H45" s="31"/>
      <c r="I45" s="31"/>
      <c r="J45" s="50">
        <f t="shared" si="6"/>
        <v>0</v>
      </c>
      <c r="K45" s="31"/>
    </row>
    <row r="46" spans="1:11" ht="14.4" x14ac:dyDescent="0.3">
      <c r="A46" s="188"/>
      <c r="B46" s="52" t="s">
        <v>123</v>
      </c>
      <c r="C46" s="30"/>
      <c r="D46" s="30"/>
      <c r="E46" s="30"/>
      <c r="F46" s="30"/>
      <c r="G46" s="30"/>
      <c r="H46" s="30"/>
      <c r="I46" s="30"/>
      <c r="J46" s="56">
        <f>SUM(J47:J52)</f>
        <v>2160</v>
      </c>
      <c r="K46" s="30"/>
    </row>
    <row r="47" spans="1:11" ht="14.4" x14ac:dyDescent="0.3">
      <c r="A47" s="53">
        <v>1</v>
      </c>
      <c r="B47" s="57" t="s">
        <v>170</v>
      </c>
      <c r="C47" s="31"/>
      <c r="D47" s="60">
        <f>D8*15</f>
        <v>360</v>
      </c>
      <c r="E47" s="31" t="s">
        <v>171</v>
      </c>
      <c r="F47" s="59">
        <v>6</v>
      </c>
      <c r="G47" s="31"/>
      <c r="H47" s="31"/>
      <c r="I47" s="31"/>
      <c r="J47" s="50">
        <f>D47*F47</f>
        <v>2160</v>
      </c>
      <c r="K47" s="31"/>
    </row>
    <row r="48" spans="1:11" ht="14.4" x14ac:dyDescent="0.3">
      <c r="A48" s="53">
        <v>2</v>
      </c>
      <c r="B48" s="58" t="s">
        <v>172</v>
      </c>
      <c r="C48" s="31"/>
      <c r="D48" s="60"/>
      <c r="E48" s="31"/>
      <c r="F48" s="59"/>
      <c r="G48" s="31"/>
      <c r="H48" s="31"/>
      <c r="I48" s="31"/>
      <c r="J48" s="50">
        <f t="shared" ref="J48:J52" si="7">D48*F48</f>
        <v>0</v>
      </c>
      <c r="K48" s="31"/>
    </row>
    <row r="49" spans="1:11" ht="14.4" x14ac:dyDescent="0.3">
      <c r="A49" s="53">
        <v>3</v>
      </c>
      <c r="B49" s="58"/>
      <c r="C49" s="31"/>
      <c r="D49" s="60"/>
      <c r="E49" s="31"/>
      <c r="F49" s="59"/>
      <c r="G49" s="31"/>
      <c r="H49" s="31"/>
      <c r="I49" s="31"/>
      <c r="J49" s="50">
        <f t="shared" si="7"/>
        <v>0</v>
      </c>
      <c r="K49" s="31"/>
    </row>
    <row r="50" spans="1:11" ht="14.4" x14ac:dyDescent="0.3">
      <c r="A50" s="53">
        <v>4</v>
      </c>
      <c r="B50" s="58"/>
      <c r="C50" s="31"/>
      <c r="D50" s="60"/>
      <c r="E50" s="31"/>
      <c r="F50" s="59"/>
      <c r="G50" s="31"/>
      <c r="H50" s="31"/>
      <c r="I50" s="31"/>
      <c r="J50" s="50">
        <f t="shared" si="7"/>
        <v>0</v>
      </c>
      <c r="K50" s="31"/>
    </row>
    <row r="51" spans="1:11" ht="14.4" x14ac:dyDescent="0.3">
      <c r="A51" s="53" t="s">
        <v>157</v>
      </c>
      <c r="B51" s="58"/>
      <c r="C51" s="31"/>
      <c r="D51" s="60"/>
      <c r="E51" s="31"/>
      <c r="F51" s="59"/>
      <c r="G51" s="31"/>
      <c r="H51" s="31"/>
      <c r="I51" s="31"/>
      <c r="J51" s="50">
        <f t="shared" si="7"/>
        <v>0</v>
      </c>
      <c r="K51" s="31"/>
    </row>
    <row r="52" spans="1:11" ht="14.4" hidden="1" x14ac:dyDescent="0.3">
      <c r="A52" s="54" t="s">
        <v>162</v>
      </c>
      <c r="B52" s="58"/>
      <c r="C52" s="31"/>
      <c r="D52" s="60"/>
      <c r="E52" s="31"/>
      <c r="F52" s="59"/>
      <c r="G52" s="31"/>
      <c r="H52" s="31"/>
      <c r="I52" s="31"/>
      <c r="J52" s="50">
        <f t="shared" si="7"/>
        <v>0</v>
      </c>
      <c r="K52" s="31"/>
    </row>
    <row r="53" spans="1:11" ht="14.4" x14ac:dyDescent="0.3">
      <c r="A53" s="188"/>
      <c r="B53" s="52" t="s">
        <v>120</v>
      </c>
      <c r="C53" s="30"/>
      <c r="D53" s="30"/>
      <c r="E53" s="30"/>
      <c r="F53" s="30"/>
      <c r="G53" s="30"/>
      <c r="H53" s="30"/>
      <c r="I53" s="30"/>
      <c r="J53" s="56">
        <f>SUM(J54:J59)</f>
        <v>0</v>
      </c>
      <c r="K53" s="30"/>
    </row>
    <row r="54" spans="1:11" ht="14.4" x14ac:dyDescent="0.3">
      <c r="A54" s="53">
        <v>1</v>
      </c>
      <c r="B54" s="58"/>
      <c r="C54" s="31"/>
      <c r="D54" s="60"/>
      <c r="E54" s="31"/>
      <c r="F54" s="59"/>
      <c r="G54" s="31"/>
      <c r="H54" s="31"/>
      <c r="I54" s="31"/>
      <c r="J54" s="50">
        <f t="shared" ref="J54" si="8">D54*F54</f>
        <v>0</v>
      </c>
      <c r="K54" s="31" t="s">
        <v>193</v>
      </c>
    </row>
    <row r="55" spans="1:11" ht="14.4" x14ac:dyDescent="0.3">
      <c r="A55" s="53">
        <v>2</v>
      </c>
      <c r="B55" s="58"/>
      <c r="C55" s="31"/>
      <c r="D55" s="60"/>
      <c r="E55" s="31"/>
      <c r="F55" s="59"/>
      <c r="G55" s="31"/>
      <c r="H55" s="31"/>
      <c r="I55" s="31"/>
      <c r="J55" s="50">
        <f t="shared" ref="J55:J59" si="9">D55*F55</f>
        <v>0</v>
      </c>
      <c r="K55" s="31"/>
    </row>
    <row r="56" spans="1:11" ht="14.4" x14ac:dyDescent="0.3">
      <c r="A56" s="53">
        <v>3</v>
      </c>
      <c r="B56" s="58"/>
      <c r="C56" s="31"/>
      <c r="D56" s="60"/>
      <c r="E56" s="31"/>
      <c r="F56" s="59"/>
      <c r="G56" s="31"/>
      <c r="H56" s="31"/>
      <c r="I56" s="31"/>
      <c r="J56" s="50">
        <f t="shared" si="9"/>
        <v>0</v>
      </c>
      <c r="K56" s="31"/>
    </row>
    <row r="57" spans="1:11" ht="14.4" x14ac:dyDescent="0.3">
      <c r="A57" s="53">
        <v>4</v>
      </c>
      <c r="B57" s="58"/>
      <c r="C57" s="31"/>
      <c r="D57" s="60"/>
      <c r="E57" s="31"/>
      <c r="F57" s="59"/>
      <c r="G57" s="31"/>
      <c r="H57" s="31"/>
      <c r="I57" s="31"/>
      <c r="J57" s="50">
        <f t="shared" si="9"/>
        <v>0</v>
      </c>
      <c r="K57" s="31"/>
    </row>
    <row r="58" spans="1:11" ht="14.4" x14ac:dyDescent="0.3">
      <c r="A58" s="53" t="s">
        <v>157</v>
      </c>
      <c r="B58" s="58"/>
      <c r="C58" s="31"/>
      <c r="D58" s="60"/>
      <c r="E58" s="31"/>
      <c r="F58" s="59"/>
      <c r="G58" s="31"/>
      <c r="H58" s="31"/>
      <c r="I58" s="31"/>
      <c r="J58" s="50">
        <f t="shared" si="9"/>
        <v>0</v>
      </c>
      <c r="K58" s="31"/>
    </row>
    <row r="59" spans="1:11" ht="14.4" hidden="1" x14ac:dyDescent="0.3">
      <c r="A59" s="54" t="s">
        <v>162</v>
      </c>
      <c r="B59" s="58"/>
      <c r="C59" s="31"/>
      <c r="D59" s="60"/>
      <c r="E59" s="31"/>
      <c r="F59" s="59"/>
      <c r="G59" s="31"/>
      <c r="H59" s="31"/>
      <c r="I59" s="31"/>
      <c r="J59" s="50">
        <f t="shared" si="9"/>
        <v>0</v>
      </c>
      <c r="K59" s="31"/>
    </row>
  </sheetData>
  <hyperlinks>
    <hyperlink ref="K41" r:id="rId1" xr:uid="{6E152F30-29F1-460B-92F0-4679C590862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172B7-2A5B-4786-90B4-8CA6613E917B}">
  <sheetPr>
    <tabColor rgb="FF92D050"/>
  </sheetPr>
  <dimension ref="A1:M60"/>
  <sheetViews>
    <sheetView zoomScale="90" zoomScaleNormal="90" workbookViewId="0">
      <selection activeCell="F19" sqref="F19"/>
    </sheetView>
  </sheetViews>
  <sheetFormatPr defaultRowHeight="13.2" x14ac:dyDescent="0.25"/>
  <cols>
    <col min="2" max="2" width="50.44140625" bestFit="1" customWidth="1"/>
    <col min="3" max="3" width="17.33203125" customWidth="1"/>
    <col min="4" max="4" width="7.77734375" customWidth="1"/>
    <col min="5" max="5" width="8.77734375" customWidth="1"/>
    <col min="6" max="6" width="13.44140625" bestFit="1" customWidth="1"/>
    <col min="7" max="7" width="13.77734375" customWidth="1"/>
    <col min="8" max="8" width="11.77734375" bestFit="1" customWidth="1"/>
    <col min="9" max="9" width="13.6640625" customWidth="1"/>
    <col min="10" max="10" width="13.44140625" bestFit="1" customWidth="1"/>
    <col min="11" max="11" width="72.6640625" customWidth="1"/>
    <col min="12" max="12" width="10.109375" bestFit="1" customWidth="1"/>
  </cols>
  <sheetData>
    <row r="1" spans="1:13" ht="14.4" x14ac:dyDescent="0.3">
      <c r="I1" s="252" t="s">
        <v>147</v>
      </c>
      <c r="J1" s="253">
        <f>J4+J15+J26+J33+J40+J47+J54</f>
        <v>24203.56</v>
      </c>
      <c r="K1" t="s">
        <v>96</v>
      </c>
    </row>
    <row r="2" spans="1:13" ht="18" x14ac:dyDescent="0.3">
      <c r="B2" s="146" t="str">
        <f>'Bid Summary'!F8</f>
        <v xml:space="preserve">Lateral DE-1-A-1 Connection (15-inch Asbestos-Cement at STA 50+22.34) </v>
      </c>
      <c r="C2" s="147"/>
      <c r="D2" s="29"/>
      <c r="E2" s="55"/>
      <c r="F2" s="29"/>
      <c r="G2" s="29"/>
      <c r="H2" s="29"/>
      <c r="I2" s="29"/>
      <c r="J2" s="29"/>
      <c r="K2" s="29"/>
      <c r="L2" s="29"/>
      <c r="M2" s="29"/>
    </row>
    <row r="3" spans="1:13" ht="14.4" x14ac:dyDescent="0.3">
      <c r="A3" s="53"/>
      <c r="B3" s="51" t="s">
        <v>148</v>
      </c>
      <c r="C3" s="49" t="s">
        <v>149</v>
      </c>
      <c r="D3" s="49" t="s">
        <v>8</v>
      </c>
      <c r="E3" s="49" t="s">
        <v>150</v>
      </c>
      <c r="F3" s="49" t="s">
        <v>151</v>
      </c>
      <c r="G3" s="49" t="s">
        <v>152</v>
      </c>
      <c r="H3" s="49" t="s">
        <v>175</v>
      </c>
      <c r="I3" s="49" t="s">
        <v>153</v>
      </c>
      <c r="J3" s="49" t="s">
        <v>94</v>
      </c>
      <c r="K3" s="49" t="s">
        <v>154</v>
      </c>
      <c r="L3" s="29"/>
      <c r="M3" s="29"/>
    </row>
    <row r="4" spans="1:13" ht="14.4" x14ac:dyDescent="0.3">
      <c r="A4" s="188"/>
      <c r="B4" s="52" t="s">
        <v>109</v>
      </c>
      <c r="C4" s="30"/>
      <c r="D4" s="30"/>
      <c r="E4" s="30"/>
      <c r="F4" s="30"/>
      <c r="G4" s="30"/>
      <c r="H4" s="30"/>
      <c r="I4" s="30"/>
      <c r="J4" s="56">
        <f>SUM(J5:J14)</f>
        <v>7404.16</v>
      </c>
      <c r="K4" s="30"/>
      <c r="L4" s="29"/>
      <c r="M4" s="29"/>
    </row>
    <row r="5" spans="1:13" ht="14.4" x14ac:dyDescent="0.3">
      <c r="A5" s="53">
        <v>1</v>
      </c>
      <c r="B5" s="255" t="str">
        <f>'Prevailing Wage'!C14</f>
        <v>Labor Lead</v>
      </c>
      <c r="C5" s="31"/>
      <c r="D5" s="60">
        <v>16</v>
      </c>
      <c r="E5" s="31" t="s">
        <v>118</v>
      </c>
      <c r="F5" s="256">
        <f>'Prevailing Wage'!D14</f>
        <v>74.69</v>
      </c>
      <c r="G5" s="31"/>
      <c r="H5" s="31"/>
      <c r="I5" s="31"/>
      <c r="J5" s="50">
        <f>D5*F5</f>
        <v>1195.04</v>
      </c>
      <c r="K5" s="31" t="s">
        <v>158</v>
      </c>
      <c r="L5" s="29"/>
      <c r="M5" s="29"/>
    </row>
    <row r="6" spans="1:13" ht="14.4" x14ac:dyDescent="0.3">
      <c r="A6" s="53">
        <v>2</v>
      </c>
      <c r="B6" s="255" t="str">
        <f>'Prevailing Wage'!C15</f>
        <v>Laborer</v>
      </c>
      <c r="C6" s="31"/>
      <c r="D6" s="225">
        <f>D5*'Bid Schedule'!$N$3</f>
        <v>48</v>
      </c>
      <c r="E6" s="31" t="s">
        <v>118</v>
      </c>
      <c r="F6" s="256">
        <f>'Prevailing Wage'!D15</f>
        <v>71.69</v>
      </c>
      <c r="G6" s="31"/>
      <c r="H6" s="31"/>
      <c r="I6" s="31"/>
      <c r="J6" s="50">
        <f t="shared" ref="J6:J12" si="0">D6*F6</f>
        <v>3441.12</v>
      </c>
      <c r="K6" s="225" t="s">
        <v>159</v>
      </c>
      <c r="L6" s="29"/>
      <c r="M6" s="29"/>
    </row>
    <row r="7" spans="1:13" ht="14.4" x14ac:dyDescent="0.3">
      <c r="A7" s="53">
        <v>3</v>
      </c>
      <c r="B7" s="255" t="str">
        <f>'Prevailing Wage'!C16</f>
        <v>Operator</v>
      </c>
      <c r="C7" s="31"/>
      <c r="D7" s="60">
        <v>16</v>
      </c>
      <c r="E7" s="31" t="s">
        <v>118</v>
      </c>
      <c r="F7" s="256">
        <f>'Prevailing Wage'!D16</f>
        <v>96.29</v>
      </c>
      <c r="G7" s="31"/>
      <c r="H7" s="31"/>
      <c r="I7" s="31"/>
      <c r="J7" s="50">
        <f t="shared" si="0"/>
        <v>1540.64</v>
      </c>
      <c r="K7" s="31"/>
      <c r="L7" s="29"/>
      <c r="M7" s="29"/>
    </row>
    <row r="8" spans="1:13" ht="14.4" x14ac:dyDescent="0.3">
      <c r="A8" s="53">
        <v>4</v>
      </c>
      <c r="B8" s="255" t="str">
        <f>'Prevailing Wage'!C17</f>
        <v>Driver</v>
      </c>
      <c r="C8" s="31"/>
      <c r="D8" s="60">
        <v>16</v>
      </c>
      <c r="E8" s="31" t="s">
        <v>118</v>
      </c>
      <c r="F8" s="256">
        <f>'Prevailing Wage'!D17</f>
        <v>76.709999999999994</v>
      </c>
      <c r="G8" s="31"/>
      <c r="H8" s="31"/>
      <c r="I8" s="31"/>
      <c r="J8" s="50">
        <f t="shared" si="0"/>
        <v>1227.3599999999999</v>
      </c>
      <c r="K8" s="31"/>
      <c r="L8" s="29"/>
      <c r="M8" s="29"/>
    </row>
    <row r="9" spans="1:13" ht="14.4" x14ac:dyDescent="0.3">
      <c r="A9" s="53">
        <v>5</v>
      </c>
      <c r="B9" s="255" t="str">
        <f>'Prevailing Wage'!C18</f>
        <v>Landscaper</v>
      </c>
      <c r="C9" s="31"/>
      <c r="D9" s="60"/>
      <c r="E9" s="31" t="s">
        <v>118</v>
      </c>
      <c r="F9" s="256">
        <f>'Prevailing Wage'!D18</f>
        <v>0</v>
      </c>
      <c r="G9" s="31"/>
      <c r="H9" s="31"/>
      <c r="I9" s="31"/>
      <c r="J9" s="50">
        <f t="shared" si="0"/>
        <v>0</v>
      </c>
      <c r="K9" s="31"/>
      <c r="L9" s="29"/>
      <c r="M9" s="29"/>
    </row>
    <row r="10" spans="1:13" ht="14.4" x14ac:dyDescent="0.3">
      <c r="A10" s="53">
        <v>6</v>
      </c>
      <c r="B10" s="255" t="str">
        <f>'Prevailing Wage'!C19</f>
        <v>Pipefitter</v>
      </c>
      <c r="C10" s="31"/>
      <c r="D10" s="60"/>
      <c r="E10" s="31" t="s">
        <v>118</v>
      </c>
      <c r="F10" s="256">
        <f>'Prevailing Wage'!D19</f>
        <v>87.69</v>
      </c>
      <c r="G10" s="31"/>
      <c r="H10" s="31"/>
      <c r="I10" s="31"/>
      <c r="J10" s="50">
        <f t="shared" si="0"/>
        <v>0</v>
      </c>
      <c r="K10" s="31"/>
      <c r="L10" s="29"/>
      <c r="M10" s="29"/>
    </row>
    <row r="11" spans="1:13" ht="14.4" x14ac:dyDescent="0.3">
      <c r="A11" s="53">
        <v>7</v>
      </c>
      <c r="B11" s="255" t="str">
        <f>'Prevailing Wage'!C20</f>
        <v>Etc</v>
      </c>
      <c r="C11" s="31"/>
      <c r="D11" s="60"/>
      <c r="E11" s="31" t="s">
        <v>118</v>
      </c>
      <c r="F11" s="256">
        <f>'Prevailing Wage'!D20</f>
        <v>0</v>
      </c>
      <c r="G11" s="31"/>
      <c r="H11" s="31"/>
      <c r="I11" s="31"/>
      <c r="J11" s="50">
        <f t="shared" si="0"/>
        <v>0</v>
      </c>
      <c r="K11" s="31"/>
      <c r="L11" s="29"/>
      <c r="M11" s="29"/>
    </row>
    <row r="12" spans="1:13" ht="14.4" x14ac:dyDescent="0.3">
      <c r="A12" s="53">
        <v>8</v>
      </c>
      <c r="B12" s="255" t="str">
        <f>'Prevailing Wage'!C21</f>
        <v>Etc</v>
      </c>
      <c r="C12" s="31"/>
      <c r="D12" s="60"/>
      <c r="E12" s="31" t="s">
        <v>118</v>
      </c>
      <c r="F12" s="256">
        <f>'Prevailing Wage'!D21</f>
        <v>0</v>
      </c>
      <c r="G12" s="31"/>
      <c r="H12" s="31"/>
      <c r="I12" s="31"/>
      <c r="J12" s="50">
        <f t="shared" si="0"/>
        <v>0</v>
      </c>
      <c r="K12" s="31"/>
      <c r="L12" s="29"/>
      <c r="M12" s="29"/>
    </row>
    <row r="13" spans="1:13" ht="14.4" x14ac:dyDescent="0.3">
      <c r="A13" s="53" t="s">
        <v>157</v>
      </c>
      <c r="B13" s="58"/>
      <c r="C13" s="31"/>
      <c r="D13" s="60"/>
      <c r="E13" s="31" t="s">
        <v>118</v>
      </c>
      <c r="F13" s="59"/>
      <c r="G13" s="31"/>
      <c r="H13" s="31"/>
      <c r="I13" s="31"/>
      <c r="J13" s="50">
        <f t="shared" ref="J13" si="1">D13*F13</f>
        <v>0</v>
      </c>
      <c r="K13" s="31"/>
      <c r="L13" s="29"/>
      <c r="M13" s="29"/>
    </row>
    <row r="14" spans="1:13" ht="14.4" hidden="1" x14ac:dyDescent="0.3">
      <c r="A14" s="53"/>
      <c r="B14" s="51"/>
      <c r="C14" s="49"/>
      <c r="D14" s="49"/>
      <c r="E14" s="49"/>
      <c r="F14" s="49"/>
      <c r="G14" s="49"/>
      <c r="H14" s="49"/>
      <c r="I14" s="49"/>
      <c r="J14" s="49"/>
      <c r="K14" s="49"/>
      <c r="L14" s="29"/>
      <c r="M14" s="29"/>
    </row>
    <row r="15" spans="1:13" ht="14.4" x14ac:dyDescent="0.3">
      <c r="A15" s="188"/>
      <c r="B15" s="52" t="s">
        <v>112</v>
      </c>
      <c r="C15" s="30"/>
      <c r="D15" s="30"/>
      <c r="E15" s="30"/>
      <c r="F15" s="30"/>
      <c r="G15" s="30"/>
      <c r="H15" s="30"/>
      <c r="I15" s="30"/>
      <c r="J15" s="56">
        <f>SUM(J16:J25)</f>
        <v>15638.5</v>
      </c>
      <c r="K15" s="30"/>
      <c r="L15" s="29"/>
      <c r="M15" s="29"/>
    </row>
    <row r="16" spans="1:13" ht="14.4" x14ac:dyDescent="0.3">
      <c r="A16" s="53">
        <v>1</v>
      </c>
      <c r="B16" s="57" t="s">
        <v>194</v>
      </c>
      <c r="C16" s="31"/>
      <c r="D16" s="60">
        <v>1</v>
      </c>
      <c r="E16" s="31" t="s">
        <v>160</v>
      </c>
      <c r="F16" s="59">
        <v>10000</v>
      </c>
      <c r="G16" s="31"/>
      <c r="H16" s="31"/>
      <c r="I16" s="31"/>
      <c r="J16" s="50">
        <f>D16*F16</f>
        <v>10000</v>
      </c>
      <c r="K16" s="31"/>
      <c r="L16" s="29"/>
      <c r="M16" s="29"/>
    </row>
    <row r="17" spans="1:13" ht="14.4" x14ac:dyDescent="0.3">
      <c r="A17" s="53">
        <v>2</v>
      </c>
      <c r="B17" s="58" t="s">
        <v>195</v>
      </c>
      <c r="C17" s="31"/>
      <c r="D17" s="60">
        <v>20</v>
      </c>
      <c r="E17" s="31" t="s">
        <v>196</v>
      </c>
      <c r="F17" s="59">
        <v>25</v>
      </c>
      <c r="G17" s="31"/>
      <c r="H17" s="31"/>
      <c r="I17" s="31"/>
      <c r="J17" s="50">
        <f t="shared" ref="J17:J25" si="2">D17*F17</f>
        <v>500</v>
      </c>
      <c r="K17" s="31"/>
      <c r="L17" s="29"/>
      <c r="M17" s="29"/>
    </row>
    <row r="18" spans="1:13" ht="14.4" x14ac:dyDescent="0.3">
      <c r="A18" s="53">
        <v>3</v>
      </c>
      <c r="B18" s="58" t="s">
        <v>197</v>
      </c>
      <c r="C18" s="31"/>
      <c r="D18" s="60">
        <v>1</v>
      </c>
      <c r="E18" s="31" t="s">
        <v>160</v>
      </c>
      <c r="F18" s="59">
        <f>658.5+3930</f>
        <v>4588.5</v>
      </c>
      <c r="G18" s="31"/>
      <c r="H18" s="31"/>
      <c r="I18" s="31"/>
      <c r="J18" s="50">
        <f t="shared" si="2"/>
        <v>4588.5</v>
      </c>
      <c r="K18" s="31"/>
      <c r="L18" s="29"/>
      <c r="M18" s="29"/>
    </row>
    <row r="19" spans="1:13" ht="14.4" x14ac:dyDescent="0.3">
      <c r="A19" s="53">
        <v>4</v>
      </c>
      <c r="B19" s="58" t="s">
        <v>198</v>
      </c>
      <c r="C19" s="31"/>
      <c r="D19" s="60">
        <v>1</v>
      </c>
      <c r="E19" s="31" t="s">
        <v>160</v>
      </c>
      <c r="F19" s="59">
        <v>550</v>
      </c>
      <c r="G19" s="31"/>
      <c r="H19" s="31"/>
      <c r="I19" s="31"/>
      <c r="J19" s="50">
        <f t="shared" si="2"/>
        <v>550</v>
      </c>
      <c r="K19" s="31"/>
      <c r="L19" s="29"/>
      <c r="M19" s="29"/>
    </row>
    <row r="20" spans="1:13" ht="14.4" x14ac:dyDescent="0.3">
      <c r="A20" s="53">
        <v>5</v>
      </c>
      <c r="B20" s="58"/>
      <c r="C20" s="31"/>
      <c r="D20" s="60"/>
      <c r="E20" s="31"/>
      <c r="F20" s="59"/>
      <c r="G20" s="31"/>
      <c r="H20" s="31"/>
      <c r="I20" s="31"/>
      <c r="J20" s="50"/>
      <c r="K20" s="31"/>
      <c r="L20" s="29"/>
      <c r="M20" s="29"/>
    </row>
    <row r="21" spans="1:13" ht="14.4" x14ac:dyDescent="0.3">
      <c r="A21" s="53">
        <v>6</v>
      </c>
      <c r="B21" s="58"/>
      <c r="C21" s="31"/>
      <c r="D21" s="60"/>
      <c r="E21" s="31"/>
      <c r="F21" s="59"/>
      <c r="G21" s="31"/>
      <c r="H21" s="31"/>
      <c r="I21" s="31"/>
      <c r="J21" s="50"/>
      <c r="K21" s="31"/>
      <c r="L21" s="29"/>
      <c r="M21" s="29"/>
    </row>
    <row r="22" spans="1:13" ht="14.4" x14ac:dyDescent="0.3">
      <c r="A22" s="53">
        <v>7</v>
      </c>
      <c r="B22" s="58"/>
      <c r="C22" s="31"/>
      <c r="D22" s="60"/>
      <c r="E22" s="31"/>
      <c r="F22" s="59"/>
      <c r="G22" s="31"/>
      <c r="H22" s="31"/>
      <c r="I22" s="31"/>
      <c r="J22" s="50"/>
      <c r="K22" s="31"/>
      <c r="L22" s="29"/>
      <c r="M22" s="29"/>
    </row>
    <row r="23" spans="1:13" ht="14.4" x14ac:dyDescent="0.3">
      <c r="A23" s="53">
        <v>8</v>
      </c>
      <c r="B23" s="58"/>
      <c r="C23" s="31"/>
      <c r="D23" s="60"/>
      <c r="E23" s="31"/>
      <c r="F23" s="59"/>
      <c r="G23" s="31"/>
      <c r="H23" s="31"/>
      <c r="I23" s="31"/>
      <c r="J23" s="50"/>
      <c r="K23" s="31"/>
      <c r="L23" s="29"/>
      <c r="M23" s="29"/>
    </row>
    <row r="24" spans="1:13" ht="14.4" x14ac:dyDescent="0.3">
      <c r="A24" s="53" t="s">
        <v>157</v>
      </c>
      <c r="B24" s="58"/>
      <c r="C24" s="31"/>
      <c r="D24" s="60"/>
      <c r="E24" s="31"/>
      <c r="F24" s="59"/>
      <c r="G24" s="31"/>
      <c r="H24" s="31"/>
      <c r="I24" s="31"/>
      <c r="J24" s="50">
        <f t="shared" si="2"/>
        <v>0</v>
      </c>
      <c r="K24" s="31"/>
      <c r="L24" s="29"/>
      <c r="M24" s="29"/>
    </row>
    <row r="25" spans="1:13" ht="14.4" hidden="1" customHeight="1" x14ac:dyDescent="0.3">
      <c r="A25" s="54" t="s">
        <v>162</v>
      </c>
      <c r="B25" s="58"/>
      <c r="C25" s="31"/>
      <c r="D25" s="60"/>
      <c r="E25" s="31"/>
      <c r="F25" s="59"/>
      <c r="G25" s="31"/>
      <c r="H25" s="31"/>
      <c r="I25" s="31"/>
      <c r="J25" s="50">
        <f t="shared" si="2"/>
        <v>0</v>
      </c>
      <c r="K25" s="31"/>
      <c r="L25" s="29"/>
      <c r="M25" s="29"/>
    </row>
    <row r="26" spans="1:13" ht="14.4" x14ac:dyDescent="0.3">
      <c r="A26" s="188"/>
      <c r="B26" s="52" t="s">
        <v>116</v>
      </c>
      <c r="C26" s="30"/>
      <c r="D26" s="30"/>
      <c r="E26" s="30"/>
      <c r="F26" s="30"/>
      <c r="G26" s="30"/>
      <c r="H26" s="30"/>
      <c r="I26" s="30"/>
      <c r="J26" s="56">
        <f>SUM(J27:J32)</f>
        <v>0</v>
      </c>
      <c r="K26" s="30"/>
    </row>
    <row r="27" spans="1:13" ht="14.4" x14ac:dyDescent="0.3">
      <c r="A27" s="53">
        <v>1</v>
      </c>
      <c r="B27" s="57"/>
      <c r="C27" s="31"/>
      <c r="D27" s="60"/>
      <c r="E27" s="31"/>
      <c r="F27" s="59"/>
      <c r="G27" s="31"/>
      <c r="H27" s="31"/>
      <c r="I27" s="31"/>
      <c r="J27" s="50">
        <f>D27*F27</f>
        <v>0</v>
      </c>
      <c r="K27" s="31"/>
    </row>
    <row r="28" spans="1:13" ht="14.4" x14ac:dyDescent="0.3">
      <c r="A28" s="53">
        <v>2</v>
      </c>
      <c r="B28" s="58"/>
      <c r="C28" s="31"/>
      <c r="D28" s="60"/>
      <c r="E28" s="31"/>
      <c r="F28" s="59"/>
      <c r="G28" s="31"/>
      <c r="H28" s="31"/>
      <c r="I28" s="31"/>
      <c r="J28" s="50">
        <f t="shared" ref="J28:J32" si="3">D28*F28</f>
        <v>0</v>
      </c>
      <c r="K28" s="239"/>
    </row>
    <row r="29" spans="1:13" ht="14.4" x14ac:dyDescent="0.3">
      <c r="A29" s="53">
        <v>3</v>
      </c>
      <c r="B29" s="58"/>
      <c r="C29" s="31"/>
      <c r="D29" s="60"/>
      <c r="E29" s="31"/>
      <c r="F29" s="59"/>
      <c r="G29" s="31"/>
      <c r="H29" s="31"/>
      <c r="I29" s="31"/>
      <c r="J29" s="50">
        <f t="shared" si="3"/>
        <v>0</v>
      </c>
      <c r="K29" s="31"/>
    </row>
    <row r="30" spans="1:13" ht="14.4" x14ac:dyDescent="0.3">
      <c r="A30" s="53">
        <v>4</v>
      </c>
      <c r="B30" s="58"/>
      <c r="C30" s="31"/>
      <c r="D30" s="60"/>
      <c r="E30" s="31"/>
      <c r="F30" s="59"/>
      <c r="G30" s="31"/>
      <c r="H30" s="31"/>
      <c r="I30" s="31"/>
      <c r="J30" s="50">
        <f t="shared" si="3"/>
        <v>0</v>
      </c>
      <c r="K30" s="31"/>
    </row>
    <row r="31" spans="1:13" ht="14.4" x14ac:dyDescent="0.3">
      <c r="A31" s="53" t="s">
        <v>157</v>
      </c>
      <c r="B31" s="58"/>
      <c r="C31" s="31"/>
      <c r="D31" s="60"/>
      <c r="E31" s="31"/>
      <c r="F31" s="59"/>
      <c r="G31" s="31"/>
      <c r="H31" s="31"/>
      <c r="I31" s="31"/>
      <c r="J31" s="50">
        <f t="shared" si="3"/>
        <v>0</v>
      </c>
      <c r="K31" s="31"/>
    </row>
    <row r="32" spans="1:13" ht="14.4" hidden="1" x14ac:dyDescent="0.3">
      <c r="A32" s="54" t="s">
        <v>162</v>
      </c>
      <c r="B32" s="58"/>
      <c r="C32" s="31"/>
      <c r="D32" s="60"/>
      <c r="E32" s="31"/>
      <c r="F32" s="59"/>
      <c r="G32" s="31"/>
      <c r="H32" s="31"/>
      <c r="I32" s="31"/>
      <c r="J32" s="50">
        <f t="shared" si="3"/>
        <v>0</v>
      </c>
      <c r="K32" s="31"/>
    </row>
    <row r="33" spans="1:11" ht="14.4" x14ac:dyDescent="0.3">
      <c r="A33" s="188"/>
      <c r="B33" s="52" t="s">
        <v>136</v>
      </c>
      <c r="C33" s="30"/>
      <c r="D33" s="30"/>
      <c r="E33" s="30"/>
      <c r="F33" s="30"/>
      <c r="G33" s="30"/>
      <c r="H33" s="30"/>
      <c r="I33" s="30"/>
      <c r="J33" s="56">
        <f>SUM(J34:J39)</f>
        <v>0</v>
      </c>
      <c r="K33" s="30"/>
    </row>
    <row r="34" spans="1:11" ht="14.4" x14ac:dyDescent="0.3">
      <c r="A34" s="53">
        <v>1</v>
      </c>
      <c r="B34" s="57"/>
      <c r="C34" s="31"/>
      <c r="D34" s="60"/>
      <c r="E34" s="31"/>
      <c r="F34" s="59"/>
      <c r="G34" s="31"/>
      <c r="H34" s="31"/>
      <c r="I34" s="31"/>
      <c r="J34" s="50">
        <f>D34*F34</f>
        <v>0</v>
      </c>
      <c r="K34" s="31"/>
    </row>
    <row r="35" spans="1:11" ht="14.4" x14ac:dyDescent="0.3">
      <c r="A35" s="53">
        <v>2</v>
      </c>
      <c r="B35" s="58"/>
      <c r="C35" s="31"/>
      <c r="D35" s="60"/>
      <c r="E35" s="31"/>
      <c r="F35" s="59"/>
      <c r="G35" s="31"/>
      <c r="H35" s="31"/>
      <c r="I35" s="31"/>
      <c r="J35" s="50">
        <f t="shared" ref="J35:J39" si="4">D35*F35</f>
        <v>0</v>
      </c>
      <c r="K35" s="31"/>
    </row>
    <row r="36" spans="1:11" ht="14.4" x14ac:dyDescent="0.3">
      <c r="A36" s="53">
        <v>3</v>
      </c>
      <c r="B36" s="58"/>
      <c r="C36" s="31"/>
      <c r="D36" s="60"/>
      <c r="E36" s="31"/>
      <c r="F36" s="59"/>
      <c r="G36" s="31"/>
      <c r="H36" s="31"/>
      <c r="I36" s="31"/>
      <c r="J36" s="50">
        <f t="shared" si="4"/>
        <v>0</v>
      </c>
      <c r="K36" s="31"/>
    </row>
    <row r="37" spans="1:11" ht="14.4" x14ac:dyDescent="0.3">
      <c r="A37" s="53">
        <v>4</v>
      </c>
      <c r="B37" s="58"/>
      <c r="C37" s="31"/>
      <c r="D37" s="60"/>
      <c r="E37" s="31"/>
      <c r="F37" s="59"/>
      <c r="G37" s="31"/>
      <c r="H37" s="31"/>
      <c r="I37" s="31"/>
      <c r="J37" s="50">
        <f t="shared" si="4"/>
        <v>0</v>
      </c>
      <c r="K37" s="31"/>
    </row>
    <row r="38" spans="1:11" ht="14.4" x14ac:dyDescent="0.3">
      <c r="A38" s="53" t="s">
        <v>157</v>
      </c>
      <c r="B38" s="58"/>
      <c r="C38" s="31"/>
      <c r="D38" s="60"/>
      <c r="E38" s="31"/>
      <c r="F38" s="59"/>
      <c r="G38" s="31"/>
      <c r="H38" s="31"/>
      <c r="I38" s="31"/>
      <c r="J38" s="50">
        <f t="shared" si="4"/>
        <v>0</v>
      </c>
      <c r="K38" s="31"/>
    </row>
    <row r="39" spans="1:11" ht="14.4" hidden="1" x14ac:dyDescent="0.3">
      <c r="A39" s="54" t="s">
        <v>162</v>
      </c>
      <c r="B39" s="58"/>
      <c r="C39" s="31"/>
      <c r="D39" s="60"/>
      <c r="E39" s="31"/>
      <c r="F39" s="59"/>
      <c r="G39" s="31"/>
      <c r="H39" s="31"/>
      <c r="I39" s="31"/>
      <c r="J39" s="50">
        <f t="shared" si="4"/>
        <v>0</v>
      </c>
      <c r="K39" s="31"/>
    </row>
    <row r="40" spans="1:11" ht="14.4" x14ac:dyDescent="0.3">
      <c r="A40" s="188"/>
      <c r="B40" s="52" t="s">
        <v>121</v>
      </c>
      <c r="C40" s="30"/>
      <c r="D40" s="30"/>
      <c r="E40" s="30"/>
      <c r="F40" s="30"/>
      <c r="G40" s="30"/>
      <c r="H40" s="30"/>
      <c r="I40" s="30"/>
      <c r="J40" s="56">
        <f>SUM(J41:J46)</f>
        <v>1160.9000000000001</v>
      </c>
      <c r="K40" s="30"/>
    </row>
    <row r="41" spans="1:11" ht="14.4" x14ac:dyDescent="0.3">
      <c r="A41" s="53">
        <v>1</v>
      </c>
      <c r="B41" s="57" t="s">
        <v>164</v>
      </c>
      <c r="C41" s="31"/>
      <c r="D41" s="60">
        <f>2/20</f>
        <v>0.1</v>
      </c>
      <c r="E41" s="31" t="s">
        <v>165</v>
      </c>
      <c r="F41" s="59">
        <v>6054</v>
      </c>
      <c r="G41" s="31"/>
      <c r="H41" s="31"/>
      <c r="I41" s="31"/>
      <c r="J41" s="50">
        <f>D41*F41</f>
        <v>605.4</v>
      </c>
      <c r="K41" s="31" t="s">
        <v>166</v>
      </c>
    </row>
    <row r="42" spans="1:11" ht="14.4" x14ac:dyDescent="0.3">
      <c r="A42" s="53">
        <v>2</v>
      </c>
      <c r="B42" s="58" t="s">
        <v>167</v>
      </c>
      <c r="C42" s="31"/>
      <c r="D42" s="60">
        <f>2/20</f>
        <v>0.1</v>
      </c>
      <c r="E42" s="31" t="s">
        <v>165</v>
      </c>
      <c r="F42" s="59">
        <v>4345</v>
      </c>
      <c r="G42" s="31"/>
      <c r="H42" s="31"/>
      <c r="I42" s="31"/>
      <c r="J42" s="50">
        <f t="shared" ref="J42:J43" si="5">D42*F42</f>
        <v>434.5</v>
      </c>
      <c r="K42" s="239" t="s">
        <v>168</v>
      </c>
    </row>
    <row r="43" spans="1:11" ht="14.4" x14ac:dyDescent="0.3">
      <c r="A43" s="53">
        <v>3</v>
      </c>
      <c r="B43" s="58" t="s">
        <v>169</v>
      </c>
      <c r="C43" s="31"/>
      <c r="D43" s="269">
        <f>4/20</f>
        <v>0.2</v>
      </c>
      <c r="E43" s="31" t="s">
        <v>165</v>
      </c>
      <c r="F43" s="59">
        <v>605</v>
      </c>
      <c r="G43" s="31"/>
      <c r="H43" s="31"/>
      <c r="I43" s="31"/>
      <c r="J43" s="50">
        <f t="shared" si="5"/>
        <v>121</v>
      </c>
      <c r="K43" s="31"/>
    </row>
    <row r="44" spans="1:11" ht="14.4" x14ac:dyDescent="0.3">
      <c r="A44" s="53">
        <v>4</v>
      </c>
      <c r="B44" s="58"/>
      <c r="C44" s="31"/>
      <c r="D44" s="60"/>
      <c r="E44" s="31"/>
      <c r="F44" s="59"/>
      <c r="G44" s="31"/>
      <c r="H44" s="31"/>
      <c r="I44" s="31"/>
      <c r="J44" s="50">
        <f t="shared" ref="J44:J46" si="6">D44*F44</f>
        <v>0</v>
      </c>
      <c r="K44" s="31"/>
    </row>
    <row r="45" spans="1:11" ht="14.4" x14ac:dyDescent="0.3">
      <c r="A45" s="53" t="s">
        <v>157</v>
      </c>
      <c r="B45" s="58"/>
      <c r="C45" s="31"/>
      <c r="D45" s="60"/>
      <c r="E45" s="31"/>
      <c r="F45" s="59"/>
      <c r="G45" s="31"/>
      <c r="H45" s="31"/>
      <c r="I45" s="31"/>
      <c r="J45" s="50">
        <f t="shared" si="6"/>
        <v>0</v>
      </c>
      <c r="K45" s="31"/>
    </row>
    <row r="46" spans="1:11" ht="14.4" hidden="1" x14ac:dyDescent="0.3">
      <c r="A46" s="54" t="s">
        <v>162</v>
      </c>
      <c r="B46" s="58"/>
      <c r="C46" s="31"/>
      <c r="D46" s="60"/>
      <c r="E46" s="31"/>
      <c r="F46" s="59"/>
      <c r="G46" s="31"/>
      <c r="H46" s="31"/>
      <c r="I46" s="31"/>
      <c r="J46" s="50">
        <f t="shared" si="6"/>
        <v>0</v>
      </c>
      <c r="K46" s="31"/>
    </row>
    <row r="47" spans="1:11" ht="14.4" x14ac:dyDescent="0.3">
      <c r="A47" s="188"/>
      <c r="B47" s="52" t="s">
        <v>123</v>
      </c>
      <c r="C47" s="30"/>
      <c r="D47" s="30"/>
      <c r="E47" s="30"/>
      <c r="F47" s="30"/>
      <c r="G47" s="30"/>
      <c r="H47" s="30"/>
      <c r="I47" s="30"/>
      <c r="J47" s="56">
        <f>SUM(J48:J53)</f>
        <v>0</v>
      </c>
      <c r="K47" s="30"/>
    </row>
    <row r="48" spans="1:11" ht="14.4" x14ac:dyDescent="0.3">
      <c r="A48" s="53">
        <v>1</v>
      </c>
      <c r="B48" s="57" t="s">
        <v>170</v>
      </c>
      <c r="C48" s="31"/>
      <c r="D48" s="60">
        <f>D9*15</f>
        <v>0</v>
      </c>
      <c r="E48" s="31" t="s">
        <v>171</v>
      </c>
      <c r="F48" s="59">
        <v>6</v>
      </c>
      <c r="G48" s="31"/>
      <c r="H48" s="31"/>
      <c r="I48" s="31"/>
      <c r="J48" s="50">
        <f>D48*F48</f>
        <v>0</v>
      </c>
      <c r="K48" s="31"/>
    </row>
    <row r="49" spans="1:11" ht="14.4" x14ac:dyDescent="0.3">
      <c r="A49" s="53">
        <v>2</v>
      </c>
      <c r="B49" s="58" t="s">
        <v>172</v>
      </c>
      <c r="C49" s="31"/>
      <c r="D49" s="60"/>
      <c r="E49" s="31"/>
      <c r="F49" s="59"/>
      <c r="G49" s="31"/>
      <c r="H49" s="31"/>
      <c r="I49" s="31"/>
      <c r="J49" s="50">
        <f t="shared" ref="J49:J53" si="7">D49*F49</f>
        <v>0</v>
      </c>
      <c r="K49" s="31"/>
    </row>
    <row r="50" spans="1:11" ht="14.4" x14ac:dyDescent="0.3">
      <c r="A50" s="53">
        <v>3</v>
      </c>
      <c r="B50" s="58"/>
      <c r="C50" s="31"/>
      <c r="D50" s="60"/>
      <c r="E50" s="31"/>
      <c r="F50" s="59"/>
      <c r="G50" s="31"/>
      <c r="H50" s="31"/>
      <c r="I50" s="31"/>
      <c r="J50" s="50">
        <f t="shared" si="7"/>
        <v>0</v>
      </c>
      <c r="K50" s="31"/>
    </row>
    <row r="51" spans="1:11" ht="14.4" x14ac:dyDescent="0.3">
      <c r="A51" s="53">
        <v>4</v>
      </c>
      <c r="B51" s="58"/>
      <c r="C51" s="31"/>
      <c r="D51" s="60"/>
      <c r="E51" s="31"/>
      <c r="F51" s="59"/>
      <c r="G51" s="31"/>
      <c r="H51" s="31"/>
      <c r="I51" s="31"/>
      <c r="J51" s="50">
        <f t="shared" si="7"/>
        <v>0</v>
      </c>
      <c r="K51" s="31"/>
    </row>
    <row r="52" spans="1:11" ht="14.4" x14ac:dyDescent="0.3">
      <c r="A52" s="53" t="s">
        <v>157</v>
      </c>
      <c r="B52" s="58"/>
      <c r="C52" s="31"/>
      <c r="D52" s="60"/>
      <c r="E52" s="31"/>
      <c r="F52" s="59"/>
      <c r="G52" s="31"/>
      <c r="H52" s="31"/>
      <c r="I52" s="31"/>
      <c r="J52" s="50">
        <f t="shared" si="7"/>
        <v>0</v>
      </c>
      <c r="K52" s="31"/>
    </row>
    <row r="53" spans="1:11" ht="14.4" hidden="1" x14ac:dyDescent="0.3">
      <c r="A53" s="54" t="s">
        <v>162</v>
      </c>
      <c r="B53" s="58"/>
      <c r="C53" s="31"/>
      <c r="D53" s="60"/>
      <c r="E53" s="31"/>
      <c r="F53" s="59"/>
      <c r="G53" s="31"/>
      <c r="H53" s="31"/>
      <c r="I53" s="31"/>
      <c r="J53" s="50">
        <f t="shared" si="7"/>
        <v>0</v>
      </c>
      <c r="K53" s="31"/>
    </row>
    <row r="54" spans="1:11" ht="14.4" x14ac:dyDescent="0.3">
      <c r="A54" s="188"/>
      <c r="B54" s="52" t="s">
        <v>120</v>
      </c>
      <c r="C54" s="30"/>
      <c r="D54" s="30"/>
      <c r="E54" s="30"/>
      <c r="F54" s="30"/>
      <c r="G54" s="30"/>
      <c r="H54" s="30"/>
      <c r="I54" s="30"/>
      <c r="J54" s="56">
        <f>SUM(J55:J60)</f>
        <v>0</v>
      </c>
      <c r="K54" s="30"/>
    </row>
    <row r="55" spans="1:11" ht="14.4" x14ac:dyDescent="0.3">
      <c r="A55" s="53">
        <v>1</v>
      </c>
      <c r="B55" s="57"/>
      <c r="C55" s="31"/>
      <c r="D55" s="60"/>
      <c r="E55" s="31"/>
      <c r="F55" s="59"/>
      <c r="G55" s="31"/>
      <c r="H55" s="31"/>
      <c r="I55" s="31"/>
      <c r="J55" s="50">
        <f>D55*F55</f>
        <v>0</v>
      </c>
      <c r="K55" s="31"/>
    </row>
    <row r="56" spans="1:11" ht="14.4" x14ac:dyDescent="0.3">
      <c r="A56" s="53">
        <v>2</v>
      </c>
      <c r="B56" s="58"/>
      <c r="C56" s="31"/>
      <c r="D56" s="60"/>
      <c r="E56" s="31"/>
      <c r="F56" s="59"/>
      <c r="G56" s="31"/>
      <c r="H56" s="31"/>
      <c r="I56" s="31"/>
      <c r="J56" s="50">
        <f t="shared" ref="J56:J60" si="8">D56*F56</f>
        <v>0</v>
      </c>
      <c r="K56" s="31" t="s">
        <v>165</v>
      </c>
    </row>
    <row r="57" spans="1:11" ht="14.4" x14ac:dyDescent="0.3">
      <c r="A57" s="53">
        <v>3</v>
      </c>
      <c r="B57" s="58"/>
      <c r="C57" s="31"/>
      <c r="D57" s="60"/>
      <c r="E57" s="31"/>
      <c r="F57" s="59"/>
      <c r="G57" s="31"/>
      <c r="H57" s="31"/>
      <c r="I57" s="31"/>
      <c r="J57" s="50">
        <f t="shared" si="8"/>
        <v>0</v>
      </c>
      <c r="K57" s="31"/>
    </row>
    <row r="58" spans="1:11" ht="14.4" x14ac:dyDescent="0.3">
      <c r="A58" s="53">
        <v>4</v>
      </c>
      <c r="B58" s="58"/>
      <c r="C58" s="31"/>
      <c r="D58" s="60"/>
      <c r="E58" s="31"/>
      <c r="F58" s="59"/>
      <c r="G58" s="31"/>
      <c r="H58" s="31"/>
      <c r="I58" s="31"/>
      <c r="J58" s="50">
        <f t="shared" si="8"/>
        <v>0</v>
      </c>
      <c r="K58" s="31"/>
    </row>
    <row r="59" spans="1:11" ht="14.4" x14ac:dyDescent="0.3">
      <c r="A59" s="53" t="s">
        <v>157</v>
      </c>
      <c r="B59" s="58"/>
      <c r="C59" s="31"/>
      <c r="D59" s="60"/>
      <c r="E59" s="31"/>
      <c r="F59" s="59"/>
      <c r="G59" s="31"/>
      <c r="H59" s="31"/>
      <c r="I59" s="31"/>
      <c r="J59" s="50">
        <f t="shared" si="8"/>
        <v>0</v>
      </c>
      <c r="K59" s="31"/>
    </row>
    <row r="60" spans="1:11" ht="14.4" hidden="1" x14ac:dyDescent="0.3">
      <c r="A60" s="54" t="s">
        <v>162</v>
      </c>
      <c r="B60" s="58"/>
      <c r="C60" s="31"/>
      <c r="D60" s="60"/>
      <c r="E60" s="31"/>
      <c r="F60" s="59"/>
      <c r="G60" s="31"/>
      <c r="H60" s="31"/>
      <c r="I60" s="31"/>
      <c r="J60" s="50">
        <f t="shared" si="8"/>
        <v>0</v>
      </c>
      <c r="K60" s="31"/>
    </row>
  </sheetData>
  <hyperlinks>
    <hyperlink ref="K42" r:id="rId1" xr:uid="{7290DE0D-2D9A-4BC4-97DC-CE06C86F730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Bid Summary</vt:lpstr>
      <vt:lpstr>Prevailing Wage</vt:lpstr>
      <vt:lpstr>Bid Schedule</vt:lpstr>
      <vt:lpstr>Bid Bond</vt:lpstr>
      <vt:lpstr>Bid Item 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S22</dc:creator>
  <cp:keywords/>
  <dc:description/>
  <cp:lastModifiedBy>Franklin Gaudi - Laurel Ag &amp; Water</cp:lastModifiedBy>
  <cp:revision/>
  <dcterms:created xsi:type="dcterms:W3CDTF">2024-10-08T08:22:38Z</dcterms:created>
  <dcterms:modified xsi:type="dcterms:W3CDTF">2025-07-25T00:00:37Z</dcterms:modified>
  <cp:category/>
  <cp:contentStatus/>
</cp:coreProperties>
</file>